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hvdcs01\rrp\ED2 RRPs\RRP 2025 26\RFPR\13 Publish on Website\"/>
    </mc:Choice>
  </mc:AlternateContent>
  <bookViews>
    <workbookView xWindow="16080" yWindow="-120" windowWidth="29040" windowHeight="15720"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 name="Input sheets for R5a and R6a&gt;&gt;&gt;" sheetId="45" r:id="rId15"/>
    <sheet name="I1 - Universal Data" sheetId="43" r:id="rId16"/>
    <sheet name="I2 - Monthly Inflation" sheetId="44"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hom1" localSheetId="15" hidden="1">{#N/A,#N/A,FALSE,"Assessment";#N/A,#N/A,FALSE,"Staffing";#N/A,#N/A,FALSE,"Hires";#N/A,#N/A,FALSE,"Assumptions"}</definedName>
    <definedName name="________hom1" hidden="1">{#N/A,#N/A,FALSE,"Assessment";#N/A,#N/A,FALSE,"Staffing";#N/A,#N/A,FALSE,"Hires";#N/A,#N/A,FALSE,"Assumptions"}</definedName>
    <definedName name="________k1" localSheetId="15" hidden="1">{#N/A,#N/A,FALSE,"Assessment";#N/A,#N/A,FALSE,"Staffing";#N/A,#N/A,FALSE,"Hires";#N/A,#N/A,FALSE,"Assumptions"}</definedName>
    <definedName name="________k1" hidden="1">{#N/A,#N/A,FALSE,"Assessment";#N/A,#N/A,FALSE,"Staffing";#N/A,#N/A,FALSE,"Hires";#N/A,#N/A,FALSE,"Assumptions"}</definedName>
    <definedName name="________kk1" localSheetId="15" hidden="1">{#N/A,#N/A,FALSE,"Assessment";#N/A,#N/A,FALSE,"Staffing";#N/A,#N/A,FALSE,"Hires";#N/A,#N/A,FALSE,"Assumptions"}</definedName>
    <definedName name="________kk1" hidden="1">{#N/A,#N/A,FALSE,"Assessment";#N/A,#N/A,FALSE,"Staffing";#N/A,#N/A,FALSE,"Hires";#N/A,#N/A,FALSE,"Assumptions"}</definedName>
    <definedName name="________KKK1" localSheetId="15" hidden="1">{#N/A,#N/A,FALSE,"Assessment";#N/A,#N/A,FALSE,"Staffing";#N/A,#N/A,FALSE,"Hires";#N/A,#N/A,FALSE,"Assumptions"}</definedName>
    <definedName name="________KKK1" hidden="1">{#N/A,#N/A,FALSE,"Assessment";#N/A,#N/A,FALSE,"Staffing";#N/A,#N/A,FALSE,"Hires";#N/A,#N/A,FALSE,"Assumptions"}</definedName>
    <definedName name="________w2" localSheetId="15" hidden="1">{"Model Summary",#N/A,FALSE,"Print Chart";"Holdco",#N/A,FALSE,"Print Chart";"Genco",#N/A,FALSE,"Print Chart";"Servco",#N/A,FALSE,"Print Chart";"Genco_Detail",#N/A,FALSE,"Summary Financials";"Servco_Detail",#N/A,FALSE,"Summary Financials"}</definedName>
    <definedName name="________w2" hidden="1">{"Model Summary",#N/A,FALSE,"Print Chart";"Holdco",#N/A,FALSE,"Print Chart";"Genco",#N/A,FALSE,"Print Chart";"Servco",#N/A,FALSE,"Print Chart";"Genco_Detail",#N/A,FALSE,"Summary Financials";"Servco_Detail",#N/A,FALSE,"Summary Financials"}</definedName>
    <definedName name="________wr6" localSheetId="15"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localSheetId="15" hidden="1">{"holdco",#N/A,FALSE,"Summary Financials";"holdco",#N/A,FALSE,"Summary Financials"}</definedName>
    <definedName name="________wr9" hidden="1">{"holdco",#N/A,FALSE,"Summary Financials";"holdco",#N/A,FALSE,"Summary Financials"}</definedName>
    <definedName name="________wrn1" localSheetId="15" hidden="1">{"holdco",#N/A,FALSE,"Summary Financials";"holdco",#N/A,FALSE,"Summary Financials"}</definedName>
    <definedName name="________wrn1" hidden="1">{"holdco",#N/A,FALSE,"Summary Financials";"holdco",#N/A,FALSE,"Summary Financials"}</definedName>
    <definedName name="________wrn2" localSheetId="15" hidden="1">{"holdco",#N/A,FALSE,"Summary Financials";"holdco",#N/A,FALSE,"Summary Financials"}</definedName>
    <definedName name="________wrn2" hidden="1">{"holdco",#N/A,FALSE,"Summary Financials";"holdco",#N/A,FALSE,"Summary Financials"}</definedName>
    <definedName name="________wrn3" localSheetId="15" hidden="1">{"holdco",#N/A,FALSE,"Summary Financials";"holdco",#N/A,FALSE,"Summary Financials"}</definedName>
    <definedName name="________wrn3" hidden="1">{"holdco",#N/A,FALSE,"Summary Financials";"holdco",#N/A,FALSE,"Summary Financials"}</definedName>
    <definedName name="________wrn7" localSheetId="15" hidden="1">{"Model Summary",#N/A,FALSE,"Print Chart";"Holdco",#N/A,FALSE,"Print Chart";"Genco",#N/A,FALSE,"Print Chart";"Servco",#N/A,FALSE,"Print Chart";"Genco_Detail",#N/A,FALSE,"Summary Financials";"Servco_Detail",#N/A,FALSE,"Summary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localSheetId="15" hidden="1">{"holdco",#N/A,FALSE,"Summary Financials";"holdco",#N/A,FALSE,"Summary Financials"}</definedName>
    <definedName name="________wrn8" hidden="1">{"holdco",#N/A,FALSE,"Summary Financials";"holdco",#N/A,FALSE,"Summary Financials"}</definedName>
    <definedName name="_______bb2" localSheetId="15" hidden="1">{#N/A,#N/A,FALSE,"PRJCTED MNTHLY QTY's"}</definedName>
    <definedName name="_______bb2" hidden="1">{#N/A,#N/A,FALSE,"PRJCTED MNTHLY QTY's"}</definedName>
    <definedName name="_______Lee5" localSheetId="15" hidden="1">{#VALUE!,#N/A,FALSE,0}</definedName>
    <definedName name="_______Lee5" hidden="1">{#VALUE!,#N/A,FALSE,0}</definedName>
    <definedName name="______hom1" localSheetId="15" hidden="1">{#N/A,#N/A,FALSE,"Assessment";#N/A,#N/A,FALSE,"Staffing";#N/A,#N/A,FALSE,"Hires";#N/A,#N/A,FALSE,"Assumptions"}</definedName>
    <definedName name="______hom1" hidden="1">{#N/A,#N/A,FALSE,"Assessment";#N/A,#N/A,FALSE,"Staffing";#N/A,#N/A,FALSE,"Hires";#N/A,#N/A,FALSE,"Assumptions"}</definedName>
    <definedName name="______k1" localSheetId="15" hidden="1">{#N/A,#N/A,FALSE,"Assessment";#N/A,#N/A,FALSE,"Staffing";#N/A,#N/A,FALSE,"Hires";#N/A,#N/A,FALSE,"Assumptions"}</definedName>
    <definedName name="______k1" hidden="1">{#N/A,#N/A,FALSE,"Assessment";#N/A,#N/A,FALSE,"Staffing";#N/A,#N/A,FALSE,"Hires";#N/A,#N/A,FALSE,"Assumptions"}</definedName>
    <definedName name="______kk1" localSheetId="15" hidden="1">{#N/A,#N/A,FALSE,"Assessment";#N/A,#N/A,FALSE,"Staffing";#N/A,#N/A,FALSE,"Hires";#N/A,#N/A,FALSE,"Assumptions"}</definedName>
    <definedName name="______kk1" hidden="1">{#N/A,#N/A,FALSE,"Assessment";#N/A,#N/A,FALSE,"Staffing";#N/A,#N/A,FALSE,"Hires";#N/A,#N/A,FALSE,"Assumptions"}</definedName>
    <definedName name="______KKK1" localSheetId="15" hidden="1">{#N/A,#N/A,FALSE,"Assessment";#N/A,#N/A,FALSE,"Staffing";#N/A,#N/A,FALSE,"Hires";#N/A,#N/A,FALSE,"Assumptions"}</definedName>
    <definedName name="______KKK1" hidden="1">{#N/A,#N/A,FALSE,"Assessment";#N/A,#N/A,FALSE,"Staffing";#N/A,#N/A,FALSE,"Hires";#N/A,#N/A,FALSE,"Assumptions"}</definedName>
    <definedName name="______w2" localSheetId="15" hidden="1">{"Model Summary",#N/A,FALSE,"Print Chart";"Holdco",#N/A,FALSE,"Print Chart";"Genco",#N/A,FALSE,"Print Chart";"Servco",#N/A,FALSE,"Print Chart";"Genco_Detail",#N/A,FALSE,"Summary Financials";"Servco_Detail",#N/A,FALSE,"Summary Financials"}</definedName>
    <definedName name="______w2" hidden="1">{"Model Summary",#N/A,FALSE,"Print Chart";"Holdco",#N/A,FALSE,"Print Chart";"Genco",#N/A,FALSE,"Print Chart";"Servco",#N/A,FALSE,"Print Chart";"Genco_Detail",#N/A,FALSE,"Summary Financials";"Servco_Detail",#N/A,FALSE,"Summary Financials"}</definedName>
    <definedName name="______wr6" localSheetId="15"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localSheetId="15" hidden="1">{"holdco",#N/A,FALSE,"Summary Financials";"holdco",#N/A,FALSE,"Summary Financials"}</definedName>
    <definedName name="______wr9" hidden="1">{"holdco",#N/A,FALSE,"Summary Financials";"holdco",#N/A,FALSE,"Summary Financials"}</definedName>
    <definedName name="______wrn1" localSheetId="15" hidden="1">{"holdco",#N/A,FALSE,"Summary Financials";"holdco",#N/A,FALSE,"Summary Financials"}</definedName>
    <definedName name="______wrn1" hidden="1">{"holdco",#N/A,FALSE,"Summary Financials";"holdco",#N/A,FALSE,"Summary Financials"}</definedName>
    <definedName name="______wrn2" localSheetId="15" hidden="1">{"holdco",#N/A,FALSE,"Summary Financials";"holdco",#N/A,FALSE,"Summary Financials"}</definedName>
    <definedName name="______wrn2" hidden="1">{"holdco",#N/A,FALSE,"Summary Financials";"holdco",#N/A,FALSE,"Summary Financials"}</definedName>
    <definedName name="______wrn3" localSheetId="15" hidden="1">{"holdco",#N/A,FALSE,"Summary Financials";"holdco",#N/A,FALSE,"Summary Financials"}</definedName>
    <definedName name="______wrn3" hidden="1">{"holdco",#N/A,FALSE,"Summary Financials";"holdco",#N/A,FALSE,"Summary Financials"}</definedName>
    <definedName name="______wrn7" localSheetId="15" hidden="1">{"Model Summary",#N/A,FALSE,"Print Chart";"Holdco",#N/A,FALSE,"Print Chart";"Genco",#N/A,FALSE,"Print Chart";"Servco",#N/A,FALSE,"Print Chart";"Genco_Detail",#N/A,FALSE,"Summary Financials";"Servco_Detail",#N/A,FALSE,"Summary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localSheetId="15" hidden="1">{"holdco",#N/A,FALSE,"Summary Financials";"holdco",#N/A,FALSE,"Summary Financials"}</definedName>
    <definedName name="______wrn8" hidden="1">{"holdco",#N/A,FALSE,"Summary Financials";"holdco",#N/A,FALSE,"Summary Financials"}</definedName>
    <definedName name="_____KKK1" localSheetId="15" hidden="1">{#N/A,#N/A,FALSE,"Assessment";#N/A,#N/A,FALSE,"Staffing";#N/A,#N/A,FALSE,"Hires";#N/A,#N/A,FALSE,"Assumptions"}</definedName>
    <definedName name="_____KKK1" hidden="1">{#N/A,#N/A,FALSE,"Assessment";#N/A,#N/A,FALSE,"Staffing";#N/A,#N/A,FALSE,"Hires";#N/A,#N/A,FALSE,"Assumptions"}</definedName>
    <definedName name="_____wrn1" localSheetId="15" hidden="1">{"holdco",#N/A,FALSE,"Summary Financials";"holdco",#N/A,FALSE,"Summary Financials"}</definedName>
    <definedName name="_____wrn1" hidden="1">{"holdco",#N/A,FALSE,"Summary Financials";"holdco",#N/A,FALSE,"Summary Financials"}</definedName>
    <definedName name="_____wrn2" localSheetId="15" hidden="1">{"holdco",#N/A,FALSE,"Summary Financials";"holdco",#N/A,FALSE,"Summary Financials"}</definedName>
    <definedName name="_____wrn2" hidden="1">{"holdco",#N/A,FALSE,"Summary Financials";"holdco",#N/A,FALSE,"Summary Financials"}</definedName>
    <definedName name="_____wrn3" localSheetId="15" hidden="1">{"holdco",#N/A,FALSE,"Summary Financials";"holdco",#N/A,FALSE,"Summary Financials"}</definedName>
    <definedName name="_____wrn3" hidden="1">{"holdco",#N/A,FALSE,"Summary Financials";"holdco",#N/A,FALSE,"Summary Financials"}</definedName>
    <definedName name="_____wrn7" localSheetId="15" hidden="1">{"Model Summary",#N/A,FALSE,"Print Chart";"Holdco",#N/A,FALSE,"Print Chart";"Genco",#N/A,FALSE,"Print Chart";"Servco",#N/A,FALSE,"Print Chart";"Genco_Detail",#N/A,FALSE,"Summary Financials";"Servco_Detail",#N/A,FALSE,"Summary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localSheetId="15" hidden="1">{"holdco",#N/A,FALSE,"Summary Financials";"holdco",#N/A,FALSE,"Summary Financials"}</definedName>
    <definedName name="_____wrn8" hidden="1">{"holdco",#N/A,FALSE,"Summary Financials";"holdco",#N/A,FALSE,"Summary Financials"}</definedName>
    <definedName name="__123Graph_B" hidden="1">'[1]Universal data'!#REF!</definedName>
    <definedName name="__123Graph_C" hidden="1">'[1]Universal data'!#REF!</definedName>
    <definedName name="__123Graph_D" hidden="1">'[1]Universal data'!#REF!</definedName>
    <definedName name="__123Graph_X" hidden="1">'[1]Universal data'!#REF!</definedName>
    <definedName name="__FDS_HYPERLINK_TOGGLE_STATE__" hidden="1">"ON"</definedName>
    <definedName name="__hom1" localSheetId="15" hidden="1">{#N/A,#N/A,FALSE,"Assessment";#N/A,#N/A,FALSE,"Staffing";#N/A,#N/A,FALSE,"Hires";#N/A,#N/A,FALSE,"Assumptions"}</definedName>
    <definedName name="__hom1" hidden="1">{#N/A,#N/A,FALSE,"Assessment";#N/A,#N/A,FALSE,"Staffing";#N/A,#N/A,FALSE,"Hires";#N/A,#N/A,FALSE,"Assumptions"}</definedName>
    <definedName name="__IntlFixup" hidden="1">TRUE</definedName>
    <definedName name="__kk1" localSheetId="15" hidden="1">{#N/A,#N/A,FALSE,"Assessment";#N/A,#N/A,FALSE,"Staffing";#N/A,#N/A,FALSE,"Hires";#N/A,#N/A,FALSE,"Assumptions"}</definedName>
    <definedName name="__kk1" hidden="1">{#N/A,#N/A,FALSE,"Assessment";#N/A,#N/A,FALSE,"Staffing";#N/A,#N/A,FALSE,"Hires";#N/A,#N/A,FALSE,"Assumptions"}</definedName>
    <definedName name="__KKK1" localSheetId="15" hidden="1">{#N/A,#N/A,FALSE,"Assessment";#N/A,#N/A,FALSE,"Staffing";#N/A,#N/A,FALSE,"Hires";#N/A,#N/A,FALSE,"Assumptions"}</definedName>
    <definedName name="__KKK1" hidden="1">{#N/A,#N/A,FALSE,"Assessment";#N/A,#N/A,FALSE,"Staffing";#N/A,#N/A,FALSE,"Hires";#N/A,#N/A,FALSE,"Assumptions"}</definedName>
    <definedName name="__wrn1" localSheetId="15" hidden="1">{"holdco",#N/A,FALSE,"Summary Financials";"holdco",#N/A,FALSE,"Summary Financials"}</definedName>
    <definedName name="__wrn1" hidden="1">{"holdco",#N/A,FALSE,"Summary Financials";"holdco",#N/A,FALSE,"Summary Financials"}</definedName>
    <definedName name="__wrn2" localSheetId="15" hidden="1">{"holdco",#N/A,FALSE,"Summary Financials";"holdco",#N/A,FALSE,"Summary Financials"}</definedName>
    <definedName name="__wrn2" hidden="1">{"holdco",#N/A,FALSE,"Summary Financials";"holdco",#N/A,FALSE,"Summary Financials"}</definedName>
    <definedName name="__wrn3" localSheetId="15" hidden="1">{"holdco",#N/A,FALSE,"Summary Financials";"holdco",#N/A,FALSE,"Summary Financials"}</definedName>
    <definedName name="__wrn3" hidden="1">{"holdco",#N/A,FALSE,"Summary Financials";"holdco",#N/A,FALSE,"Summary Financials"}</definedName>
    <definedName name="__wrn7" localSheetId="15" hidden="1">{"Model Summary",#N/A,FALSE,"Print Chart";"Holdco",#N/A,FALSE,"Print Chart";"Genco",#N/A,FALSE,"Print Chart";"Servco",#N/A,FALSE,"Print Chart";"Genco_Detail",#N/A,FALSE,"Summary Financials";"Servco_Detail",#N/A,FALSE,"Summary Financials"}</definedName>
    <definedName name="__wrn7" hidden="1">{"Model Summary",#N/A,FALSE,"Print Chart";"Holdco",#N/A,FALSE,"Print Chart";"Genco",#N/A,FALSE,"Print Chart";"Servco",#N/A,FALSE,"Print Chart";"Genco_Detail",#N/A,FALSE,"Summary Financials";"Servco_Detail",#N/A,FALSE,"Summary Financials"}</definedName>
    <definedName name="__wrn8" localSheetId="15" hidden="1">{"holdco",#N/A,FALSE,"Summary Financials";"holdco",#N/A,FALSE,"Summary Financials"}</definedName>
    <definedName name="__wrn8" hidden="1">{"holdco",#N/A,FALSE,"Summary Financials";"holdco",#N/A,FALSE,"Summary Financials"}</definedName>
    <definedName name="_139__123Graph_LBL_DCHART_3" hidden="1">[2]Graphs!$D$59:$D$59</definedName>
    <definedName name="_142__123Graph_LBL_FCHART_1" hidden="1">[2]Graphs!$G$59:$G$59</definedName>
    <definedName name="_143__123Graph_LBL_FCHART_3" hidden="1">[2]Graphs!$G$59:$G$59</definedName>
    <definedName name="_33__123Graph_LBL_ECHART_3" hidden="1">[2]Graphs!$F$59:$F$59</definedName>
    <definedName name="_34__123Graph_LBL_FCHART_1" hidden="1">[2]Graphs!$G$59:$G$59</definedName>
    <definedName name="_35__123Graph_LBL_FCHART_3" hidden="1">[2]Graphs!$G$59:$G$59</definedName>
    <definedName name="_49__123Graph_LBL_FCHART_1" hidden="1">[2]Graphs!$G$59:$G$59</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localSheetId="15" hidden="1">#REF!</definedName>
    <definedName name="_example" hidden="1">#REF!</definedName>
    <definedName name="_Fill" localSheetId="15" hidden="1">#REF!</definedName>
    <definedName name="_Fill" hidden="1">#REF!</definedName>
    <definedName name="_Key1" localSheetId="15" hidden="1">#REF!</definedName>
    <definedName name="_Key1" hidden="1">#REF!</definedName>
    <definedName name="_Key2" localSheetId="15" hidden="1">#REF!</definedName>
    <definedName name="_Key2" hidden="1">#REF!</definedName>
    <definedName name="_Order1" hidden="1">255</definedName>
    <definedName name="_Order2" hidden="1">0</definedName>
    <definedName name="_Sort" localSheetId="15" hidden="1">#REF!</definedName>
    <definedName name="_Sort" hidden="1">#REF!</definedName>
    <definedName name="a" localSheetId="15" hidden="1">{"staff",#N/A,FALSE,"Current Month"}</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localSheetId="15" hidden="1">[3]Sheet1!#REF!</definedName>
    <definedName name="ACwvu.CapersView." hidden="1">[3]Sheet1!#REF!</definedName>
    <definedName name="ACwvu.Japan_Capers_Ed_Pub." localSheetId="15" hidden="1">#REF!</definedName>
    <definedName name="ACwvu.Japan_Capers_Ed_Pub." hidden="1">#REF!</definedName>
    <definedName name="ACwvu.KJP_CC." localSheetId="15" hidden="1">#REF!</definedName>
    <definedName name="ACwvu.KJP_CC." hidden="1">#REF!</definedName>
    <definedName name="Adjusted_regulated_tax_liability">'R8 - Tax'!$E$36:$I$36</definedName>
    <definedName name="Adjusted_regulated_tax_liability__Reporting_Year">'R8 - Tax'!$E$36:$I$36</definedName>
    <definedName name="ARCMt">'[4]R4 Licence Condition Values'!$G$32:$N$32</definedName>
    <definedName name="ARtDR5" comment="Allowed distribution netwrok reveue in 2014/15">'[4]R5 Input Page'!$E$48:$F$48</definedName>
    <definedName name="asdas" hidden="1">{#N/A,#N/A,FALSE,"TMCOMP96";#N/A,#N/A,FALSE,"MAT96";#N/A,#N/A,FALSE,"FANDA96";#N/A,#N/A,FALSE,"INTRAN96";#N/A,#N/A,FALSE,"NAA9697";#N/A,#N/A,FALSE,"ECWEBB";#N/A,#N/A,FALSE,"MFT96";#N/A,#N/A,FALSE,"CTrecon"}</definedName>
    <definedName name="AUM">'[4]R5 Input Page'!$G$133:$N$133</definedName>
    <definedName name="b" localSheetId="15" hidden="1">{"staff",#N/A,FALSE,"Current Month"}</definedName>
    <definedName name="b" hidden="1">{"staff",#N/A,FALSE,"Current Month"}</definedName>
    <definedName name="bb" localSheetId="15" hidden="1">{#N/A,#N/A,FALSE,"PRJCTED MNTHLY QTY's"}</definedName>
    <definedName name="bb" hidden="1">{#N/A,#N/A,FALSE,"PRJCTED MNTHLY QTY's"}</definedName>
    <definedName name="bbbb" localSheetId="15" hidden="1">{#N/A,#N/A,FALSE,"PRJCTED QTRLY QTY's"}</definedName>
    <definedName name="bbbb" hidden="1">{#N/A,#N/A,FALSE,"PRJCTED QTRLY QTY's"}</definedName>
    <definedName name="bbbbbb" localSheetId="15" hidden="1">{#N/A,#N/A,FALSE,"PRJCTED QTRLY QTY's"}</definedName>
    <definedName name="bbbbbb" hidden="1">{#N/A,#N/A,FALSE,"PRJCTED QTRLY QTY's"}</definedName>
    <definedName name="BExEZ4HBCC06708765M8A06KCR7P" hidden="1">#N/A</definedName>
    <definedName name="BLPH1" hidden="1">[5]Sheet2!#REF!</definedName>
    <definedName name="BLPH10" localSheetId="15" hidden="1">#REF!</definedName>
    <definedName name="BLPH10" hidden="1">#REF!</definedName>
    <definedName name="BLPH100" localSheetId="15" hidden="1">#REF!</definedName>
    <definedName name="BLPH100" hidden="1">#REF!</definedName>
    <definedName name="BLPH101" localSheetId="15"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localSheetId="15" hidden="1">[5]Sheet2!#REF!</definedName>
    <definedName name="BLPH2" hidden="1">[5]Sheet2!#REF!</definedName>
    <definedName name="BLPH20" localSheetId="15" hidden="1">#REF!</definedName>
    <definedName name="BLPH20" hidden="1">#REF!</definedName>
    <definedName name="BLPH200" localSheetId="15" hidden="1">#REF!</definedName>
    <definedName name="BLPH200" hidden="1">#REF!</definedName>
    <definedName name="BLPH201" localSheetId="15"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'[6]Risk-Free Rate'!$AQ$15</definedName>
    <definedName name="BLPH210" localSheetId="15" hidden="1">#REF!</definedName>
    <definedName name="BLPH210" hidden="1">#REF!</definedName>
    <definedName name="BLPH211" localSheetId="15" hidden="1">#REF!</definedName>
    <definedName name="BLPH211" hidden="1">#REF!</definedName>
    <definedName name="BLPH212" localSheetId="15"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'[6]Risk-Free Rate'!$AN$15</definedName>
    <definedName name="BLPH220" localSheetId="15" hidden="1">#REF!</definedName>
    <definedName name="BLPH220" hidden="1">#REF!</definedName>
    <definedName name="BLPH221" localSheetId="15" hidden="1">#REF!</definedName>
    <definedName name="BLPH221" hidden="1">#REF!</definedName>
    <definedName name="BLPH222" localSheetId="15"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'[6]Risk-Free Rate'!$AK$15</definedName>
    <definedName name="BLPH230" localSheetId="15" hidden="1">#REF!</definedName>
    <definedName name="BLPH230" hidden="1">#REF!</definedName>
    <definedName name="BLPH231" localSheetId="15" hidden="1">#REF!</definedName>
    <definedName name="BLPH231" hidden="1">#REF!</definedName>
    <definedName name="BLPH232" localSheetId="15"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'[6]Risk-Free Rate'!$AH$15</definedName>
    <definedName name="BLPH240" localSheetId="15" hidden="1">#REF!</definedName>
    <definedName name="BLPH240" hidden="1">#REF!</definedName>
    <definedName name="BLPH241" localSheetId="15" hidden="1">#REF!</definedName>
    <definedName name="BLPH241" hidden="1">#REF!</definedName>
    <definedName name="BLPH242" localSheetId="15"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'[6]Risk-Free Rate'!$AE$15</definedName>
    <definedName name="BLPH250" localSheetId="15" hidden="1">#REF!</definedName>
    <definedName name="BLPH250" hidden="1">#REF!</definedName>
    <definedName name="BLPH251" localSheetId="15" hidden="1">#REF!</definedName>
    <definedName name="BLPH251" hidden="1">#REF!</definedName>
    <definedName name="BLPH252" localSheetId="15"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'[6]Risk-Free Rate'!$AB$15</definedName>
    <definedName name="BLPH260" localSheetId="15" hidden="1">#REF!</definedName>
    <definedName name="BLPH260" hidden="1">#REF!</definedName>
    <definedName name="BLPH261" localSheetId="15" hidden="1">#REF!</definedName>
    <definedName name="BLPH261" hidden="1">#REF!</definedName>
    <definedName name="BLPH262" localSheetId="15"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'[6]Risk-Free Rate'!$Y$15</definedName>
    <definedName name="BLPH270" localSheetId="15" hidden="1">#REF!</definedName>
    <definedName name="BLPH270" hidden="1">#REF!</definedName>
    <definedName name="BLPH271" localSheetId="15" hidden="1">#REF!</definedName>
    <definedName name="BLPH271" hidden="1">#REF!</definedName>
    <definedName name="BLPH272" localSheetId="15"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'[6]Risk-Free Rate'!$V$15</definedName>
    <definedName name="BLPH280" localSheetId="15" hidden="1">#REF!</definedName>
    <definedName name="BLPH280" hidden="1">#REF!</definedName>
    <definedName name="BLPH281" localSheetId="15" hidden="1">#REF!</definedName>
    <definedName name="BLPH281" hidden="1">#REF!</definedName>
    <definedName name="BLPH282" localSheetId="15"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'[6]Risk-Free Rate'!$S$15</definedName>
    <definedName name="BLPH290" localSheetId="15" hidden="1">#REF!</definedName>
    <definedName name="BLPH290" hidden="1">#REF!</definedName>
    <definedName name="BLPH291" localSheetId="15" hidden="1">#REF!</definedName>
    <definedName name="BLPH291" hidden="1">#REF!</definedName>
    <definedName name="BLPH292" localSheetId="15"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localSheetId="15" hidden="1">#REF!</definedName>
    <definedName name="BLPH3" hidden="1">#REF!</definedName>
    <definedName name="BLPH30" hidden="1">'[6]Risk-Free Rate'!$P$15</definedName>
    <definedName name="BLPH300" localSheetId="15" hidden="1">#REF!</definedName>
    <definedName name="BLPH300" hidden="1">#REF!</definedName>
    <definedName name="BLPH301" localSheetId="15" hidden="1">#REF!</definedName>
    <definedName name="BLPH301" hidden="1">#REF!</definedName>
    <definedName name="BLPH302" localSheetId="15"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'[6]Risk-Free Rate'!$M$15</definedName>
    <definedName name="BLPH310" localSheetId="15" hidden="1">#REF!</definedName>
    <definedName name="BLPH310" hidden="1">#REF!</definedName>
    <definedName name="BLPH311" localSheetId="15" hidden="1">#REF!</definedName>
    <definedName name="BLPH311" hidden="1">#REF!</definedName>
    <definedName name="BLPH312" localSheetId="15"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'[6]Risk-Free Rate'!$J$15</definedName>
    <definedName name="BLPH320" localSheetId="15" hidden="1">#REF!</definedName>
    <definedName name="BLPH320" hidden="1">#REF!</definedName>
    <definedName name="BLPH321" localSheetId="15" hidden="1">#REF!</definedName>
    <definedName name="BLPH321" hidden="1">#REF!</definedName>
    <definedName name="BLPH322" localSheetId="15"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'[6]Risk-Free Rate'!$G$15</definedName>
    <definedName name="BLPH330" localSheetId="15" hidden="1">#REF!</definedName>
    <definedName name="BLPH330" hidden="1">#REF!</definedName>
    <definedName name="BLPH331" localSheetId="15" hidden="1">#REF!</definedName>
    <definedName name="BLPH331" hidden="1">#REF!</definedName>
    <definedName name="BLPH332" localSheetId="15"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'[6]Risk-Free Rate'!$D$15</definedName>
    <definedName name="BLPH340" localSheetId="15" hidden="1">#REF!</definedName>
    <definedName name="BLPH340" hidden="1">#REF!</definedName>
    <definedName name="BLPH341" localSheetId="15" hidden="1">#REF!</definedName>
    <definedName name="BLPH341" hidden="1">#REF!</definedName>
    <definedName name="BLPH342" localSheetId="15"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'[6]Risk-Free Rate'!$A$15</definedName>
    <definedName name="BLPH350" localSheetId="15" hidden="1">#REF!</definedName>
    <definedName name="BLPH350" hidden="1">#REF!</definedName>
    <definedName name="BLPH351" localSheetId="15" hidden="1">#REF!</definedName>
    <definedName name="BLPH351" hidden="1">#REF!</definedName>
    <definedName name="BLPH352" localSheetId="15"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localSheetId="15" hidden="1">#REF!</definedName>
    <definedName name="BLPH4" hidden="1">#REF!</definedName>
    <definedName name="BLPH40" localSheetId="15" hidden="1">#REF!</definedName>
    <definedName name="BLPH40" hidden="1">#REF!</definedName>
    <definedName name="BLPH41" localSheetId="15"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localSheetId="15" hidden="1">[5]Sheet2!#REF!</definedName>
    <definedName name="BLPH5" hidden="1">[5]Sheet2!#REF!</definedName>
    <definedName name="BLPH50" localSheetId="15" hidden="1">#REF!</definedName>
    <definedName name="BLPH50" hidden="1">#REF!</definedName>
    <definedName name="BLPH51" localSheetId="15" hidden="1">#REF!</definedName>
    <definedName name="BLPH51" hidden="1">#REF!</definedName>
    <definedName name="BLPH52" localSheetId="15"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'[4]R5 Input Page'!$E$65:$F$65</definedName>
    <definedName name="BPC">'[4]R5 Input Page'!$G$123:$N$123</definedName>
    <definedName name="Business_Plan_Incentive">'R1 - RoRE'!$D$71:$H$71</definedName>
    <definedName name="calendar_year">Data!$F$33:$L$33</definedName>
    <definedName name="CAS">'[4]R5 Input Page'!$G$70:$N$70</definedName>
    <definedName name="CGSPM">'[4]R5 Input Page'!$G$136:$N$136</definedName>
    <definedName name="CGSRA">'[4]R11 Connections Performance'!$G$18:$N$18</definedName>
    <definedName name="CIA">'[4]R5 Input Page'!$G$82:$N$82</definedName>
    <definedName name="CIB">'[4]R5 Input Page'!$G$83:$N$83</definedName>
    <definedName name="CIBt_2">'[4]R5 Input Page'!$G$87:$N$87</definedName>
    <definedName name="CIBt_3">'[4]R5 Input Page'!$G$88:$N$88</definedName>
    <definedName name="CIBt_4">'[4]R5 Input Page'!$G$89:$N$89</definedName>
    <definedName name="CIC">'[4]R5 Input Page'!$G$84:$N$84</definedName>
    <definedName name="CID">'[4]R5 Input Page'!$G$85:$N$85</definedName>
    <definedName name="CIE">'[4]R5 Input Page'!$G$86:$N$86</definedName>
    <definedName name="CIM">'[4]R5 Input Page'!$G$71:$N$71</definedName>
    <definedName name="CMLA">'[4]R5 Input Page'!$G$90:$N$90</definedName>
    <definedName name="CMLB">'[4]R5 Input Page'!$G$91:$N$91</definedName>
    <definedName name="CMLBt_2">'[4]R5 Input Page'!$G$95:$N$95</definedName>
    <definedName name="CMLBt_3">'[4]R5 Input Page'!$G$96:$N$96</definedName>
    <definedName name="CMLBt_4">'[4]R5 Input Page'!$G$97:$N$97</definedName>
    <definedName name="CMLC">'[4]R5 Input Page'!$G$92:$N$92</definedName>
    <definedName name="CMLD">'[4]R5 Input Page'!$G$93:$N$93</definedName>
    <definedName name="CMLE">'[4]R5 Input Page'!$G$94:$N$94</definedName>
    <definedName name="Combined_real_to_nominal_prices_conversion_factor__financial_year_end">Data!$F$36:$L$36</definedName>
    <definedName name="Corporate_Tax">Data!$C$13:$N$13</definedName>
    <definedName name="Cost_of_Equity">Data!$C$6</definedName>
    <definedName name="CPIRt">'[4]R4 Licence Condition Values'!$G$29:$N$29</definedName>
    <definedName name="CRC5B">'[4]R5 Input Page'!$G$139:$N$139</definedName>
    <definedName name="CRC5C">'[4]R5 Input Page'!$G$140:$N$140</definedName>
    <definedName name="CRC5E">'[4]R5 Input Page'!$G$141:$N$141</definedName>
    <definedName name="CRIRt">'[4]R4 Licence Condition Values'!$G$22:$N$22</definedName>
    <definedName name="CSADt">'[4]R4 Licence Condition Values'!$G$25:$N$25</definedName>
    <definedName name="CSAUt">'[4]R4 Licence Condition Values'!$G$19:$N$19</definedName>
    <definedName name="CSBDt">'[4]R4 Licence Condition Values'!$G$28:$N$28</definedName>
    <definedName name="CSBUt">'[4]R4 Licence Condition Values'!$G$21:$N$21</definedName>
    <definedName name="CSCDt">'[4]R4 Licence Condition Values'!$G$30:$N$30</definedName>
    <definedName name="CSCUt">'[4]R4 Licence Condition Values'!$G$23:$N$23</definedName>
    <definedName name="CT">'[4]R5 Input Page'!$G$35:$N$35</definedName>
    <definedName name="Cwvu.CapersView." localSheetId="15" hidden="1">[3]Sheet1!#REF!</definedName>
    <definedName name="Cwvu.CapersView." hidden="1">[3]Sheet1!#REF!</definedName>
    <definedName name="Cwvu.Japan_Capers_Ed_Pub." localSheetId="15" hidden="1">[3]Sheet1!#REF!</definedName>
    <definedName name="Cwvu.Japan_Capers_Ed_Pub." hidden="1">[3]Sheet1!#REF!</definedName>
    <definedName name="Debt_performance___at_notional_gearing">'R1 - RoRE'!$D$90:$H$90</definedName>
    <definedName name="Debt_performance___impact_of_actual_gearing">'R1 - RoRE'!$D$91:$H$91</definedName>
    <definedName name="DecimalPlaces">'[7]Check Sheet'!$K$9</definedName>
    <definedName name="dgsgf" hidden="1">{#N/A,#N/A,FALSE,"TMCOMP96";#N/A,#N/A,FALSE,"MAT96";#N/A,#N/A,FALSE,"FANDA96";#N/A,#N/A,FALSE,"INTRAN96";#N/A,#N/A,FALSE,"NAA9697";#N/A,#N/A,FALSE,"ECWEBB";#N/A,#N/A,FALSE,"MFT96";#N/A,#N/A,FALSE,"CTrecon"}</definedName>
    <definedName name="Distribution" hidden="1">#REF!</definedName>
    <definedName name="DLGT">'[4]R12 DPCR4 Losses and Growth'!$G$9:$N$9</definedName>
    <definedName name="DNOName">'[7]Cover Sheet'!$D$20:$D$33</definedName>
    <definedName name="DR5Q">'[4]R5 Input Page'!$E$81:$F$81</definedName>
    <definedName name="ENIA">'[4]R5 Input Page'!$G$122:$N$122</definedName>
    <definedName name="Equity_RAV_based_on_actual_gearing">'R1 - RoRE'!$D$97:$H$97</definedName>
    <definedName name="Equity_Return_on_the_RAV">'R1 - RoRE'!$D$69:$H$69</definedName>
    <definedName name="ESTR">'[4]R4 Licence Condition Values'!$G$7:$N$7</definedName>
    <definedName name="ExtraProfiles" hidden="1">#REF!</definedName>
    <definedName name="f" localSheetId="15" hidden="1">{"'PRODUCTIONCOST SHEET'!$B$3:$G$48"}</definedName>
    <definedName name="f" hidden="1">{"'PRODUCTIONCOST SHEET'!$B$3:$G$48"}</definedName>
    <definedName name="ff" localSheetId="15" hidden="1">{#N/A,#N/A,FALSE,"PRJCTED MNTHLY QTY's"}</definedName>
    <definedName name="ff" hidden="1">{#N/A,#N/A,FALSE,"PRJCTED MNTHLY QTY's"}</definedName>
    <definedName name="fffff" localSheetId="15" hidden="1">{#N/A,#N/A,FALSE,"PRJCTED QTRLY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'[4]R5 Input Page'!$G$100:$N$100</definedName>
    <definedName name="GAS">'[4]R5 Input Page'!$G$72:$N$72</definedName>
    <definedName name="ghj" hidden="1">{#N/A,#N/A,FALSE,"TMCOMP96";#N/A,#N/A,FALSE,"MAT96";#N/A,#N/A,FALSE,"FANDA96";#N/A,#N/A,FALSE,"INTRAN96";#N/A,#N/A,FALSE,"NAA9697";#N/A,#N/A,FALSE,"ECWEBB";#N/A,#N/A,FALSE,"MFT96";#N/A,#N/A,FALSE,"CTrecon"}</definedName>
    <definedName name="GIM">'[4]R5 Input Page'!$G$73:$N$73</definedName>
    <definedName name="gjk" localSheetId="15" hidden="1">{#N/A,#N/A,FALSE,"DI 2 YEAR MASTER SCHEDULE"}</definedName>
    <definedName name="gjk" hidden="1">{#N/A,#N/A,FALSE,"DI 2 YEAR MASTER SCHEDULE"}</definedName>
    <definedName name="GPIRt">'[4]R4 Licence Condition Values'!$G$31:$N$31</definedName>
    <definedName name="GRIRt">'[4]R4 Licence Condition Values'!$G$24:$N$24</definedName>
    <definedName name="GTA">'[4]R12 DPCR4 Losses and Growth'!$G$15:$N$15</definedName>
    <definedName name="GTAA">'[4]R4 Licence Condition Values'!$F$62</definedName>
    <definedName name="gwge" localSheetId="15" hidden="1">#REF!</definedName>
    <definedName name="gwge" hidden="1">#REF!</definedName>
    <definedName name="HB">'[4]R5 Input Page'!$G$62:$N$62</definedName>
    <definedName name="hh"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localSheetId="15"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'[4]R5 Input Page'!$G$106:$N$106</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'[4]R4 Licence Condition Values'!$F$65</definedName>
    <definedName name="IRAt">'[4]R4 Licence Condition Values'!$G$37:$N$37</definedName>
    <definedName name="IRBt">'[4]R4 Licence Condition Values'!$G$40:$N$40</definedName>
    <definedName name="IRCMt">'[4]R4 Licence Condition Values'!$G$33:$N$33</definedName>
    <definedName name="It">'[4]R5 Input Page'!$D$50:$N$50</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'[4]R13 Correction Factor'!$G$14:$N$14</definedName>
    <definedName name="khkjk" localSheetId="15" hidden="1">{"staff",#N/A,FALSE,"Current Month"}</definedName>
    <definedName name="khkjk" hidden="1">{"staff",#N/A,FALSE,"Current Month"}</definedName>
    <definedName name="l" localSheetId="15" hidden="1">{#N/A,#N/A,FALSE,"DI 2 YEAR MASTER SCHEDULE"}</definedName>
    <definedName name="l" hidden="1">{#N/A,#N/A,FALSE,"DI 2 YEAR MASTER SCHEDULE"}</definedName>
    <definedName name="LCN1t">'[4]R5 Input Page'!$G$129:$N$129</definedName>
    <definedName name="LCN2t">'[4]R5 Input Page'!$G$128:$N$128</definedName>
    <definedName name="LDRO">'[4]R5 Input Page'!$G$119:$N$119</definedName>
    <definedName name="LF">'[4]R8 Pass-Through Items'!$G$26:$N$26</definedName>
    <definedName name="LFA">'[4]R5 Input Page'!$G$53:$N$53</definedName>
    <definedName name="LFE">'[4]R4 Licence Condition Values'!$G$10:$N$10</definedName>
    <definedName name="Licensee">'RFPR cover'!$C$7</definedName>
    <definedName name="ListOffset" hidden="1">1</definedName>
    <definedName name="lkl" localSheetId="15" hidden="1">{#N/A,#N/A,FALSE,"DI 2 YEAR MASTER SCHEDULE"}</definedName>
    <definedName name="lkl" hidden="1">{#N/A,#N/A,FALSE,"DI 2 YEAR MASTER SCHEDULE"}</definedName>
    <definedName name="LookupK">'[4]R13 Correction Factor'!$B$80:$H$93</definedName>
    <definedName name="LookupPPLD">'[4]R12 DPCR4 Losses and Growth'!$D$38:$N$51</definedName>
    <definedName name="materiality_threshold">Data!$F$7</definedName>
    <definedName name="mm"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'[4]R5 Input Page'!$G$44:$N$44</definedName>
    <definedName name="N_A">'R8 - Tax'!$E$11:$H$11</definedName>
    <definedName name="Navigate">'RFPR cover'!$D$2</definedName>
    <definedName name="NCPD">'[4]R5 Input Page'!$G$102:$N$102</definedName>
    <definedName name="NCPM">'[4]R5 Input Page'!$G$101:$N$101</definedName>
    <definedName name="NIAR">'[4]R5 Input Page'!$G$124:$N$124</definedName>
    <definedName name="NIAV">'[4]R4 Licence Condition Values'!$F$56</definedName>
    <definedName name="nn" localSheetId="15" hidden="1">{#N/A,#N/A,FALSE,"PRJCTED QTRLY $'s"}</definedName>
    <definedName name="nn" hidden="1">{#N/A,#N/A,FALSE,"PRJCTED QTRLY $'s"}</definedName>
    <definedName name="Notional_Gearing">Data!$C$8</definedName>
    <definedName name="NPV_neutral_equity_element_of_RAV">'R1 - RoRE'!$D$96:$H$96</definedName>
    <definedName name="odd" localSheetId="15" hidden="1">{"staff",#N/A,FALSE,"Current Month"}</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'[4]R5 Input Page'!$G$103:$N$103</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'[4]R5 Input Page'!$G$74:$N$74</definedName>
    <definedName name="PCUDPT">'[4]R5 Input Page'!$G$75:$N$75</definedName>
    <definedName name="Penalties_and_fines">'R1 - RoRE'!$D$88:$H$88</definedName>
    <definedName name="POF">'[4]R5 Input Page'!$G$77:$N$77</definedName>
    <definedName name="Pop" hidden="1">[8]Population!#REF!</definedName>
    <definedName name="Population" hidden="1">#REF!</definedName>
    <definedName name="PPL">'[4]R12 DPCR4 Losses and Growth'!$G$34:$N$34</definedName>
    <definedName name="PRC">'[4]R5 Input Page'!$G$76:$N$76</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'[4]R5 Input Page'!$F$49:$N$49</definedName>
    <definedName name="PT">'[4]R8 Pass-Through Items'!$G$15:$N$15</definedName>
    <definedName name="PTPA">'[4]R5 Input Page'!$G$55:$N$55</definedName>
    <definedName name="PTPE">'[4]R4 Licence Condition Values'!$G$12:$N$12</definedName>
    <definedName name="PTRA">'[4]R5 Input Page'!$G$125:$N$125</definedName>
    <definedName name="PU">'[4]R4 Licence Condition Values'!$G$6:$N$6</definedName>
    <definedName name="PUC">'[4]R5 Input Page'!$G$69:$N$69</definedName>
    <definedName name="PVF">'[4]R5 Input Page'!$F$39:$N$39</definedName>
    <definedName name="qs" localSheetId="15" hidden="1">{#N/A,#N/A,FALSE,"PRJCTED MNTHLY QTY's"}</definedName>
    <definedName name="qs" hidden="1">{#N/A,#N/A,FALSE,"PRJCTED MNTHLY QTY's"}</definedName>
    <definedName name="RB">'[4]R8 Pass-Through Items'!$G$36:$N$36</definedName>
    <definedName name="RBA">'[4]R5 Input Page'!$G$54:$N$54</definedName>
    <definedName name="RBE">'[4]R4 Licence Condition Values'!$G$11:$N$11</definedName>
    <definedName name="RD">'[4]R5 Input Page'!$F$47:$N$47</definedName>
    <definedName name="real_to_nominal_CF">Data!$F$34:$L$34</definedName>
    <definedName name="Reporting_Year">'RFPR cover'!$C$9</definedName>
    <definedName name="Results" hidden="1">[9]UK99!$A$1:$A$1</definedName>
    <definedName name="RF">'[4]R8 Pass-Through Items'!$G$77:$N$77</definedName>
    <definedName name="RFA">'[4]R5 Input Page'!$G$59:$N$59</definedName>
    <definedName name="RFE">'[4]R4 Licence Condition Values'!$G$15:$N$15</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'[4]R4 Licence Condition Values'!$G$42:$N$42</definedName>
    <definedName name="RLGt">'[4]R4 Licence Condition Values'!$G$43:$N$43</definedName>
    <definedName name="RoRE___including_financing_and_tax">'R1 - RoRE'!$D$94:$H$94</definedName>
    <definedName name="RoRE___Operational_performance">'R1 - RoRE'!$D$89:$H$89</definedName>
    <definedName name="RPI">'[4]R5 Input Page'!$D$8:$N$8</definedName>
    <definedName name="RPIA">'[4]R5 Input Page'!$D$9:$N$9</definedName>
    <definedName name="RPIF">'[4]R5 Input Page'!$G$32:$N$32</definedName>
    <definedName name="Rwvu.CapersView." localSheetId="15" hidden="1">#REF!</definedName>
    <definedName name="Rwvu.CapersView." hidden="1">#REF!</definedName>
    <definedName name="Rwvu.Japan_Capers_Ed_Pub." localSheetId="15" hidden="1">#REF!</definedName>
    <definedName name="Rwvu.Japan_Capers_Ed_Pub." hidden="1">#REF!</definedName>
    <definedName name="Rwvu.KJP_CC." localSheetId="15"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'[4]R5 Input Page'!$G$66:$N$66</definedName>
    <definedName name="SEC">'[4]R8 Pass-Through Items'!$G$87:$N$87</definedName>
    <definedName name="SECA">'[4]R5 Input Page'!$G$60:$N$60</definedName>
    <definedName name="SECE">'[4]R4 Licence Condition Values'!$G$16:$N$16</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'[4]R5 Input Page'!$G$67:$N$67</definedName>
    <definedName name="SIIM">'[4]R5 Input Page'!$G$68:$N$68</definedName>
    <definedName name="SIPIRt">'[4]R4 Licence Condition Values'!$G$26:$N$26</definedName>
    <definedName name="SIRIRt">'[4]R4 Licence Condition Values'!$G$20:$N$20</definedName>
    <definedName name="SLC29_4">'[4]R5 Input Page'!$G$143:$N$143</definedName>
    <definedName name="SLC29_6">'[4]R5 Input Page'!$G$142:$N$142</definedName>
    <definedName name="SMC">'[4]R8 Pass-Through Items'!$G$56:$N$56</definedName>
    <definedName name="SMCA">'[4]R5 Input Page'!$G$56:$N$56</definedName>
    <definedName name="SMCE">'[4]R4 Licence Condition Values'!$G$13:$N$13</definedName>
    <definedName name="SMIA">'[4]R5 Input Page'!$G$57:$N$57</definedName>
    <definedName name="SMIE">'[4]R4 Licence Condition Values'!$G$14:$N$14</definedName>
    <definedName name="SMIT">'[4]R8 Pass-Through Items'!$G$67:$N$67</definedName>
    <definedName name="SMITR">'[4]R5 Input Page'!$G$58:$N$58</definedName>
    <definedName name="Submitted_Date">'RFPR cover'!$C$11</definedName>
    <definedName name="SWPD">'[4]R5 Input Page'!$G$99:$N$99</definedName>
    <definedName name="SWPM">'[4]R5 Input Page'!$G$98:$N$98</definedName>
    <definedName name="Swvu.CapersView." localSheetId="15" hidden="1">[3]Sheet1!#REF!</definedName>
    <definedName name="Swvu.CapersView." hidden="1">[3]Sheet1!#REF!</definedName>
    <definedName name="Swvu.Japan_Capers_Ed_Pub." localSheetId="15" hidden="1">#REF!</definedName>
    <definedName name="Swvu.Japan_Capers_Ed_Pub." hidden="1">#REF!</definedName>
    <definedName name="Swvu.KJP_CC." localSheetId="15" hidden="1">#REF!</definedName>
    <definedName name="Swvu.KJP_CC." hidden="1">#REF!</definedName>
    <definedName name="TAUt">'[4]R4 Licence Condition Values'!$G$36:$N$36</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'[4]R8 Pass-Through Items'!$G$46:$N$46</definedName>
    <definedName name="TBUt">'[4]R4 Licence Condition Values'!$G$39:$N$39</definedName>
    <definedName name="TCAIt">'[4]R4 Licence Condition Values'!$G$51:$N$51</definedName>
    <definedName name="TCAP">'[4]R5 Input Page'!$G$113:$N$113</definedName>
    <definedName name="TCAREt">'[4]R4 Licence Condition Values'!$G$50:$N$50</definedName>
    <definedName name="TCAT">'[4]R5 Input Page'!$G$114:$N$114</definedName>
    <definedName name="TCBIt">'[4]R4 Licence Condition Values'!$G$53:$N$53</definedName>
    <definedName name="TCBP">'[4]R5 Input Page'!$G$115:$N$115</definedName>
    <definedName name="TCBREt">'[4]R4 Licence Condition Values'!$G$52:$N$52</definedName>
    <definedName name="TCBTt">'[4]R5 Input Page'!$G$116:$N$116</definedName>
    <definedName name="TCGSR">'[4]R4 Licence Condition Values'!$F$59</definedName>
    <definedName name="TCM">'[4]R5 Input Page'!$G$78:$N$78</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'[4]R4 Licence Condition Values'!$G$47:$N$47</definedName>
    <definedName name="TQAP">'[4]R5 Input Page'!$G$109:$N$109</definedName>
    <definedName name="TQAREt">'[4]R4 Licence Condition Values'!$G$46:$N$46</definedName>
    <definedName name="TQAT">'[4]R5 Input Page'!$G$110:$N$110</definedName>
    <definedName name="TQBIt">'[4]R4 Licence Condition Values'!$G$49:$N$49</definedName>
    <definedName name="TQBP">'[4]R5 Input Page'!$G$111:$N$111</definedName>
    <definedName name="TQBREt">'[4]R4 Licence Condition Values'!$G$48:$N$48</definedName>
    <definedName name="TQBT">'[4]R5 Input Page'!$G$112:$N$112</definedName>
    <definedName name="trggh" hidden="1">{#N/A,#N/A,FALSE,"TMCOMP96";#N/A,#N/A,FALSE,"MAT96";#N/A,#N/A,FALSE,"FANDA96";#N/A,#N/A,FALSE,"INTRAN96";#N/A,#N/A,FALSE,"NAA9697";#N/A,#N/A,FALSE,"ECWEBB";#N/A,#N/A,FALSE,"MFT96";#N/A,#N/A,FALSE,"CTrecon"}</definedName>
    <definedName name="TRIISt">'[4]R4 Licence Condition Values'!$G$41:$N$41</definedName>
    <definedName name="TRIMt">'[4]R4 Licence Condition Values'!$G$38:$N$38</definedName>
    <definedName name="u" localSheetId="15" hidden="1">{#VALUE!,#N/A,FALSE,0}</definedName>
    <definedName name="u" hidden="1">{#VALUE!,#N/A,FALSE,0}</definedName>
    <definedName name="UAG" localSheetId="15" hidden="1">{#N/A,#N/A,FALSE,"DI 2 YEAR MASTER SCHEDULE"}</definedName>
    <definedName name="UAG" hidden="1">{#N/A,#N/A,FALSE,"DI 2 YEAR MASTER SCHEDULE"}</definedName>
    <definedName name="UCPIR">'[4]R4 Licence Condition Values'!$G$27:$N$27</definedName>
    <definedName name="UNC">'[4]R5 Input Page'!$G$61:$N$61</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5" hidden="1">{"Japan_Capers_Ed_Pub",#N/A,FALSE,"DI 2 YEAR MASTER SCHEDULE"}</definedName>
    <definedName name="v" hidden="1">{"Japan_Capers_Ed_Pub",#N/A,FALSE,"DI 2 YEAR MASTER SCHEDULE"}</definedName>
    <definedName name="Version__Number">'RFPR cover'!$C$10</definedName>
    <definedName name="wrn.CapersPlotter." localSheetId="15" hidden="1">{#N/A,#N/A,FALSE,"DI 2 YEAR MASTER SCHEDULE"}</definedName>
    <definedName name="wrn.CapersPlotter." hidden="1">{#N/A,#N/A,FALSE,"DI 2 YEAR MASTER SCHEDULE"}</definedName>
    <definedName name="wrn.Edutainment._.Priority._.List." localSheetId="15" hidden="1">{#N/A,#N/A,FALSE,"DI 2 YEAR MASTER SCHEDULE"}</definedName>
    <definedName name="wrn.Edutainment._.Priority._.List." hidden="1">{#N/A,#N/A,FALSE,"DI 2 YEAR MASTER SCHEDULE"}</definedName>
    <definedName name="wrn.Japan_Capers_Ed._.Pub." localSheetId="15" hidden="1">{"Japan_Capers_Ed_Pub",#N/A,FALSE,"DI 2 YEAR MASTER SCHEDULE"}</definedName>
    <definedName name="wrn.Japan_Capers_Ed._.Pub." hidden="1">{"Japan_Capers_Ed_Pub",#N/A,FALSE,"DI 2 YEAR MASTER SCHEDULE"}</definedName>
    <definedName name="wrn.Mat." localSheetId="15" hidden="1">{"staff",#N/A,FALSE,"Current Month"}</definedName>
    <definedName name="wrn.Mat." hidden="1">{"staff",#N/A,FALSE,"Current Month"}</definedName>
    <definedName name="wrn.Priority._.list." localSheetId="15" hidden="1">{#N/A,#N/A,FALSE,"DI 2 YEAR MASTER SCHEDULE"}</definedName>
    <definedName name="wrn.Priority._.list." hidden="1">{#N/A,#N/A,FALSE,"DI 2 YEAR MASTER SCHEDULE"}</definedName>
    <definedName name="wrn.Prjcted._.Mnthly._.Qtys." localSheetId="15" hidden="1">{#N/A,#N/A,FALSE,"PRJCTED MNTHLY QTY's"}</definedName>
    <definedName name="wrn.Prjcted._.Mnthly._.Qtys." hidden="1">{#N/A,#N/A,FALSE,"PRJCTED MNTHLY QTY's"}</definedName>
    <definedName name="wrn.Prjcted._.Qtrly._.Dollars." localSheetId="15" hidden="1">{#N/A,#N/A,FALSE,"PRJCTED QTRLY $'s"}</definedName>
    <definedName name="wrn.Prjcted._.Qtrly._.Dollars." hidden="1">{#N/A,#N/A,FALSE,"PRJCTED QTRLY $'s"}</definedName>
    <definedName name="wrn.Prjcted._.Qtrly._.Qtys." localSheetId="15" hidden="1">{#N/A,#N/A,FALSE,"PRJCTED QTRLY QTY's"}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localSheetId="15" hidden="1">{#N/A,#N/A,FALSE,"DI 2 YEAR MASTER SCHEDULE"}</definedName>
    <definedName name="x" hidden="1">{#N/A,#N/A,FALSE,"DI 2 YEAR MASTER SCHEDULE"}</definedName>
    <definedName name="y"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'[10]Pension Pack cover'!$B$80:$B$99</definedName>
    <definedName name="YEFactor">Data!$F$36:$L$36</definedName>
    <definedName name="YEFactor_change">Data!$F$35:$L$35</definedName>
    <definedName name="z" localSheetId="15" hidden="1">{#N/A,#N/A,FALSE,"DI 2 YEAR MASTER SCHEDULE"}</definedName>
    <definedName name="z" hidden="1">{#N/A,#N/A,FALSE,"DI 2 YEAR MASTER SCHEDULE"}</definedName>
    <definedName name="Z_9A428CE1_B4D9_11D0_A8AA_0000C071AEE7_.wvu.Cols" hidden="1">[3]Sheet1!$A$1:$Q$65536,[3]Sheet1!$Y$1:$Z$65536</definedName>
    <definedName name="Z_9A428CE1_B4D9_11D0_A8AA_0000C071AEE7_.wvu.PrintArea" localSheetId="15" hidden="1">#REF!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4" i="11" l="1"/>
  <c r="I42" i="11"/>
  <c r="I45" i="11" s="1"/>
  <c r="I64" i="11" s="1"/>
  <c r="I46" i="11"/>
  <c r="I65" i="11" s="1"/>
  <c r="H54" i="28"/>
  <c r="I54" i="28" s="1"/>
  <c r="E135" i="2" l="1"/>
  <c r="D135" i="2" l="1"/>
  <c r="F135" i="2"/>
  <c r="D50" i="5" l="1"/>
  <c r="D39" i="19" l="1"/>
  <c r="D40" i="19"/>
  <c r="H66" i="19"/>
  <c r="G66" i="19"/>
  <c r="F66" i="19"/>
  <c r="E66" i="19"/>
  <c r="D66" i="19"/>
  <c r="J23" i="10" l="1"/>
  <c r="I23" i="10"/>
  <c r="H23" i="10"/>
  <c r="G23" i="10"/>
  <c r="F23" i="10"/>
  <c r="J20" i="10"/>
  <c r="I20" i="10"/>
  <c r="H20" i="10"/>
  <c r="G20" i="10"/>
  <c r="F20" i="10"/>
  <c r="F17" i="10"/>
  <c r="D52" i="5"/>
  <c r="D51" i="5"/>
  <c r="H43" i="5"/>
  <c r="H44" i="5" s="1"/>
  <c r="G43" i="5"/>
  <c r="F43" i="5"/>
  <c r="E43" i="5"/>
  <c r="D43" i="5"/>
  <c r="G15" i="4"/>
  <c r="F15" i="4"/>
  <c r="E15" i="4"/>
  <c r="F19" i="4" l="1"/>
  <c r="F21" i="4" s="1"/>
  <c r="G19" i="4"/>
  <c r="E19" i="4"/>
  <c r="E21" i="4" s="1"/>
  <c r="G21" i="4"/>
  <c r="F24" i="10"/>
  <c r="G15" i="10" s="1"/>
  <c r="G17" i="10" s="1"/>
  <c r="G24" i="10" s="1"/>
  <c r="H15" i="10" s="1"/>
  <c r="H17" i="10" s="1"/>
  <c r="H24" i="10" s="1"/>
  <c r="I15" i="10" s="1"/>
  <c r="I17" i="10" s="1"/>
  <c r="I24" i="10" s="1"/>
  <c r="J15" i="10" s="1"/>
  <c r="J17" i="10" s="1"/>
  <c r="J24" i="10" s="1"/>
  <c r="H45" i="5"/>
  <c r="E45" i="5"/>
  <c r="G45" i="5"/>
  <c r="G44" i="5"/>
  <c r="D45" i="5"/>
  <c r="D44" i="5"/>
  <c r="F45" i="5"/>
  <c r="F44" i="5"/>
  <c r="E44" i="5"/>
  <c r="K318" i="44"/>
  <c r="K319" i="44" s="1"/>
  <c r="K320" i="44" s="1"/>
  <c r="K321" i="44" s="1"/>
  <c r="K322" i="44" s="1"/>
  <c r="K323" i="44" s="1"/>
  <c r="K324" i="44" s="1"/>
  <c r="K325" i="44" s="1"/>
  <c r="K326" i="44" s="1"/>
  <c r="K327" i="44" s="1"/>
  <c r="K328" i="44" s="1"/>
  <c r="K329" i="44" s="1"/>
  <c r="K330" i="44" s="1"/>
  <c r="K331" i="44" s="1"/>
  <c r="K332" i="44" s="1"/>
  <c r="K317" i="44"/>
  <c r="K316" i="44"/>
  <c r="K315" i="44"/>
  <c r="K314" i="44"/>
  <c r="K313" i="44"/>
  <c r="K312" i="44"/>
  <c r="K311" i="44"/>
  <c r="K310" i="44"/>
  <c r="K309" i="44"/>
  <c r="K308" i="44"/>
  <c r="K307" i="44"/>
  <c r="K306" i="44"/>
  <c r="K305" i="44"/>
  <c r="K304" i="44"/>
  <c r="K303" i="44"/>
  <c r="K302" i="44"/>
  <c r="K301" i="44"/>
  <c r="K300" i="44"/>
  <c r="K299" i="44"/>
  <c r="K298" i="44"/>
  <c r="K297" i="44"/>
  <c r="K296" i="44"/>
  <c r="K295" i="44"/>
  <c r="K294" i="44"/>
  <c r="K293" i="44"/>
  <c r="K292" i="44"/>
  <c r="K291" i="44"/>
  <c r="K290" i="44"/>
  <c r="K289" i="44"/>
  <c r="K288" i="44"/>
  <c r="K287" i="44"/>
  <c r="K286" i="44"/>
  <c r="K285" i="44"/>
  <c r="K284" i="44"/>
  <c r="K283" i="44"/>
  <c r="K282" i="44"/>
  <c r="K281" i="44"/>
  <c r="K280" i="44"/>
  <c r="K279" i="44"/>
  <c r="K278" i="44"/>
  <c r="K277" i="44"/>
  <c r="K276" i="44"/>
  <c r="K275" i="44"/>
  <c r="K274" i="44"/>
  <c r="K273" i="44"/>
  <c r="K272" i="44"/>
  <c r="K271" i="44"/>
  <c r="K270" i="44"/>
  <c r="K269" i="44"/>
  <c r="K268" i="44"/>
  <c r="K267" i="44"/>
  <c r="K266" i="44"/>
  <c r="K265" i="44"/>
  <c r="K264" i="44"/>
  <c r="K263" i="44"/>
  <c r="K262" i="44"/>
  <c r="K261" i="44"/>
  <c r="K260" i="44"/>
  <c r="K259" i="44"/>
  <c r="K258" i="44"/>
  <c r="K257" i="44"/>
  <c r="K256" i="44"/>
  <c r="K255" i="44"/>
  <c r="K254" i="44"/>
  <c r="K253" i="44"/>
  <c r="K252" i="44"/>
  <c r="K251" i="44"/>
  <c r="K250" i="44"/>
  <c r="K249" i="44"/>
  <c r="K248" i="44"/>
  <c r="K247" i="44"/>
  <c r="K246" i="44"/>
  <c r="K245" i="44"/>
  <c r="K244" i="44"/>
  <c r="K243" i="44"/>
  <c r="K242" i="44"/>
  <c r="K241" i="44"/>
  <c r="K240" i="44"/>
  <c r="K239" i="44"/>
  <c r="K238" i="44"/>
  <c r="K237" i="44"/>
  <c r="K236" i="44"/>
  <c r="K235" i="44"/>
  <c r="K234" i="44"/>
  <c r="K233" i="44"/>
  <c r="K232" i="44"/>
  <c r="K231" i="44"/>
  <c r="K230" i="44"/>
  <c r="K229" i="44"/>
  <c r="K228" i="44"/>
  <c r="K227" i="44"/>
  <c r="K226" i="44"/>
  <c r="K225" i="44"/>
  <c r="K224" i="44"/>
  <c r="K223" i="44"/>
  <c r="K222" i="44"/>
  <c r="K221" i="44"/>
  <c r="K220" i="44"/>
  <c r="K219" i="44"/>
  <c r="K218" i="44"/>
  <c r="K217" i="44"/>
  <c r="K216" i="44"/>
  <c r="K215" i="44"/>
  <c r="K214" i="44"/>
  <c r="K213" i="44"/>
  <c r="K212" i="44"/>
  <c r="K211" i="44"/>
  <c r="K210" i="44"/>
  <c r="K209" i="44"/>
  <c r="K208" i="44"/>
  <c r="K207" i="44"/>
  <c r="K206" i="44"/>
  <c r="K205" i="44"/>
  <c r="K204" i="44"/>
  <c r="K203" i="44"/>
  <c r="K202" i="44"/>
  <c r="K201" i="44"/>
  <c r="K200" i="44"/>
  <c r="K199" i="44"/>
  <c r="K198" i="44"/>
  <c r="K197" i="44"/>
  <c r="K196" i="44"/>
  <c r="K195" i="44"/>
  <c r="K194" i="44"/>
  <c r="K193" i="44"/>
  <c r="K192" i="44"/>
  <c r="K191" i="44"/>
  <c r="K190" i="44"/>
  <c r="K189" i="44"/>
  <c r="K188" i="44"/>
  <c r="K187" i="44"/>
  <c r="K186" i="44"/>
  <c r="K185" i="44"/>
  <c r="K184" i="44"/>
  <c r="K183" i="44"/>
  <c r="K182" i="44"/>
  <c r="K181" i="44"/>
  <c r="K180" i="44"/>
  <c r="K179" i="44"/>
  <c r="K178" i="44"/>
  <c r="K177" i="44"/>
  <c r="K176" i="44"/>
  <c r="K175" i="44"/>
  <c r="K174" i="44"/>
  <c r="K173" i="44"/>
  <c r="K172" i="44"/>
  <c r="K171" i="44"/>
  <c r="K170" i="44"/>
  <c r="K169" i="44"/>
  <c r="K168" i="44"/>
  <c r="K167" i="44"/>
  <c r="K166" i="44"/>
  <c r="K165" i="44"/>
  <c r="K164" i="44"/>
  <c r="K163" i="44"/>
  <c r="K162" i="44"/>
  <c r="K161" i="44"/>
  <c r="K160" i="44"/>
  <c r="K159" i="44"/>
  <c r="K158" i="44"/>
  <c r="K157" i="44"/>
  <c r="K156" i="44"/>
  <c r="K155" i="44"/>
  <c r="K154" i="44"/>
  <c r="K153" i="44"/>
  <c r="K152" i="44"/>
  <c r="K151" i="44"/>
  <c r="K150" i="44"/>
  <c r="K149" i="44"/>
  <c r="K148" i="44"/>
  <c r="K147" i="44"/>
  <c r="K146" i="44"/>
  <c r="K145" i="44"/>
  <c r="K144" i="44"/>
  <c r="K143" i="44"/>
  <c r="K142" i="44"/>
  <c r="K141" i="44"/>
  <c r="K140" i="44"/>
  <c r="K139" i="44"/>
  <c r="K138" i="44"/>
  <c r="K137" i="44"/>
  <c r="K136" i="44"/>
  <c r="K135" i="44"/>
  <c r="K134" i="44"/>
  <c r="K133" i="44"/>
  <c r="K132" i="44"/>
  <c r="K131" i="44"/>
  <c r="K130" i="44"/>
  <c r="K129" i="44"/>
  <c r="K128" i="44"/>
  <c r="K127" i="44"/>
  <c r="K126" i="44"/>
  <c r="K125" i="44"/>
  <c r="K124" i="44"/>
  <c r="K123" i="44"/>
  <c r="K122" i="44"/>
  <c r="K121" i="44"/>
  <c r="K120" i="44"/>
  <c r="K119" i="44"/>
  <c r="K118" i="44"/>
  <c r="K117" i="44"/>
  <c r="K116" i="44"/>
  <c r="K115" i="44"/>
  <c r="K114" i="44"/>
  <c r="K113" i="44"/>
  <c r="K112" i="44"/>
  <c r="K111" i="44"/>
  <c r="K110" i="44"/>
  <c r="K109" i="44"/>
  <c r="K108" i="44"/>
  <c r="K107" i="44"/>
  <c r="K106" i="44"/>
  <c r="K105" i="44"/>
  <c r="K104" i="44"/>
  <c r="K103" i="44"/>
  <c r="K102" i="44"/>
  <c r="K101" i="44"/>
  <c r="K100" i="44"/>
  <c r="K99" i="44"/>
  <c r="K98" i="44"/>
  <c r="K97" i="44"/>
  <c r="K96" i="44"/>
  <c r="K95" i="44"/>
  <c r="K94" i="44"/>
  <c r="K93" i="44"/>
  <c r="K92" i="44"/>
  <c r="K91" i="44"/>
  <c r="K90" i="44"/>
  <c r="K89" i="44"/>
  <c r="K88" i="44"/>
  <c r="K87" i="44"/>
  <c r="K86" i="44"/>
  <c r="K85" i="44"/>
  <c r="K84" i="44"/>
  <c r="K83" i="44"/>
  <c r="K82" i="44"/>
  <c r="K81" i="44"/>
  <c r="K80" i="44"/>
  <c r="K79" i="44"/>
  <c r="K78" i="44"/>
  <c r="K77" i="44"/>
  <c r="K76" i="44"/>
  <c r="K75" i="44"/>
  <c r="K74" i="44"/>
  <c r="K73" i="44"/>
  <c r="K72" i="44"/>
  <c r="K71" i="44"/>
  <c r="K70" i="44"/>
  <c r="K69" i="44"/>
  <c r="K68" i="44"/>
  <c r="K67" i="44"/>
  <c r="K66" i="44"/>
  <c r="K65" i="44"/>
  <c r="K64" i="44"/>
  <c r="K63" i="44"/>
  <c r="K62" i="44"/>
  <c r="K61" i="44"/>
  <c r="K60" i="44"/>
  <c r="K59" i="44"/>
  <c r="K58" i="44"/>
  <c r="K57" i="44"/>
  <c r="K56" i="44"/>
  <c r="K55" i="44"/>
  <c r="K54" i="44"/>
  <c r="K53" i="44"/>
  <c r="K52" i="44"/>
  <c r="K51" i="44"/>
  <c r="K50" i="44"/>
  <c r="K49" i="44"/>
  <c r="K48" i="44"/>
  <c r="K47" i="44"/>
  <c r="K46" i="44"/>
  <c r="K45" i="44"/>
  <c r="K44" i="44"/>
  <c r="K43" i="44"/>
  <c r="K42" i="44"/>
  <c r="K41" i="44"/>
  <c r="K40" i="44"/>
  <c r="K39" i="44"/>
  <c r="K38" i="44"/>
  <c r="K37" i="44"/>
  <c r="K36" i="44"/>
  <c r="K35" i="44"/>
  <c r="K34" i="44"/>
  <c r="K33" i="44"/>
  <c r="K32" i="44"/>
  <c r="K31" i="44"/>
  <c r="K30" i="44"/>
  <c r="K29" i="44"/>
  <c r="K28" i="44"/>
  <c r="K27" i="44"/>
  <c r="K26" i="44"/>
  <c r="K25" i="44"/>
  <c r="K24" i="44"/>
  <c r="K23" i="44"/>
  <c r="K22" i="44"/>
  <c r="K21" i="44"/>
  <c r="K20" i="44"/>
  <c r="K19" i="44"/>
  <c r="K18" i="44"/>
  <c r="K17" i="44"/>
  <c r="K16" i="44"/>
  <c r="K15" i="44"/>
  <c r="K14" i="44"/>
  <c r="K13" i="44"/>
  <c r="K12" i="44"/>
  <c r="K11" i="44"/>
  <c r="K10" i="44"/>
  <c r="K9" i="44"/>
  <c r="K8" i="44"/>
  <c r="K7" i="44"/>
  <c r="K6" i="44"/>
  <c r="H413" i="44"/>
  <c r="H412" i="44"/>
  <c r="H411" i="44"/>
  <c r="H410" i="44"/>
  <c r="H409" i="44"/>
  <c r="H408" i="44"/>
  <c r="H407" i="44"/>
  <c r="H406" i="44"/>
  <c r="H405" i="44"/>
  <c r="H404" i="44"/>
  <c r="H403" i="44"/>
  <c r="H402" i="44"/>
  <c r="H401" i="44"/>
  <c r="H400" i="44"/>
  <c r="H399" i="44"/>
  <c r="H398" i="44"/>
  <c r="H397" i="44"/>
  <c r="H396" i="44"/>
  <c r="H395" i="44"/>
  <c r="H394" i="44"/>
  <c r="H393" i="44"/>
  <c r="H392" i="44"/>
  <c r="H391" i="44"/>
  <c r="H390" i="44"/>
  <c r="H389" i="44"/>
  <c r="H388" i="44"/>
  <c r="H387" i="44"/>
  <c r="H386" i="44"/>
  <c r="H385" i="44"/>
  <c r="H384" i="44"/>
  <c r="H383" i="44"/>
  <c r="H382" i="44"/>
  <c r="H381" i="44"/>
  <c r="H380" i="44"/>
  <c r="H379" i="44"/>
  <c r="H378" i="44"/>
  <c r="H377" i="44"/>
  <c r="H376" i="44"/>
  <c r="H375" i="44"/>
  <c r="H374" i="44"/>
  <c r="H373" i="44"/>
  <c r="H372" i="44"/>
  <c r="H371" i="44"/>
  <c r="H370" i="44"/>
  <c r="H369" i="44"/>
  <c r="H368" i="44"/>
  <c r="H367" i="44"/>
  <c r="H366" i="44"/>
  <c r="H365" i="44"/>
  <c r="H364" i="44"/>
  <c r="H363" i="44"/>
  <c r="H362" i="44"/>
  <c r="H361" i="44"/>
  <c r="H360" i="44"/>
  <c r="H359" i="44"/>
  <c r="H358" i="44"/>
  <c r="H357" i="44"/>
  <c r="H356" i="44"/>
  <c r="H355" i="44"/>
  <c r="H354" i="44"/>
  <c r="H353" i="44"/>
  <c r="H352" i="44"/>
  <c r="H351" i="44"/>
  <c r="H350" i="44"/>
  <c r="H349" i="44"/>
  <c r="H348" i="44"/>
  <c r="H347" i="44"/>
  <c r="H346" i="44"/>
  <c r="H345" i="44"/>
  <c r="H344" i="44"/>
  <c r="H343" i="44"/>
  <c r="H342" i="44"/>
  <c r="H341" i="44"/>
  <c r="H340" i="44"/>
  <c r="H339" i="44"/>
  <c r="H338" i="44"/>
  <c r="H337" i="44"/>
  <c r="H336" i="44"/>
  <c r="H335" i="44"/>
  <c r="H334" i="44"/>
  <c r="H333" i="44"/>
  <c r="H332" i="44"/>
  <c r="H331" i="44"/>
  <c r="H330" i="44"/>
  <c r="H329" i="44"/>
  <c r="H328" i="44"/>
  <c r="H327" i="44"/>
  <c r="H326" i="44"/>
  <c r="H325" i="44"/>
  <c r="H324" i="44"/>
  <c r="H323" i="44"/>
  <c r="H322" i="44"/>
  <c r="H321" i="44"/>
  <c r="H320" i="44"/>
  <c r="H319" i="44"/>
  <c r="H318" i="44"/>
  <c r="H317" i="44"/>
  <c r="H316" i="44"/>
  <c r="H315" i="44"/>
  <c r="H314" i="44"/>
  <c r="H313" i="44"/>
  <c r="H312" i="44"/>
  <c r="H311" i="44"/>
  <c r="H310" i="44"/>
  <c r="H309" i="44"/>
  <c r="H308" i="44"/>
  <c r="H307" i="44"/>
  <c r="H306" i="44"/>
  <c r="H305" i="44"/>
  <c r="H304" i="44"/>
  <c r="H303" i="44"/>
  <c r="H302" i="44"/>
  <c r="H301" i="44"/>
  <c r="H300" i="44"/>
  <c r="H299" i="44"/>
  <c r="H298" i="44"/>
  <c r="H297" i="44"/>
  <c r="H296" i="44"/>
  <c r="H295" i="44"/>
  <c r="H294" i="44"/>
  <c r="H293" i="44"/>
  <c r="H292" i="44"/>
  <c r="H291" i="44"/>
  <c r="H290" i="44"/>
  <c r="H289" i="44"/>
  <c r="H288" i="44"/>
  <c r="H287" i="44"/>
  <c r="H286" i="44"/>
  <c r="H285" i="44"/>
  <c r="H284" i="44"/>
  <c r="H283" i="44"/>
  <c r="H282" i="44"/>
  <c r="H281" i="44"/>
  <c r="H280" i="44"/>
  <c r="H279" i="44"/>
  <c r="H278" i="44"/>
  <c r="H277" i="44"/>
  <c r="H276" i="44"/>
  <c r="H275" i="44"/>
  <c r="H274" i="44"/>
  <c r="H273" i="44"/>
  <c r="H272" i="44"/>
  <c r="H271" i="44"/>
  <c r="H270" i="44"/>
  <c r="H269" i="44"/>
  <c r="H268" i="44"/>
  <c r="H267" i="44"/>
  <c r="H266" i="44"/>
  <c r="H265" i="44"/>
  <c r="H264" i="44"/>
  <c r="H263" i="44"/>
  <c r="H262" i="44"/>
  <c r="H261" i="44"/>
  <c r="H260" i="44"/>
  <c r="H259" i="44"/>
  <c r="H258" i="44"/>
  <c r="H257" i="44"/>
  <c r="H256" i="44"/>
  <c r="H255" i="44"/>
  <c r="H254" i="44"/>
  <c r="H253" i="44"/>
  <c r="H252" i="44"/>
  <c r="H251" i="44"/>
  <c r="H250" i="44"/>
  <c r="H249" i="44"/>
  <c r="H248" i="44"/>
  <c r="H247" i="44"/>
  <c r="H246" i="44"/>
  <c r="H245" i="44"/>
  <c r="H244" i="44"/>
  <c r="H243" i="44"/>
  <c r="H242" i="44"/>
  <c r="H241" i="44"/>
  <c r="H240" i="44"/>
  <c r="H239" i="44"/>
  <c r="H238" i="44"/>
  <c r="H237" i="44"/>
  <c r="H236" i="44"/>
  <c r="H235" i="44"/>
  <c r="H234" i="44"/>
  <c r="H233" i="44"/>
  <c r="H232" i="44"/>
  <c r="H231" i="44"/>
  <c r="H230" i="44"/>
  <c r="H229" i="44"/>
  <c r="H228" i="44"/>
  <c r="H227" i="44"/>
  <c r="H226" i="44"/>
  <c r="H225" i="44"/>
  <c r="H224" i="44"/>
  <c r="H223" i="44"/>
  <c r="H222" i="44"/>
  <c r="H221" i="44"/>
  <c r="H220" i="44"/>
  <c r="H219" i="44"/>
  <c r="H218" i="44"/>
  <c r="H217" i="44"/>
  <c r="H216" i="44"/>
  <c r="H215" i="44"/>
  <c r="H214" i="44"/>
  <c r="H213" i="44"/>
  <c r="H212" i="44"/>
  <c r="H211" i="44"/>
  <c r="H210" i="44"/>
  <c r="H209" i="44"/>
  <c r="H208" i="44"/>
  <c r="H207" i="44"/>
  <c r="H206" i="44"/>
  <c r="H205" i="44"/>
  <c r="H204" i="44"/>
  <c r="H203" i="44"/>
  <c r="H202" i="44"/>
  <c r="H201" i="44"/>
  <c r="H200" i="44"/>
  <c r="H199" i="44"/>
  <c r="H198" i="44"/>
  <c r="H197" i="44"/>
  <c r="H196" i="44"/>
  <c r="H195" i="44"/>
  <c r="H194" i="44"/>
  <c r="H193" i="44"/>
  <c r="H192" i="44"/>
  <c r="H191" i="44"/>
  <c r="H190" i="44"/>
  <c r="H189" i="44"/>
  <c r="H188" i="44"/>
  <c r="H187" i="44"/>
  <c r="H186" i="44"/>
  <c r="H185" i="44"/>
  <c r="H184" i="44"/>
  <c r="H183" i="44"/>
  <c r="H182" i="44"/>
  <c r="H181" i="44"/>
  <c r="H180" i="44"/>
  <c r="H179" i="44"/>
  <c r="H178" i="44"/>
  <c r="H177" i="44"/>
  <c r="H176" i="44"/>
  <c r="H175" i="44"/>
  <c r="H174" i="44"/>
  <c r="H173" i="44"/>
  <c r="H172" i="44"/>
  <c r="H171" i="44"/>
  <c r="H170" i="44"/>
  <c r="H169" i="44"/>
  <c r="H168" i="44"/>
  <c r="H167" i="44"/>
  <c r="H166" i="44"/>
  <c r="H165" i="44"/>
  <c r="H164" i="44"/>
  <c r="H163" i="44"/>
  <c r="H162" i="44"/>
  <c r="H161" i="44"/>
  <c r="H160" i="44"/>
  <c r="H159" i="44"/>
  <c r="H158" i="44"/>
  <c r="H157" i="44"/>
  <c r="H156" i="44"/>
  <c r="H155" i="44"/>
  <c r="H154" i="44"/>
  <c r="H153" i="44"/>
  <c r="H152" i="44"/>
  <c r="H151" i="44"/>
  <c r="H150" i="44"/>
  <c r="H149" i="44"/>
  <c r="H148" i="44"/>
  <c r="H147" i="44"/>
  <c r="H146" i="44"/>
  <c r="H145" i="44"/>
  <c r="H144" i="44"/>
  <c r="H143" i="44"/>
  <c r="H142" i="44"/>
  <c r="H141" i="44"/>
  <c r="H140" i="44"/>
  <c r="H139" i="44"/>
  <c r="H138" i="44"/>
  <c r="H137" i="44"/>
  <c r="H136" i="44"/>
  <c r="H135" i="44"/>
  <c r="H134" i="44"/>
  <c r="H133" i="44"/>
  <c r="H132" i="44"/>
  <c r="H131" i="44"/>
  <c r="H130" i="44"/>
  <c r="H129" i="44"/>
  <c r="H128" i="44"/>
  <c r="H127" i="44"/>
  <c r="H126" i="44"/>
  <c r="H125" i="44"/>
  <c r="H124" i="44"/>
  <c r="H123" i="44"/>
  <c r="H122" i="44"/>
  <c r="H121" i="44"/>
  <c r="H120" i="44"/>
  <c r="H119" i="44"/>
  <c r="H118" i="44"/>
  <c r="H117" i="44"/>
  <c r="H116" i="44"/>
  <c r="H115" i="44"/>
  <c r="H114" i="44"/>
  <c r="H113" i="44"/>
  <c r="H112" i="44"/>
  <c r="H111" i="44"/>
  <c r="H110" i="44"/>
  <c r="H109" i="44"/>
  <c r="H108" i="44"/>
  <c r="H107" i="44"/>
  <c r="H106" i="44"/>
  <c r="H105" i="44"/>
  <c r="H104" i="44"/>
  <c r="H103" i="44"/>
  <c r="H102" i="44"/>
  <c r="H101" i="44"/>
  <c r="H100" i="44"/>
  <c r="H99" i="44"/>
  <c r="H98" i="44"/>
  <c r="H97" i="44"/>
  <c r="H96" i="44"/>
  <c r="H95" i="44"/>
  <c r="H94" i="44"/>
  <c r="H93" i="44"/>
  <c r="H92" i="44"/>
  <c r="H91" i="44"/>
  <c r="H90" i="44"/>
  <c r="H89" i="44"/>
  <c r="H88" i="44"/>
  <c r="H87" i="44"/>
  <c r="H86" i="44"/>
  <c r="H85" i="44"/>
  <c r="H84" i="44"/>
  <c r="H83" i="44"/>
  <c r="H82" i="44"/>
  <c r="H81" i="44"/>
  <c r="H80" i="44"/>
  <c r="H79" i="44"/>
  <c r="H78" i="44"/>
  <c r="H77" i="44"/>
  <c r="H76" i="44"/>
  <c r="H75" i="44"/>
  <c r="H74" i="44"/>
  <c r="H73" i="44"/>
  <c r="H72" i="44"/>
  <c r="H71" i="44"/>
  <c r="H70" i="44"/>
  <c r="H69" i="44"/>
  <c r="H68" i="44"/>
  <c r="H67" i="44"/>
  <c r="H66" i="44"/>
  <c r="H65" i="44"/>
  <c r="H64" i="44"/>
  <c r="H63" i="44"/>
  <c r="H62" i="44"/>
  <c r="H61" i="44"/>
  <c r="H60" i="44"/>
  <c r="H59" i="44"/>
  <c r="H58" i="44"/>
  <c r="H57" i="44"/>
  <c r="H56" i="44"/>
  <c r="H55" i="44"/>
  <c r="H54" i="44"/>
  <c r="H53" i="44"/>
  <c r="H52" i="44"/>
  <c r="H51" i="44"/>
  <c r="H50" i="44"/>
  <c r="H49" i="44"/>
  <c r="H48" i="44"/>
  <c r="H47" i="44"/>
  <c r="H46" i="44"/>
  <c r="H45" i="44"/>
  <c r="H44" i="44"/>
  <c r="H43" i="44"/>
  <c r="H42" i="44"/>
  <c r="H41" i="44"/>
  <c r="H40" i="44"/>
  <c r="H39" i="44"/>
  <c r="H38" i="44"/>
  <c r="H37" i="44"/>
  <c r="H36" i="44"/>
  <c r="H35" i="44"/>
  <c r="H34" i="44"/>
  <c r="H33" i="44"/>
  <c r="H32" i="44"/>
  <c r="H31" i="44"/>
  <c r="H30" i="44"/>
  <c r="H29" i="44"/>
  <c r="H28" i="44"/>
  <c r="H27" i="44"/>
  <c r="H26" i="44"/>
  <c r="H25" i="44"/>
  <c r="H24" i="44"/>
  <c r="H23" i="44"/>
  <c r="H22" i="44"/>
  <c r="H21" i="44"/>
  <c r="H20" i="44"/>
  <c r="H19" i="44"/>
  <c r="H18" i="44"/>
  <c r="H17" i="44"/>
  <c r="H16" i="44"/>
  <c r="H15" i="44"/>
  <c r="H14" i="44"/>
  <c r="H13" i="44"/>
  <c r="H12" i="44"/>
  <c r="H11" i="44"/>
  <c r="H10" i="44"/>
  <c r="H9" i="44"/>
  <c r="H8" i="44"/>
  <c r="H7" i="44"/>
  <c r="H6" i="44"/>
  <c r="K333" i="44" l="1"/>
  <c r="K334" i="44" s="1"/>
  <c r="K335" i="44" s="1"/>
  <c r="K336" i="44" s="1"/>
  <c r="K337" i="44" s="1"/>
  <c r="K338" i="44" s="1"/>
  <c r="K339" i="44" s="1"/>
  <c r="K340" i="44" s="1"/>
  <c r="K341" i="44" s="1"/>
  <c r="K342" i="44" s="1"/>
  <c r="K343" i="44" s="1"/>
  <c r="K344" i="44" s="1"/>
  <c r="K345" i="44" s="1"/>
  <c r="K346" i="44" s="1"/>
  <c r="K347" i="44" s="1"/>
  <c r="K348" i="44" s="1"/>
  <c r="K349" i="44" s="1"/>
  <c r="K350" i="44" s="1"/>
  <c r="K351" i="44" s="1"/>
  <c r="K352" i="44" s="1"/>
  <c r="K353" i="44" s="1"/>
  <c r="K354" i="44" s="1"/>
  <c r="K355" i="44" s="1"/>
  <c r="K356" i="44" s="1"/>
  <c r="K357" i="44" s="1"/>
  <c r="K358" i="44" s="1"/>
  <c r="K359" i="44" s="1"/>
  <c r="K360" i="44" s="1"/>
  <c r="K361" i="44" s="1"/>
  <c r="K362" i="44" s="1"/>
  <c r="K363" i="44" s="1"/>
  <c r="K364" i="44" s="1"/>
  <c r="K365" i="44" s="1"/>
  <c r="K366" i="44" s="1"/>
  <c r="K367" i="44" s="1"/>
  <c r="K368" i="44" s="1"/>
  <c r="K369" i="44" s="1"/>
  <c r="K370" i="44" s="1"/>
  <c r="K371" i="44" s="1"/>
  <c r="K372" i="44" s="1"/>
  <c r="K373" i="44" s="1"/>
  <c r="K374" i="44" s="1"/>
  <c r="K375" i="44" s="1"/>
  <c r="K376" i="44" s="1"/>
  <c r="K377" i="44" s="1"/>
  <c r="K378" i="44" s="1"/>
  <c r="K379" i="44" s="1"/>
  <c r="K380" i="44" s="1"/>
  <c r="K381" i="44" s="1"/>
  <c r="K382" i="44" s="1"/>
  <c r="K383" i="44" s="1"/>
  <c r="K384" i="44" s="1"/>
  <c r="K385" i="44" s="1"/>
  <c r="K386" i="44" s="1"/>
  <c r="K387" i="44" s="1"/>
  <c r="K388" i="44" s="1"/>
  <c r="K389" i="44" s="1"/>
  <c r="K390" i="44" s="1"/>
  <c r="K391" i="44" s="1"/>
  <c r="K392" i="44" s="1"/>
  <c r="K393" i="44" s="1"/>
  <c r="K394" i="44" s="1"/>
  <c r="K395" i="44" s="1"/>
  <c r="K396" i="44" s="1"/>
  <c r="K397" i="44" s="1"/>
  <c r="K398" i="44" s="1"/>
  <c r="K399" i="44" s="1"/>
  <c r="K400" i="44" s="1"/>
  <c r="K401" i="44" s="1"/>
  <c r="K402" i="44" s="1"/>
  <c r="K403" i="44" s="1"/>
  <c r="K404" i="44" s="1"/>
  <c r="K405" i="44" s="1"/>
  <c r="K406" i="44" s="1"/>
  <c r="K407" i="44" s="1"/>
  <c r="K408" i="44" s="1"/>
  <c r="K409" i="44" s="1"/>
  <c r="K410" i="44" s="1"/>
  <c r="K411" i="44" s="1"/>
  <c r="K412" i="44" s="1"/>
  <c r="K413" i="44" s="1"/>
  <c r="S89" i="28"/>
  <c r="R89" i="28"/>
  <c r="Q89" i="28"/>
  <c r="P89" i="28"/>
  <c r="O89" i="28"/>
  <c r="L89" i="28"/>
  <c r="K89" i="28"/>
  <c r="J89" i="28"/>
  <c r="I89" i="28"/>
  <c r="H89" i="28"/>
  <c r="F89" i="28"/>
  <c r="D22" i="5" l="1"/>
  <c r="B3" i="1"/>
  <c r="F201" i="28"/>
  <c r="E78" i="1"/>
  <c r="F78" i="1"/>
  <c r="E79" i="1"/>
  <c r="F79" i="1"/>
  <c r="E80" i="1"/>
  <c r="D78" i="1"/>
  <c r="G78" i="1"/>
  <c r="H78" i="1"/>
  <c r="D79" i="1"/>
  <c r="G79" i="1"/>
  <c r="H79" i="1"/>
  <c r="E77" i="1"/>
  <c r="F77" i="1"/>
  <c r="G77" i="1"/>
  <c r="H77" i="1"/>
  <c r="D77" i="1"/>
  <c r="K78" i="1" l="1"/>
  <c r="K79" i="1"/>
  <c r="G134" i="28"/>
  <c r="G136" i="28"/>
  <c r="M29" i="28" l="1"/>
  <c r="N29" i="28" s="1"/>
  <c r="M28" i="28"/>
  <c r="N28" i="28" s="1"/>
  <c r="N25" i="28"/>
  <c r="M25" i="28"/>
  <c r="L25" i="28"/>
  <c r="K25" i="28"/>
  <c r="J25" i="28"/>
  <c r="I25" i="28"/>
  <c r="H25" i="28"/>
  <c r="G25" i="28"/>
  <c r="F25" i="28"/>
  <c r="E25" i="28"/>
  <c r="D25" i="28"/>
  <c r="C25" i="28"/>
  <c r="J316" i="28"/>
  <c r="J317" i="28"/>
  <c r="J318" i="28"/>
  <c r="J319" i="28"/>
  <c r="J320" i="28"/>
  <c r="J321" i="28"/>
  <c r="J322" i="28"/>
  <c r="J323" i="28"/>
  <c r="J324" i="28"/>
  <c r="J325" i="28"/>
  <c r="J326" i="28"/>
  <c r="J327" i="28"/>
  <c r="J328" i="28"/>
  <c r="J329" i="28"/>
  <c r="J330" i="28"/>
  <c r="J331" i="28"/>
  <c r="J332" i="28"/>
  <c r="J333" i="28"/>
  <c r="J334" i="28"/>
  <c r="J335" i="28"/>
  <c r="J336" i="28"/>
  <c r="J337" i="28"/>
  <c r="J338" i="28"/>
  <c r="J339" i="28"/>
  <c r="J340" i="28"/>
  <c r="J341" i="28"/>
  <c r="J342" i="28"/>
  <c r="J343" i="28"/>
  <c r="J315" i="28"/>
  <c r="C6" i="13" l="1" a="1"/>
  <c r="C6" i="13" s="1"/>
  <c r="J19" i="5"/>
  <c r="J20" i="5"/>
  <c r="J67" i="5" l="1"/>
  <c r="J68" i="5"/>
  <c r="J69" i="5"/>
  <c r="J70" i="5"/>
  <c r="J66" i="5"/>
  <c r="J56" i="5"/>
  <c r="J57" i="5"/>
  <c r="J55" i="5"/>
  <c r="J42" i="5"/>
  <c r="J43" i="5"/>
  <c r="J41" i="5"/>
  <c r="J21" i="5"/>
  <c r="J18" i="5"/>
  <c r="J17" i="5"/>
  <c r="J16" i="5"/>
  <c r="J15" i="5"/>
  <c r="J14" i="5"/>
  <c r="N349" i="28" l="1"/>
  <c r="O349" i="28" s="1"/>
  <c r="P349" i="28" s="1"/>
  <c r="Q349" i="28" s="1"/>
  <c r="R349" i="28" s="1"/>
  <c r="S349" i="28" s="1"/>
  <c r="D339" i="28" l="1"/>
  <c r="E339" i="28"/>
  <c r="F339" i="28"/>
  <c r="G339" i="28"/>
  <c r="C339" i="28"/>
  <c r="N314" i="28" l="1"/>
  <c r="O314" i="28" s="1"/>
  <c r="P314" i="28" s="1"/>
  <c r="Q314" i="28" s="1"/>
  <c r="R314" i="28" s="1"/>
  <c r="S314" i="28" s="1"/>
  <c r="D314" i="28" l="1"/>
  <c r="E314" i="28" s="1"/>
  <c r="F314" i="28" s="1"/>
  <c r="G314" i="28" s="1"/>
  <c r="H314" i="28" s="1"/>
  <c r="I314" i="28" s="1"/>
  <c r="A3" i="29"/>
  <c r="D23" i="11"/>
  <c r="E86" i="1" l="1"/>
  <c r="F84" i="4"/>
  <c r="G84" i="4"/>
  <c r="H84" i="4"/>
  <c r="I84" i="4"/>
  <c r="E84" i="4"/>
  <c r="E129" i="2" l="1"/>
  <c r="F129" i="2"/>
  <c r="G129" i="2"/>
  <c r="H129" i="2"/>
  <c r="D150" i="2"/>
  <c r="E69" i="4" l="1"/>
  <c r="F69" i="4"/>
  <c r="E68" i="4"/>
  <c r="D129" i="2" l="1"/>
  <c r="E150" i="2"/>
  <c r="G150" i="2"/>
  <c r="H150" i="2"/>
  <c r="J278" i="44" l="1"/>
  <c r="I278" i="44"/>
  <c r="J277" i="44"/>
  <c r="I277" i="44"/>
  <c r="J276" i="44"/>
  <c r="I276" i="44"/>
  <c r="J275" i="44"/>
  <c r="I275" i="44"/>
  <c r="J274" i="44"/>
  <c r="I274" i="44"/>
  <c r="J273" i="44"/>
  <c r="I273" i="44"/>
  <c r="J272" i="44"/>
  <c r="I272" i="44"/>
  <c r="J271" i="44"/>
  <c r="I271" i="44"/>
  <c r="J270" i="44"/>
  <c r="I270" i="44"/>
  <c r="J269" i="44"/>
  <c r="I269" i="44"/>
  <c r="J268" i="44"/>
  <c r="I268" i="44"/>
  <c r="J267" i="44"/>
  <c r="I267" i="44"/>
  <c r="J266" i="44"/>
  <c r="I266" i="44"/>
  <c r="J265" i="44"/>
  <c r="I265" i="44"/>
  <c r="J264" i="44"/>
  <c r="I264" i="44"/>
  <c r="J263" i="44"/>
  <c r="I263" i="44"/>
  <c r="J262" i="44"/>
  <c r="I262" i="44"/>
  <c r="J261" i="44"/>
  <c r="I261" i="44"/>
  <c r="J260" i="44"/>
  <c r="I260" i="44"/>
  <c r="J259" i="44"/>
  <c r="I259" i="44"/>
  <c r="J258" i="44"/>
  <c r="I258" i="44"/>
  <c r="J257" i="44"/>
  <c r="I257" i="44"/>
  <c r="J256" i="44"/>
  <c r="I256" i="44"/>
  <c r="J255" i="44"/>
  <c r="I255" i="44"/>
  <c r="J254" i="44"/>
  <c r="I254" i="44"/>
  <c r="J253" i="44"/>
  <c r="I253" i="44"/>
  <c r="J252" i="44"/>
  <c r="I252" i="44"/>
  <c r="J251" i="44"/>
  <c r="I251" i="44"/>
  <c r="J250" i="44"/>
  <c r="I250" i="44"/>
  <c r="J249" i="44"/>
  <c r="I249" i="44"/>
  <c r="J248" i="44"/>
  <c r="I248" i="44"/>
  <c r="J247" i="44"/>
  <c r="I247" i="44"/>
  <c r="J246" i="44"/>
  <c r="I246" i="44"/>
  <c r="J245" i="44"/>
  <c r="I245" i="44"/>
  <c r="J244" i="44"/>
  <c r="I244" i="44"/>
  <c r="J243" i="44"/>
  <c r="I243" i="44"/>
  <c r="J242" i="44"/>
  <c r="I242" i="44"/>
  <c r="J241" i="44"/>
  <c r="I241" i="44"/>
  <c r="J240" i="44"/>
  <c r="I240" i="44"/>
  <c r="J239" i="44"/>
  <c r="I239" i="44"/>
  <c r="J238" i="44"/>
  <c r="I238" i="44"/>
  <c r="J237" i="44"/>
  <c r="I237" i="44"/>
  <c r="J236" i="44"/>
  <c r="I236" i="44"/>
  <c r="J235" i="44"/>
  <c r="I235" i="44"/>
  <c r="J234" i="44"/>
  <c r="I234" i="44"/>
  <c r="J233" i="44"/>
  <c r="I233" i="44"/>
  <c r="J232" i="44"/>
  <c r="I232" i="44"/>
  <c r="J231" i="44"/>
  <c r="I231" i="44"/>
  <c r="J230" i="44"/>
  <c r="I230" i="44"/>
  <c r="J229" i="44"/>
  <c r="I229" i="44"/>
  <c r="J228" i="44"/>
  <c r="I228" i="44"/>
  <c r="J227" i="44"/>
  <c r="I227" i="44"/>
  <c r="J226" i="44"/>
  <c r="I226" i="44"/>
  <c r="J225" i="44"/>
  <c r="I225" i="44"/>
  <c r="J224" i="44"/>
  <c r="I224" i="44"/>
  <c r="J223" i="44"/>
  <c r="I223" i="44"/>
  <c r="J222" i="44"/>
  <c r="I222" i="44"/>
  <c r="J221" i="44"/>
  <c r="I221" i="44"/>
  <c r="J220" i="44"/>
  <c r="I220" i="44"/>
  <c r="J219" i="44"/>
  <c r="I219" i="44"/>
  <c r="J218" i="44"/>
  <c r="I218" i="44"/>
  <c r="J217" i="44"/>
  <c r="I217" i="44"/>
  <c r="J216" i="44"/>
  <c r="I216" i="44"/>
  <c r="J215" i="44"/>
  <c r="I215" i="44"/>
  <c r="J214" i="44"/>
  <c r="I214" i="44"/>
  <c r="J213" i="44"/>
  <c r="I213" i="44"/>
  <c r="J212" i="44"/>
  <c r="I212" i="44"/>
  <c r="J211" i="44"/>
  <c r="I211" i="44"/>
  <c r="J210" i="44"/>
  <c r="I210" i="44"/>
  <c r="J209" i="44"/>
  <c r="I209" i="44"/>
  <c r="J208" i="44"/>
  <c r="I208" i="44"/>
  <c r="J207" i="44"/>
  <c r="I207" i="44"/>
  <c r="J206" i="44"/>
  <c r="I206" i="44"/>
  <c r="J205" i="44"/>
  <c r="I205" i="44"/>
  <c r="J204" i="44"/>
  <c r="I204" i="44"/>
  <c r="J203" i="44"/>
  <c r="I203" i="44"/>
  <c r="J202" i="44"/>
  <c r="I202" i="44"/>
  <c r="J201" i="44"/>
  <c r="I201" i="44"/>
  <c r="J200" i="44"/>
  <c r="I200" i="44"/>
  <c r="J199" i="44"/>
  <c r="I199" i="44"/>
  <c r="J198" i="44"/>
  <c r="I198" i="44"/>
  <c r="J197" i="44"/>
  <c r="I197" i="44"/>
  <c r="J196" i="44"/>
  <c r="I196" i="44"/>
  <c r="J195" i="44"/>
  <c r="I195" i="44"/>
  <c r="J194" i="44"/>
  <c r="I194" i="44"/>
  <c r="J193" i="44"/>
  <c r="I193" i="44"/>
  <c r="J192" i="44"/>
  <c r="I192" i="44"/>
  <c r="J191" i="44"/>
  <c r="I191" i="44"/>
  <c r="J190" i="44"/>
  <c r="I190" i="44"/>
  <c r="J189" i="44"/>
  <c r="I189" i="44"/>
  <c r="J188" i="44"/>
  <c r="I188" i="44"/>
  <c r="J187" i="44"/>
  <c r="I187" i="44"/>
  <c r="J186" i="44"/>
  <c r="I186" i="44"/>
  <c r="J185" i="44"/>
  <c r="I185" i="44"/>
  <c r="J184" i="44"/>
  <c r="I184" i="44"/>
  <c r="J183" i="44"/>
  <c r="I183" i="44"/>
  <c r="J182" i="44"/>
  <c r="I182" i="44"/>
  <c r="J181" i="44"/>
  <c r="I181" i="44"/>
  <c r="J180" i="44"/>
  <c r="I180" i="44"/>
  <c r="J179" i="44"/>
  <c r="I179" i="44"/>
  <c r="J178" i="44"/>
  <c r="I178" i="44"/>
  <c r="J177" i="44"/>
  <c r="I177" i="44"/>
  <c r="J176" i="44"/>
  <c r="I176" i="44"/>
  <c r="J175" i="44"/>
  <c r="I175" i="44"/>
  <c r="J174" i="44"/>
  <c r="I174" i="44"/>
  <c r="J173" i="44"/>
  <c r="I173" i="44"/>
  <c r="J172" i="44"/>
  <c r="I172" i="44"/>
  <c r="J171" i="44"/>
  <c r="I171" i="44"/>
  <c r="J170" i="44"/>
  <c r="I170" i="44"/>
  <c r="J169" i="44"/>
  <c r="I169" i="44"/>
  <c r="J168" i="44"/>
  <c r="I168" i="44"/>
  <c r="J167" i="44"/>
  <c r="I167" i="44"/>
  <c r="J166" i="44"/>
  <c r="I166" i="44"/>
  <c r="J165" i="44"/>
  <c r="I165" i="44"/>
  <c r="J164" i="44"/>
  <c r="I164" i="44"/>
  <c r="J163" i="44"/>
  <c r="I163" i="44"/>
  <c r="J162" i="44"/>
  <c r="I162" i="44"/>
  <c r="J161" i="44"/>
  <c r="I161" i="44"/>
  <c r="J160" i="44"/>
  <c r="I160" i="44"/>
  <c r="J159" i="44"/>
  <c r="I159" i="44"/>
  <c r="J158" i="44"/>
  <c r="I158" i="44"/>
  <c r="J157" i="44"/>
  <c r="I157" i="44"/>
  <c r="J156" i="44"/>
  <c r="I156" i="44"/>
  <c r="J155" i="44"/>
  <c r="I155" i="44"/>
  <c r="J154" i="44"/>
  <c r="I154" i="44"/>
  <c r="J153" i="44"/>
  <c r="I153" i="44"/>
  <c r="J152" i="44"/>
  <c r="I152" i="44"/>
  <c r="J151" i="44"/>
  <c r="I151" i="44"/>
  <c r="J150" i="44"/>
  <c r="I150" i="44"/>
  <c r="J149" i="44"/>
  <c r="I149" i="44"/>
  <c r="J148" i="44"/>
  <c r="I148" i="44"/>
  <c r="J147" i="44"/>
  <c r="I147" i="44"/>
  <c r="J146" i="44"/>
  <c r="I146" i="44"/>
  <c r="J145" i="44"/>
  <c r="I145" i="44"/>
  <c r="J144" i="44"/>
  <c r="I144" i="44"/>
  <c r="J143" i="44"/>
  <c r="I143" i="44"/>
  <c r="J142" i="44"/>
  <c r="I142" i="44"/>
  <c r="J141" i="44"/>
  <c r="I141" i="44"/>
  <c r="J140" i="44"/>
  <c r="I140" i="44"/>
  <c r="J139" i="44"/>
  <c r="I139" i="44"/>
  <c r="J138" i="44"/>
  <c r="I138" i="44"/>
  <c r="J137" i="44"/>
  <c r="I137" i="44"/>
  <c r="J136" i="44"/>
  <c r="I136" i="44"/>
  <c r="J135" i="44"/>
  <c r="I135" i="44"/>
  <c r="J134" i="44"/>
  <c r="I134" i="44"/>
  <c r="J133" i="44"/>
  <c r="I133" i="44"/>
  <c r="J132" i="44"/>
  <c r="I132" i="44"/>
  <c r="J131" i="44"/>
  <c r="I131" i="44"/>
  <c r="J130" i="44"/>
  <c r="I130" i="44"/>
  <c r="J129" i="44"/>
  <c r="I129" i="44"/>
  <c r="J128" i="44"/>
  <c r="I128" i="44"/>
  <c r="J127" i="44"/>
  <c r="I127" i="44"/>
  <c r="J126" i="44"/>
  <c r="I126" i="44"/>
  <c r="J125" i="44"/>
  <c r="I125" i="44"/>
  <c r="J124" i="44"/>
  <c r="I124" i="44"/>
  <c r="J123" i="44"/>
  <c r="I123" i="44"/>
  <c r="J122" i="44"/>
  <c r="I122" i="44"/>
  <c r="J121" i="44"/>
  <c r="I121" i="44"/>
  <c r="J120" i="44"/>
  <c r="I120" i="44"/>
  <c r="J119" i="44"/>
  <c r="I119" i="44"/>
  <c r="J118" i="44"/>
  <c r="I118" i="44"/>
  <c r="J117" i="44"/>
  <c r="I117" i="44"/>
  <c r="J116" i="44"/>
  <c r="I116" i="44"/>
  <c r="J115" i="44"/>
  <c r="I115" i="44"/>
  <c r="J114" i="44"/>
  <c r="I114" i="44"/>
  <c r="J113" i="44"/>
  <c r="I113" i="44"/>
  <c r="J112" i="44"/>
  <c r="I112" i="44"/>
  <c r="J111" i="44"/>
  <c r="I111" i="44"/>
  <c r="J110" i="44"/>
  <c r="I110" i="44"/>
  <c r="J109" i="44"/>
  <c r="I109" i="44"/>
  <c r="J108" i="44"/>
  <c r="I108" i="44"/>
  <c r="J107" i="44"/>
  <c r="I107" i="44"/>
  <c r="J106" i="44"/>
  <c r="I106" i="44"/>
  <c r="J105" i="44"/>
  <c r="I105" i="44"/>
  <c r="J104" i="44"/>
  <c r="I104" i="44"/>
  <c r="J103" i="44"/>
  <c r="I103" i="44"/>
  <c r="J102" i="44"/>
  <c r="I102" i="44"/>
  <c r="J101" i="44"/>
  <c r="I101" i="44"/>
  <c r="J100" i="44"/>
  <c r="I100" i="44"/>
  <c r="J99" i="44"/>
  <c r="I99" i="44"/>
  <c r="J98" i="44"/>
  <c r="I98" i="44"/>
  <c r="J97" i="44"/>
  <c r="I97" i="44"/>
  <c r="J96" i="44"/>
  <c r="I96" i="44"/>
  <c r="J95" i="44"/>
  <c r="I95" i="44"/>
  <c r="J94" i="44"/>
  <c r="I94" i="44"/>
  <c r="J93" i="44"/>
  <c r="I93" i="44"/>
  <c r="J92" i="44"/>
  <c r="I92" i="44"/>
  <c r="J91" i="44"/>
  <c r="I91" i="44"/>
  <c r="J90" i="44"/>
  <c r="I90" i="44"/>
  <c r="J89" i="44"/>
  <c r="I89" i="44"/>
  <c r="J88" i="44"/>
  <c r="I88" i="44"/>
  <c r="J87" i="44"/>
  <c r="I87" i="44"/>
  <c r="J86" i="44"/>
  <c r="I86" i="44"/>
  <c r="J85" i="44"/>
  <c r="I85" i="44"/>
  <c r="J84" i="44"/>
  <c r="I84" i="44"/>
  <c r="J83" i="44"/>
  <c r="I83" i="44"/>
  <c r="J82" i="44"/>
  <c r="I82" i="44"/>
  <c r="J81" i="44"/>
  <c r="I81" i="44"/>
  <c r="J80" i="44"/>
  <c r="I80" i="44"/>
  <c r="J79" i="44"/>
  <c r="I79" i="44"/>
  <c r="J78" i="44"/>
  <c r="I78" i="44"/>
  <c r="J77" i="44"/>
  <c r="I77" i="44"/>
  <c r="J76" i="44"/>
  <c r="I76" i="44"/>
  <c r="J75" i="44"/>
  <c r="I75" i="44"/>
  <c r="J74" i="44"/>
  <c r="I74" i="44"/>
  <c r="J73" i="44"/>
  <c r="I73" i="44"/>
  <c r="J72" i="44"/>
  <c r="I72" i="44"/>
  <c r="J71" i="44"/>
  <c r="I71" i="44"/>
  <c r="J70" i="44"/>
  <c r="I70" i="44"/>
  <c r="J69" i="44"/>
  <c r="I69" i="44"/>
  <c r="J68" i="44"/>
  <c r="I68" i="44"/>
  <c r="J67" i="44"/>
  <c r="I67" i="44"/>
  <c r="J66" i="44"/>
  <c r="I66" i="44"/>
  <c r="J65" i="44"/>
  <c r="I65" i="44"/>
  <c r="J64" i="44"/>
  <c r="I64" i="44"/>
  <c r="J63" i="44"/>
  <c r="I63" i="44"/>
  <c r="J62" i="44"/>
  <c r="I62" i="44"/>
  <c r="J61" i="44"/>
  <c r="I61" i="44"/>
  <c r="J60" i="44"/>
  <c r="I60" i="44"/>
  <c r="J59" i="44"/>
  <c r="I59" i="44"/>
  <c r="J58" i="44"/>
  <c r="I58" i="44"/>
  <c r="J57" i="44"/>
  <c r="I57" i="44"/>
  <c r="J56" i="44"/>
  <c r="I56" i="44"/>
  <c r="J55" i="44"/>
  <c r="I55" i="44"/>
  <c r="J54" i="44"/>
  <c r="I54" i="44"/>
  <c r="J53" i="44"/>
  <c r="I53" i="44"/>
  <c r="J52" i="44"/>
  <c r="I52" i="44"/>
  <c r="J51" i="44"/>
  <c r="I51" i="44"/>
  <c r="J50" i="44"/>
  <c r="I50" i="44"/>
  <c r="J49" i="44"/>
  <c r="I49" i="44"/>
  <c r="J48" i="44"/>
  <c r="I48" i="44"/>
  <c r="J47" i="44"/>
  <c r="I47" i="44"/>
  <c r="J46" i="44"/>
  <c r="I46" i="44"/>
  <c r="J45" i="44"/>
  <c r="I45" i="44"/>
  <c r="J44" i="44"/>
  <c r="I44" i="44"/>
  <c r="J43" i="44"/>
  <c r="I43" i="44"/>
  <c r="J42" i="44"/>
  <c r="I42" i="44"/>
  <c r="J41" i="44"/>
  <c r="I41" i="44"/>
  <c r="J40" i="44"/>
  <c r="I40" i="44"/>
  <c r="J39" i="44"/>
  <c r="I39" i="44"/>
  <c r="J38" i="44"/>
  <c r="I38" i="44"/>
  <c r="J37" i="44"/>
  <c r="I37" i="44"/>
  <c r="J36" i="44"/>
  <c r="I36" i="44"/>
  <c r="J35" i="44"/>
  <c r="I35" i="44"/>
  <c r="J34" i="44"/>
  <c r="I34" i="44"/>
  <c r="J33" i="44"/>
  <c r="I33" i="44"/>
  <c r="J32" i="44"/>
  <c r="I32" i="44"/>
  <c r="J31" i="44"/>
  <c r="I31" i="44"/>
  <c r="J30" i="44"/>
  <c r="I30" i="44"/>
  <c r="J29" i="44"/>
  <c r="I29" i="44"/>
  <c r="J28" i="44"/>
  <c r="I28" i="44"/>
  <c r="J27" i="44"/>
  <c r="I27" i="44"/>
  <c r="J26" i="44"/>
  <c r="I26" i="44"/>
  <c r="J25" i="44"/>
  <c r="I25" i="44"/>
  <c r="J24" i="44"/>
  <c r="I24" i="44"/>
  <c r="J23" i="44"/>
  <c r="I23" i="44"/>
  <c r="J22" i="44"/>
  <c r="I22" i="44"/>
  <c r="J21" i="44"/>
  <c r="I21" i="44"/>
  <c r="J20" i="44"/>
  <c r="I20" i="44"/>
  <c r="J19" i="44"/>
  <c r="I19" i="44"/>
  <c r="J18" i="44"/>
  <c r="I18" i="44"/>
  <c r="J17" i="44"/>
  <c r="I17" i="44"/>
  <c r="J16" i="44"/>
  <c r="I16" i="44"/>
  <c r="J15" i="44"/>
  <c r="I15" i="44"/>
  <c r="J14" i="44"/>
  <c r="I14" i="44"/>
  <c r="J13" i="44"/>
  <c r="I13" i="44"/>
  <c r="J12" i="44"/>
  <c r="I12" i="44"/>
  <c r="J11" i="44"/>
  <c r="I11" i="44"/>
  <c r="J10" i="44"/>
  <c r="I10" i="44"/>
  <c r="J9" i="44"/>
  <c r="I9" i="44"/>
  <c r="J8" i="44"/>
  <c r="I8" i="44"/>
  <c r="J7" i="44"/>
  <c r="I7" i="44"/>
  <c r="J6" i="44"/>
  <c r="I6" i="44"/>
  <c r="A6" i="44"/>
  <c r="A2" i="44"/>
  <c r="A1" i="44"/>
  <c r="M5" i="43"/>
  <c r="N5" i="43" s="1"/>
  <c r="O5" i="43" s="1"/>
  <c r="P5" i="43" s="1"/>
  <c r="Q5" i="43" s="1"/>
  <c r="R5" i="43" s="1"/>
  <c r="S5" i="43" s="1"/>
  <c r="T5" i="43" s="1"/>
  <c r="U5" i="43" s="1"/>
  <c r="V5" i="43" s="1"/>
  <c r="A2" i="43"/>
  <c r="A1" i="43"/>
  <c r="F6" i="44" l="1"/>
  <c r="B6" i="44"/>
  <c r="G6" i="44"/>
  <c r="A7" i="44"/>
  <c r="F7" i="44" l="1"/>
  <c r="A8" i="44"/>
  <c r="B8" i="44" s="1"/>
  <c r="G7" i="44"/>
  <c r="B7" i="44"/>
  <c r="F8" i="44" l="1"/>
  <c r="G8" i="44"/>
  <c r="A9" i="44"/>
  <c r="G9" i="44"/>
  <c r="B9" i="44"/>
  <c r="A10" i="44"/>
  <c r="F9" i="44"/>
  <c r="F10" i="44" l="1"/>
  <c r="G10" i="44"/>
  <c r="B10" i="44"/>
  <c r="A11" i="44"/>
  <c r="G11" i="44" l="1"/>
  <c r="F11" i="44"/>
  <c r="B11" i="44"/>
  <c r="A12" i="44"/>
  <c r="A13" i="44" l="1"/>
  <c r="G12" i="44"/>
  <c r="F12" i="44"/>
  <c r="B12" i="44"/>
  <c r="A14" i="44" l="1"/>
  <c r="G13" i="44"/>
  <c r="F13" i="44"/>
  <c r="B13" i="44"/>
  <c r="F14" i="44" l="1"/>
  <c r="B14" i="44"/>
  <c r="A15" i="44"/>
  <c r="G14" i="44"/>
  <c r="B15" i="44" l="1"/>
  <c r="A16" i="44"/>
  <c r="G15" i="44"/>
  <c r="F15" i="44"/>
  <c r="F16" i="44" l="1"/>
  <c r="A17" i="44"/>
  <c r="G16" i="44"/>
  <c r="B16" i="44"/>
  <c r="G17" i="44" l="1"/>
  <c r="B17" i="44"/>
  <c r="F17" i="44"/>
  <c r="A18" i="44"/>
  <c r="F18" i="44" l="1"/>
  <c r="G18" i="44"/>
  <c r="B18" i="44"/>
  <c r="A19" i="44"/>
  <c r="G19" i="44" l="1"/>
  <c r="A20" i="44"/>
  <c r="F19" i="44"/>
  <c r="B19" i="44"/>
  <c r="A21" i="44" l="1"/>
  <c r="G20" i="44"/>
  <c r="F20" i="44"/>
  <c r="B20" i="44"/>
  <c r="A22" i="44" l="1"/>
  <c r="F21" i="44"/>
  <c r="B21" i="44"/>
  <c r="G21" i="44"/>
  <c r="G22" i="44" l="1"/>
  <c r="F22" i="44"/>
  <c r="B22" i="44"/>
  <c r="A23" i="44"/>
  <c r="B23" i="44" l="1"/>
  <c r="A24" i="44"/>
  <c r="G23" i="44"/>
  <c r="F23" i="44"/>
  <c r="F24" i="44" l="1"/>
  <c r="B24" i="44"/>
  <c r="A25" i="44"/>
  <c r="G24" i="44"/>
  <c r="G25" i="44" l="1"/>
  <c r="B25" i="44"/>
  <c r="F25" i="44"/>
  <c r="A26" i="44"/>
  <c r="F26" i="44" l="1"/>
  <c r="A27" i="44"/>
  <c r="G26" i="44"/>
  <c r="B26" i="44"/>
  <c r="G27" i="44" l="1"/>
  <c r="A28" i="44"/>
  <c r="F27" i="44"/>
  <c r="B27" i="44"/>
  <c r="F28" i="44" l="1"/>
  <c r="B28" i="44"/>
  <c r="A29" i="44"/>
  <c r="G28" i="44"/>
  <c r="A30" i="44" l="1"/>
  <c r="G29" i="44"/>
  <c r="F29" i="44"/>
  <c r="B29" i="44"/>
  <c r="A31" i="44" l="1"/>
  <c r="G30" i="44"/>
  <c r="F30" i="44"/>
  <c r="B30" i="44"/>
  <c r="B31" i="44" l="1"/>
  <c r="A32" i="44"/>
  <c r="G31" i="44"/>
  <c r="F31" i="44"/>
  <c r="F32" i="44" l="1"/>
  <c r="G32" i="44"/>
  <c r="B32" i="44"/>
  <c r="A33" i="44"/>
  <c r="G33" i="44" l="1"/>
  <c r="B33" i="44"/>
  <c r="A34" i="44"/>
  <c r="F33" i="44"/>
  <c r="A35" i="44" l="1"/>
  <c r="F34" i="44"/>
  <c r="G34" i="44"/>
  <c r="B34" i="44"/>
  <c r="A36" i="44" l="1"/>
  <c r="G35" i="44"/>
  <c r="F35" i="44"/>
  <c r="B35" i="44"/>
  <c r="B36" i="44" l="1"/>
  <c r="A37" i="44"/>
  <c r="G36" i="44"/>
  <c r="F36" i="44"/>
  <c r="F37" i="44" l="1"/>
  <c r="B37" i="44"/>
  <c r="G37" i="44"/>
  <c r="A38" i="44"/>
  <c r="G38" i="44" l="1"/>
  <c r="B38" i="44"/>
  <c r="A39" i="44"/>
  <c r="F38" i="44"/>
  <c r="F39" i="44" l="1"/>
  <c r="A40" i="44"/>
  <c r="G39" i="44"/>
  <c r="B39" i="44"/>
  <c r="G40" i="44" l="1"/>
  <c r="F40" i="44"/>
  <c r="B40" i="44"/>
  <c r="A41" i="44"/>
  <c r="F41" i="44" l="1"/>
  <c r="A42" i="44"/>
  <c r="G41" i="44"/>
  <c r="B41" i="44"/>
  <c r="A43" i="44" l="1"/>
  <c r="B42" i="44"/>
  <c r="G42" i="44"/>
  <c r="F42" i="44"/>
  <c r="A44" i="44" l="1"/>
  <c r="G43" i="44"/>
  <c r="F43" i="44"/>
  <c r="B43" i="44"/>
  <c r="B44" i="44" l="1"/>
  <c r="A45" i="44"/>
  <c r="G44" i="44"/>
  <c r="F44" i="44"/>
  <c r="F45" i="44" l="1"/>
  <c r="G45" i="44"/>
  <c r="B45" i="44"/>
  <c r="A46" i="44"/>
  <c r="G46" i="44" l="1"/>
  <c r="B46" i="44"/>
  <c r="A47" i="44"/>
  <c r="F46" i="44"/>
  <c r="F47" i="44" l="1"/>
  <c r="G47" i="44"/>
  <c r="B47" i="44"/>
  <c r="A48" i="44"/>
  <c r="G48" i="44" l="1"/>
  <c r="F48" i="44"/>
  <c r="A49" i="44"/>
  <c r="B48" i="44"/>
  <c r="A50" i="44" l="1"/>
  <c r="G49" i="44"/>
  <c r="F49" i="44"/>
  <c r="B49" i="44"/>
  <c r="A51" i="44" l="1"/>
  <c r="G50" i="44"/>
  <c r="F50" i="44"/>
  <c r="B50" i="44"/>
  <c r="F51" i="44" l="1"/>
  <c r="A52" i="44"/>
  <c r="G51" i="44"/>
  <c r="B51" i="44"/>
  <c r="B52" i="44" l="1"/>
  <c r="A53" i="44"/>
  <c r="G52" i="44"/>
  <c r="F52" i="44"/>
  <c r="F53" i="44" l="1"/>
  <c r="A54" i="44"/>
  <c r="G53" i="44"/>
  <c r="B53" i="44"/>
  <c r="G54" i="44" l="1"/>
  <c r="B54" i="44"/>
  <c r="F54" i="44"/>
  <c r="A55" i="44"/>
  <c r="F55" i="44" l="1"/>
  <c r="G55" i="44"/>
  <c r="B55" i="44"/>
  <c r="A56" i="44"/>
  <c r="G56" i="44" l="1"/>
  <c r="A57" i="44"/>
  <c r="F56" i="44"/>
  <c r="B56" i="44"/>
  <c r="A58" i="44" l="1"/>
  <c r="F57" i="44"/>
  <c r="B57" i="44"/>
  <c r="G57" i="44"/>
  <c r="A59" i="44" l="1"/>
  <c r="F58" i="44"/>
  <c r="G58" i="44"/>
  <c r="B58" i="44"/>
  <c r="F59" i="44" l="1"/>
  <c r="A60" i="44"/>
  <c r="G59" i="44"/>
  <c r="B59" i="44"/>
  <c r="B60" i="44" l="1"/>
  <c r="A61" i="44"/>
  <c r="G60" i="44"/>
  <c r="F60" i="44"/>
  <c r="F61" i="44" l="1"/>
  <c r="B61" i="44"/>
  <c r="A62" i="44"/>
  <c r="G61" i="44"/>
  <c r="G62" i="44" l="1"/>
  <c r="B62" i="44"/>
  <c r="F62" i="44"/>
  <c r="A63" i="44"/>
  <c r="F63" i="44" l="1"/>
  <c r="A64" i="44"/>
  <c r="G63" i="44"/>
  <c r="B63" i="44"/>
  <c r="G64" i="44" l="1"/>
  <c r="A65" i="44"/>
  <c r="F64" i="44"/>
  <c r="B64" i="44"/>
  <c r="F65" i="44" l="1"/>
  <c r="G65" i="44"/>
  <c r="B65" i="44"/>
  <c r="A66" i="44"/>
  <c r="A67" i="44" l="1"/>
  <c r="F66" i="44"/>
  <c r="G66" i="44"/>
  <c r="B66" i="44"/>
  <c r="A68" i="44" l="1"/>
  <c r="B67" i="44"/>
  <c r="G67" i="44"/>
  <c r="F67" i="44"/>
  <c r="B68" i="44" l="1"/>
  <c r="A69" i="44"/>
  <c r="G68" i="44"/>
  <c r="F68" i="44"/>
  <c r="F69" i="44" l="1"/>
  <c r="B69" i="44"/>
  <c r="A70" i="44"/>
  <c r="G69" i="44"/>
  <c r="G70" i="44" l="1"/>
  <c r="B70" i="44"/>
  <c r="A71" i="44"/>
  <c r="F70" i="44"/>
  <c r="F71" i="44" l="1"/>
  <c r="A72" i="44"/>
  <c r="G71" i="44"/>
  <c r="B71" i="44"/>
  <c r="G72" i="44" l="1"/>
  <c r="F72" i="44"/>
  <c r="B72" i="44"/>
  <c r="A73" i="44"/>
  <c r="F73" i="44" l="1"/>
  <c r="G73" i="44"/>
  <c r="B73" i="44"/>
  <c r="A74" i="44"/>
  <c r="A75" i="44" l="1"/>
  <c r="G74" i="44"/>
  <c r="F74" i="44"/>
  <c r="B74" i="44"/>
  <c r="A76" i="44" l="1"/>
  <c r="F75" i="44"/>
  <c r="B75" i="44"/>
  <c r="G75" i="44"/>
  <c r="B76" i="44" l="1"/>
  <c r="A77" i="44"/>
  <c r="G76" i="44"/>
  <c r="F76" i="44"/>
  <c r="F77" i="44" l="1"/>
  <c r="B77" i="44"/>
  <c r="A78" i="44"/>
  <c r="G77" i="44"/>
  <c r="G78" i="44" l="1"/>
  <c r="B78" i="44"/>
  <c r="A79" i="44"/>
  <c r="F78" i="44"/>
  <c r="F79" i="44" l="1"/>
  <c r="G79" i="44"/>
  <c r="A80" i="44"/>
  <c r="B79" i="44"/>
  <c r="G80" i="44" l="1"/>
  <c r="F80" i="44"/>
  <c r="B80" i="44"/>
  <c r="A81" i="44"/>
  <c r="A82" i="44" l="1"/>
  <c r="G81" i="44"/>
  <c r="F81" i="44"/>
  <c r="B81" i="44"/>
  <c r="A83" i="44" l="1"/>
  <c r="B82" i="44"/>
  <c r="G82" i="44"/>
  <c r="F82" i="44"/>
  <c r="F83" i="44" l="1"/>
  <c r="G83" i="44"/>
  <c r="B83" i="44"/>
  <c r="A84" i="44"/>
  <c r="B84" i="44" l="1"/>
  <c r="A85" i="44"/>
  <c r="G84" i="44"/>
  <c r="F84" i="44"/>
  <c r="F85" i="44" l="1"/>
  <c r="G85" i="44"/>
  <c r="B85" i="44"/>
  <c r="A86" i="44"/>
  <c r="G86" i="44" l="1"/>
  <c r="B86" i="44"/>
  <c r="F86" i="44"/>
  <c r="A87" i="44"/>
  <c r="F87" i="44" l="1"/>
  <c r="G87" i="44"/>
  <c r="B87" i="44"/>
  <c r="A88" i="44"/>
  <c r="G88" i="44" l="1"/>
  <c r="A89" i="44"/>
  <c r="F88" i="44"/>
  <c r="B88" i="44"/>
  <c r="A90" i="44" l="1"/>
  <c r="G89" i="44"/>
  <c r="F89" i="44"/>
  <c r="B89" i="44"/>
  <c r="A91" i="44" l="1"/>
  <c r="F90" i="44"/>
  <c r="G90" i="44"/>
  <c r="B90" i="44"/>
  <c r="F91" i="44" l="1"/>
  <c r="A92" i="44"/>
  <c r="G91" i="44"/>
  <c r="B91" i="44"/>
  <c r="B92" i="44" l="1"/>
  <c r="A93" i="44"/>
  <c r="F92" i="44"/>
  <c r="G92" i="44"/>
  <c r="F93" i="44" l="1"/>
  <c r="B93" i="44"/>
  <c r="G93" i="44"/>
  <c r="A94" i="44"/>
  <c r="G94" i="44" l="1"/>
  <c r="B94" i="44"/>
  <c r="F94" i="44"/>
  <c r="A95" i="44"/>
  <c r="F95" i="44" l="1"/>
  <c r="A96" i="44"/>
  <c r="G95" i="44"/>
  <c r="B95" i="44"/>
  <c r="G96" i="44" l="1"/>
  <c r="A97" i="44"/>
  <c r="F96" i="44"/>
  <c r="B96" i="44"/>
  <c r="F97" i="44" l="1"/>
  <c r="B97" i="44"/>
  <c r="A98" i="44"/>
  <c r="G97" i="44"/>
  <c r="A99" i="44" l="1"/>
  <c r="F98" i="44"/>
  <c r="G98" i="44"/>
  <c r="B98" i="44"/>
  <c r="A100" i="44" l="1"/>
  <c r="G99" i="44"/>
  <c r="F99" i="44"/>
  <c r="B99" i="44"/>
  <c r="B100" i="44" l="1"/>
  <c r="A101" i="44"/>
  <c r="G100" i="44"/>
  <c r="F100" i="44"/>
  <c r="F101" i="44" l="1"/>
  <c r="B101" i="44"/>
  <c r="A102" i="44"/>
  <c r="G101" i="44"/>
  <c r="G102" i="44" l="1"/>
  <c r="B102" i="44"/>
  <c r="A103" i="44"/>
  <c r="F102" i="44"/>
  <c r="F103" i="44" l="1"/>
  <c r="B103" i="44"/>
  <c r="A104" i="44"/>
  <c r="G103" i="44"/>
  <c r="G104" i="44" l="1"/>
  <c r="A105" i="44"/>
  <c r="F104" i="44"/>
  <c r="B104" i="44"/>
  <c r="B105" i="44" l="1"/>
  <c r="G105" i="44"/>
  <c r="F105" i="44"/>
  <c r="A106" i="44"/>
  <c r="A107" i="44" l="1"/>
  <c r="G106" i="44"/>
  <c r="F106" i="44"/>
  <c r="B106" i="44"/>
  <c r="B107" i="44" l="1"/>
  <c r="A108" i="44"/>
  <c r="F107" i="44"/>
  <c r="G107" i="44"/>
  <c r="B108" i="44" l="1"/>
  <c r="A109" i="44"/>
  <c r="G108" i="44"/>
  <c r="F108" i="44"/>
  <c r="F109" i="44" l="1"/>
  <c r="G109" i="44"/>
  <c r="B109" i="44"/>
  <c r="A110" i="44"/>
  <c r="G110" i="44" l="1"/>
  <c r="B110" i="44"/>
  <c r="A111" i="44"/>
  <c r="F110" i="44"/>
  <c r="F111" i="44" l="1"/>
  <c r="A112" i="44"/>
  <c r="G111" i="44"/>
  <c r="B111" i="44"/>
  <c r="G112" i="44" l="1"/>
  <c r="B112" i="44"/>
  <c r="F112" i="44"/>
  <c r="A113" i="44"/>
  <c r="G113" i="44" l="1"/>
  <c r="F113" i="44"/>
  <c r="A114" i="44"/>
  <c r="B113" i="44"/>
  <c r="A115" i="44" l="1"/>
  <c r="B114" i="44"/>
  <c r="G114" i="44"/>
  <c r="F114" i="44"/>
  <c r="A116" i="44" l="1"/>
  <c r="G115" i="44"/>
  <c r="F115" i="44"/>
  <c r="B115" i="44"/>
  <c r="B116" i="44" l="1"/>
  <c r="A117" i="44"/>
  <c r="F116" i="44"/>
  <c r="G116" i="44"/>
  <c r="F117" i="44" l="1"/>
  <c r="A118" i="44"/>
  <c r="G117" i="44"/>
  <c r="B117" i="44"/>
  <c r="G118" i="44" l="1"/>
  <c r="B118" i="44"/>
  <c r="A119" i="44"/>
  <c r="F118" i="44"/>
  <c r="F119" i="44" l="1"/>
  <c r="B119" i="44"/>
  <c r="G119" i="44"/>
  <c r="A120" i="44"/>
  <c r="G120" i="44" l="1"/>
  <c r="F120" i="44"/>
  <c r="A121" i="44"/>
  <c r="B120" i="44"/>
  <c r="B121" i="44" l="1"/>
  <c r="A122" i="44"/>
  <c r="G121" i="44"/>
  <c r="F121" i="44"/>
  <c r="A123" i="44" l="1"/>
  <c r="G122" i="44"/>
  <c r="F122" i="44"/>
  <c r="B122" i="44"/>
  <c r="B123" i="44" l="1"/>
  <c r="G123" i="44"/>
  <c r="F123" i="44"/>
  <c r="A124" i="44"/>
  <c r="B124" i="44" l="1"/>
  <c r="A125" i="44"/>
  <c r="G124" i="44"/>
  <c r="F124" i="44"/>
  <c r="F125" i="44" l="1"/>
  <c r="A126" i="44"/>
  <c r="G125" i="44"/>
  <c r="B125" i="44"/>
  <c r="G126" i="44" l="1"/>
  <c r="B126" i="44"/>
  <c r="F126" i="44"/>
  <c r="A127" i="44"/>
  <c r="F127" i="44" l="1"/>
  <c r="G127" i="44"/>
  <c r="A128" i="44"/>
  <c r="B127" i="44"/>
  <c r="G128" i="44" l="1"/>
  <c r="B128" i="44"/>
  <c r="A129" i="44"/>
  <c r="F128" i="44"/>
  <c r="A130" i="44" l="1"/>
  <c r="G129" i="44"/>
  <c r="F129" i="44"/>
  <c r="B129" i="44"/>
  <c r="A131" i="44" l="1"/>
  <c r="B130" i="44"/>
  <c r="G130" i="44"/>
  <c r="F130" i="44"/>
  <c r="G131" i="44" l="1"/>
  <c r="F131" i="44"/>
  <c r="A132" i="44"/>
  <c r="B131" i="44"/>
  <c r="B132" i="44" l="1"/>
  <c r="A133" i="44"/>
  <c r="F132" i="44"/>
  <c r="G132" i="44"/>
  <c r="F133" i="44" l="1"/>
  <c r="G133" i="44"/>
  <c r="B133" i="44"/>
  <c r="A134" i="44"/>
  <c r="G134" i="44" l="1"/>
  <c r="B134" i="44"/>
  <c r="F134" i="44"/>
  <c r="A135" i="44"/>
  <c r="F135" i="44" l="1"/>
  <c r="B135" i="44"/>
  <c r="A136" i="44"/>
  <c r="G135" i="44"/>
  <c r="G136" i="44" l="1"/>
  <c r="A137" i="44"/>
  <c r="F136" i="44"/>
  <c r="B136" i="44"/>
  <c r="B137" i="44" l="1"/>
  <c r="G137" i="44"/>
  <c r="F137" i="44"/>
  <c r="A138" i="44"/>
  <c r="A139" i="44" l="1"/>
  <c r="G138" i="44"/>
  <c r="F138" i="44"/>
  <c r="B138" i="44"/>
  <c r="B139" i="44" l="1"/>
  <c r="A140" i="44"/>
  <c r="G139" i="44"/>
  <c r="F139" i="44"/>
  <c r="B140" i="44" l="1"/>
  <c r="A141" i="44"/>
  <c r="G140" i="44"/>
  <c r="F140" i="44"/>
  <c r="F141" i="44" l="1"/>
  <c r="G141" i="44"/>
  <c r="B141" i="44"/>
  <c r="A142" i="44"/>
  <c r="G142" i="44" l="1"/>
  <c r="B142" i="44"/>
  <c r="A143" i="44"/>
  <c r="F142" i="44"/>
  <c r="F143" i="44" l="1"/>
  <c r="A144" i="44"/>
  <c r="G143" i="44"/>
  <c r="B143" i="44"/>
  <c r="G144" i="44" l="1"/>
  <c r="B144" i="44"/>
  <c r="F144" i="44"/>
  <c r="A145" i="44"/>
  <c r="G145" i="44" l="1"/>
  <c r="F145" i="44"/>
  <c r="A146" i="44"/>
  <c r="B145" i="44"/>
  <c r="A147" i="44" l="1"/>
  <c r="B146" i="44"/>
  <c r="G146" i="44"/>
  <c r="F146" i="44"/>
  <c r="A148" i="44" l="1"/>
  <c r="G147" i="44"/>
  <c r="F147" i="44"/>
  <c r="B147" i="44"/>
  <c r="B148" i="44" l="1"/>
  <c r="A149" i="44"/>
  <c r="F148" i="44"/>
  <c r="G148" i="44"/>
  <c r="F149" i="44" l="1"/>
  <c r="A150" i="44"/>
  <c r="G149" i="44"/>
  <c r="B149" i="44"/>
  <c r="G150" i="44" l="1"/>
  <c r="B150" i="44"/>
  <c r="A151" i="44"/>
  <c r="F150" i="44"/>
  <c r="F151" i="44" l="1"/>
  <c r="B151" i="44"/>
  <c r="G151" i="44"/>
  <c r="A152" i="44"/>
  <c r="G152" i="44" l="1"/>
  <c r="F152" i="44"/>
  <c r="A153" i="44"/>
  <c r="B152" i="44"/>
  <c r="B153" i="44" l="1"/>
  <c r="A154" i="44"/>
  <c r="F153" i="44"/>
  <c r="G153" i="44"/>
  <c r="A155" i="44" l="1"/>
  <c r="G154" i="44"/>
  <c r="F154" i="44"/>
  <c r="B154" i="44"/>
  <c r="B155" i="44" l="1"/>
  <c r="G155" i="44"/>
  <c r="F155" i="44"/>
  <c r="A156" i="44"/>
  <c r="B156" i="44" l="1"/>
  <c r="A157" i="44"/>
  <c r="G156" i="44"/>
  <c r="F156" i="44"/>
  <c r="F157" i="44" l="1"/>
  <c r="A158" i="44"/>
  <c r="G157" i="44"/>
  <c r="B157" i="44"/>
  <c r="G158" i="44" l="1"/>
  <c r="B158" i="44"/>
  <c r="F158" i="44"/>
  <c r="A159" i="44"/>
  <c r="F159" i="44" l="1"/>
  <c r="G159" i="44"/>
  <c r="A160" i="44"/>
  <c r="B159" i="44"/>
  <c r="G160" i="44" l="1"/>
  <c r="B160" i="44"/>
  <c r="A161" i="44"/>
  <c r="F160" i="44"/>
  <c r="A162" i="44" l="1"/>
  <c r="G161" i="44"/>
  <c r="F161" i="44"/>
  <c r="B161" i="44"/>
  <c r="A163" i="44" l="1"/>
  <c r="B162" i="44"/>
  <c r="G162" i="44"/>
  <c r="F162" i="44"/>
  <c r="G163" i="44" l="1"/>
  <c r="F163" i="44"/>
  <c r="A164" i="44"/>
  <c r="B163" i="44"/>
  <c r="B164" i="44" l="1"/>
  <c r="A165" i="44"/>
  <c r="F164" i="44"/>
  <c r="G164" i="44"/>
  <c r="F165" i="44" l="1"/>
  <c r="G165" i="44"/>
  <c r="B165" i="44"/>
  <c r="A166" i="44"/>
  <c r="G166" i="44" l="1"/>
  <c r="B166" i="44"/>
  <c r="F166" i="44"/>
  <c r="A167" i="44"/>
  <c r="F167" i="44" l="1"/>
  <c r="B167" i="44"/>
  <c r="A168" i="44"/>
  <c r="G167" i="44"/>
  <c r="G168" i="44" l="1"/>
  <c r="A169" i="44"/>
  <c r="F168" i="44"/>
  <c r="B168" i="44"/>
  <c r="B169" i="44" l="1"/>
  <c r="G169" i="44"/>
  <c r="F169" i="44"/>
  <c r="A170" i="44"/>
  <c r="A171" i="44" l="1"/>
  <c r="G170" i="44"/>
  <c r="F170" i="44"/>
  <c r="B170" i="44"/>
  <c r="B171" i="44" l="1"/>
  <c r="A172" i="44"/>
  <c r="G171" i="44"/>
  <c r="F171" i="44"/>
  <c r="B172" i="44" l="1"/>
  <c r="A173" i="44"/>
  <c r="G172" i="44"/>
  <c r="F172" i="44"/>
  <c r="F173" i="44" l="1"/>
  <c r="G173" i="44"/>
  <c r="B173" i="44"/>
  <c r="A174" i="44"/>
  <c r="G174" i="44" l="1"/>
  <c r="B174" i="44"/>
  <c r="A175" i="44"/>
  <c r="F174" i="44"/>
  <c r="F175" i="44" l="1"/>
  <c r="A176" i="44"/>
  <c r="G175" i="44"/>
  <c r="B175" i="44"/>
  <c r="G176" i="44" l="1"/>
  <c r="B176" i="44"/>
  <c r="F176" i="44"/>
  <c r="A177" i="44"/>
  <c r="G177" i="44" l="1"/>
  <c r="F177" i="44"/>
  <c r="A178" i="44"/>
  <c r="B177" i="44"/>
  <c r="A179" i="44" l="1"/>
  <c r="B178" i="44"/>
  <c r="G178" i="44"/>
  <c r="F178" i="44"/>
  <c r="A180" i="44" l="1"/>
  <c r="G179" i="44"/>
  <c r="F179" i="44"/>
  <c r="B179" i="44"/>
  <c r="B180" i="44" l="1"/>
  <c r="A181" i="44"/>
  <c r="F180" i="44"/>
  <c r="G180" i="44"/>
  <c r="F181" i="44" l="1"/>
  <c r="A182" i="44"/>
  <c r="G181" i="44"/>
  <c r="B181" i="44"/>
  <c r="G182" i="44" l="1"/>
  <c r="B182" i="44"/>
  <c r="A183" i="44"/>
  <c r="F182" i="44"/>
  <c r="F183" i="44" l="1"/>
  <c r="B183" i="44"/>
  <c r="G183" i="44"/>
  <c r="A184" i="44"/>
  <c r="G184" i="44" l="1"/>
  <c r="F184" i="44"/>
  <c r="A185" i="44"/>
  <c r="B184" i="44"/>
  <c r="B185" i="44" l="1"/>
  <c r="A186" i="44"/>
  <c r="G185" i="44"/>
  <c r="F185" i="44"/>
  <c r="A187" i="44" l="1"/>
  <c r="G186" i="44"/>
  <c r="F186" i="44"/>
  <c r="B186" i="44"/>
  <c r="B187" i="44" l="1"/>
  <c r="G187" i="44"/>
  <c r="F187" i="44"/>
  <c r="A188" i="44"/>
  <c r="B188" i="44" l="1"/>
  <c r="A189" i="44"/>
  <c r="G188" i="44"/>
  <c r="F188" i="44"/>
  <c r="F189" i="44" l="1"/>
  <c r="A190" i="44"/>
  <c r="G189" i="44"/>
  <c r="B189" i="44"/>
  <c r="G190" i="44" l="1"/>
  <c r="B190" i="44"/>
  <c r="F190" i="44"/>
  <c r="A191" i="44"/>
  <c r="F191" i="44" l="1"/>
  <c r="G191" i="44"/>
  <c r="A192" i="44"/>
  <c r="B191" i="44"/>
  <c r="G192" i="44" l="1"/>
  <c r="B192" i="44"/>
  <c r="A193" i="44"/>
  <c r="F192" i="44"/>
  <c r="A194" i="44" l="1"/>
  <c r="G193" i="44"/>
  <c r="F193" i="44"/>
  <c r="B193" i="44"/>
  <c r="A195" i="44" l="1"/>
  <c r="B194" i="44"/>
  <c r="G194" i="44"/>
  <c r="F194" i="44"/>
  <c r="G195" i="44" l="1"/>
  <c r="F195" i="44"/>
  <c r="A196" i="44"/>
  <c r="B195" i="44"/>
  <c r="B196" i="44" l="1"/>
  <c r="A197" i="44"/>
  <c r="F196" i="44"/>
  <c r="G196" i="44"/>
  <c r="F197" i="44" l="1"/>
  <c r="G197" i="44"/>
  <c r="B197" i="44"/>
  <c r="A198" i="44"/>
  <c r="G198" i="44" l="1"/>
  <c r="B198" i="44"/>
  <c r="F198" i="44"/>
  <c r="A199" i="44"/>
  <c r="F199" i="44" l="1"/>
  <c r="B199" i="44"/>
  <c r="A200" i="44"/>
  <c r="G199" i="44"/>
  <c r="G200" i="44" l="1"/>
  <c r="A201" i="44"/>
  <c r="F200" i="44"/>
  <c r="B200" i="44"/>
  <c r="B201" i="44" l="1"/>
  <c r="G201" i="44"/>
  <c r="F201" i="44"/>
  <c r="A202" i="44"/>
  <c r="A203" i="44" l="1"/>
  <c r="G202" i="44"/>
  <c r="F202" i="44"/>
  <c r="B202" i="44"/>
  <c r="B203" i="44" l="1"/>
  <c r="A204" i="44"/>
  <c r="G203" i="44"/>
  <c r="F203" i="44"/>
  <c r="B204" i="44" l="1"/>
  <c r="A205" i="44"/>
  <c r="G204" i="44"/>
  <c r="F204" i="44"/>
  <c r="F205" i="44" l="1"/>
  <c r="G205" i="44"/>
  <c r="B205" i="44"/>
  <c r="A206" i="44"/>
  <c r="G206" i="44" l="1"/>
  <c r="B206" i="44"/>
  <c r="A207" i="44"/>
  <c r="F206" i="44"/>
  <c r="F207" i="44" l="1"/>
  <c r="A208" i="44"/>
  <c r="G207" i="44"/>
  <c r="B207" i="44"/>
  <c r="G208" i="44" l="1"/>
  <c r="B208" i="44"/>
  <c r="A209" i="44"/>
  <c r="F208" i="44"/>
  <c r="A210" i="44" l="1"/>
  <c r="G209" i="44"/>
  <c r="F209" i="44"/>
  <c r="B209" i="44"/>
  <c r="F210" i="44" l="1"/>
  <c r="B210" i="44"/>
  <c r="A211" i="44"/>
  <c r="G210" i="44"/>
  <c r="G211" i="44" l="1"/>
  <c r="B211" i="44"/>
  <c r="F211" i="44"/>
  <c r="A212" i="44"/>
  <c r="F212" i="44" l="1"/>
  <c r="A213" i="44"/>
  <c r="B212" i="44"/>
  <c r="G212" i="44"/>
  <c r="G213" i="44" l="1"/>
  <c r="A214" i="44"/>
  <c r="F213" i="44"/>
  <c r="B213" i="44"/>
  <c r="F214" i="44" l="1"/>
  <c r="G214" i="44"/>
  <c r="A215" i="44"/>
  <c r="B214" i="44"/>
  <c r="A216" i="44" l="1"/>
  <c r="F215" i="44"/>
  <c r="G215" i="44"/>
  <c r="B215" i="44"/>
  <c r="A217" i="44" l="1"/>
  <c r="B216" i="44"/>
  <c r="G216" i="44"/>
  <c r="F216" i="44"/>
  <c r="B217" i="44" l="1"/>
  <c r="A218" i="44"/>
  <c r="G217" i="44"/>
  <c r="F217" i="44"/>
  <c r="F218" i="44" l="1"/>
  <c r="B218" i="44"/>
  <c r="G218" i="44"/>
  <c r="A219" i="44"/>
  <c r="G219" i="44" l="1"/>
  <c r="B219" i="44"/>
  <c r="A220" i="44"/>
  <c r="F219" i="44"/>
  <c r="F220" i="44" l="1"/>
  <c r="A221" i="44"/>
  <c r="G220" i="44"/>
  <c r="B220" i="44"/>
  <c r="G221" i="44" l="1"/>
  <c r="F221" i="44"/>
  <c r="B221" i="44"/>
  <c r="A222" i="44"/>
  <c r="F222" i="44" l="1"/>
  <c r="A223" i="44"/>
  <c r="G222" i="44"/>
  <c r="B222" i="44"/>
  <c r="A224" i="44" l="1"/>
  <c r="G223" i="44"/>
  <c r="F223" i="44"/>
  <c r="B223" i="44"/>
  <c r="A225" i="44" l="1"/>
  <c r="F224" i="44"/>
  <c r="B224" i="44"/>
  <c r="G224" i="44"/>
  <c r="B225" i="44" l="1"/>
  <c r="A226" i="44"/>
  <c r="G225" i="44"/>
  <c r="F225" i="44"/>
  <c r="F226" i="44" l="1"/>
  <c r="B226" i="44"/>
  <c r="A227" i="44"/>
  <c r="G226" i="44"/>
  <c r="G227" i="44" l="1"/>
  <c r="B227" i="44"/>
  <c r="A228" i="44"/>
  <c r="F227" i="44"/>
  <c r="F228" i="44" l="1"/>
  <c r="G228" i="44"/>
  <c r="B228" i="44"/>
  <c r="A229" i="44"/>
  <c r="G229" i="44" l="1"/>
  <c r="F229" i="44"/>
  <c r="A230" i="44"/>
  <c r="B229" i="44"/>
  <c r="A231" i="44" l="1"/>
  <c r="F230" i="44"/>
  <c r="B230" i="44"/>
  <c r="G230" i="44"/>
  <c r="A232" i="44" l="1"/>
  <c r="B231" i="44"/>
  <c r="G231" i="44"/>
  <c r="F231" i="44"/>
  <c r="F232" i="44" l="1"/>
  <c r="A233" i="44"/>
  <c r="G232" i="44"/>
  <c r="B232" i="44"/>
  <c r="B233" i="44" l="1"/>
  <c r="A234" i="44"/>
  <c r="G233" i="44"/>
  <c r="F233" i="44"/>
  <c r="F234" i="44" l="1"/>
  <c r="G234" i="44"/>
  <c r="A235" i="44"/>
  <c r="B234" i="44"/>
  <c r="G235" i="44" l="1"/>
  <c r="B235" i="44"/>
  <c r="F235" i="44"/>
  <c r="A236" i="44"/>
  <c r="F236" i="44" l="1"/>
  <c r="G236" i="44"/>
  <c r="B236" i="44"/>
  <c r="A237" i="44"/>
  <c r="G237" i="44" l="1"/>
  <c r="A238" i="44"/>
  <c r="B237" i="44"/>
  <c r="F237" i="44"/>
  <c r="A239" i="44" l="1"/>
  <c r="G238" i="44"/>
  <c r="F238" i="44"/>
  <c r="B238" i="44"/>
  <c r="A240" i="44" l="1"/>
  <c r="F239" i="44"/>
  <c r="G239" i="44"/>
  <c r="B239" i="44"/>
  <c r="F240" i="44" l="1"/>
  <c r="A241" i="44"/>
  <c r="G240" i="44"/>
  <c r="B240" i="44"/>
  <c r="B241" i="44" l="1"/>
  <c r="A242" i="44"/>
  <c r="F241" i="44"/>
  <c r="G241" i="44"/>
  <c r="F242" i="44" l="1"/>
  <c r="B242" i="44"/>
  <c r="A243" i="44"/>
  <c r="G242" i="44"/>
  <c r="G243" i="44" l="1"/>
  <c r="B243" i="44"/>
  <c r="F243" i="44"/>
  <c r="A244" i="44"/>
  <c r="F244" i="44" l="1"/>
  <c r="A245" i="44"/>
  <c r="G244" i="44"/>
  <c r="B244" i="44"/>
  <c r="G245" i="44" l="1"/>
  <c r="A246" i="44"/>
  <c r="F245" i="44"/>
  <c r="B245" i="44"/>
  <c r="F246" i="44" l="1"/>
  <c r="B246" i="44"/>
  <c r="A247" i="44"/>
  <c r="G246" i="44"/>
  <c r="A248" i="44" l="1"/>
  <c r="F247" i="44"/>
  <c r="G247" i="44"/>
  <c r="B247" i="44"/>
  <c r="A249" i="44" l="1"/>
  <c r="G248" i="44"/>
  <c r="F248" i="44"/>
  <c r="B248" i="44"/>
  <c r="B249" i="44" l="1"/>
  <c r="A250" i="44"/>
  <c r="G249" i="44"/>
  <c r="F249" i="44"/>
  <c r="F250" i="44" l="1"/>
  <c r="B250" i="44"/>
  <c r="A251" i="44"/>
  <c r="G250" i="44"/>
  <c r="G251" i="44" l="1"/>
  <c r="B251" i="44"/>
  <c r="A252" i="44"/>
  <c r="F251" i="44"/>
  <c r="F252" i="44" l="1"/>
  <c r="A253" i="44"/>
  <c r="G252" i="44"/>
  <c r="B252" i="44"/>
  <c r="G253" i="44" l="1"/>
  <c r="F253" i="44"/>
  <c r="B253" i="44"/>
  <c r="A254" i="44"/>
  <c r="F254" i="44" l="1"/>
  <c r="G254" i="44"/>
  <c r="B254" i="44"/>
  <c r="A255" i="44"/>
  <c r="A256" i="44" l="1"/>
  <c r="B255" i="44"/>
  <c r="F255" i="44"/>
  <c r="G255" i="44"/>
  <c r="A257" i="44" l="1"/>
  <c r="G256" i="44"/>
  <c r="F256" i="44"/>
  <c r="B256" i="44"/>
  <c r="B257" i="44" l="1"/>
  <c r="A258" i="44"/>
  <c r="G257" i="44"/>
  <c r="F257" i="44"/>
  <c r="F258" i="44" l="1"/>
  <c r="G258" i="44"/>
  <c r="B258" i="44"/>
  <c r="A259" i="44"/>
  <c r="G259" i="44" l="1"/>
  <c r="B259" i="44"/>
  <c r="A260" i="44"/>
  <c r="F259" i="44"/>
  <c r="F260" i="44" l="1"/>
  <c r="G260" i="44"/>
  <c r="A261" i="44"/>
  <c r="B260" i="44"/>
  <c r="G261" i="44" l="1"/>
  <c r="F261" i="44"/>
  <c r="B261" i="44"/>
  <c r="A262" i="44"/>
  <c r="A263" i="44" l="1"/>
  <c r="G262" i="44"/>
  <c r="F262" i="44"/>
  <c r="B262" i="44"/>
  <c r="A264" i="44" l="1"/>
  <c r="G263" i="44"/>
  <c r="F263" i="44"/>
  <c r="B263" i="44"/>
  <c r="F264" i="44" l="1"/>
  <c r="B264" i="44"/>
  <c r="G264" i="44"/>
  <c r="A265" i="44"/>
  <c r="B265" i="44" l="1"/>
  <c r="A266" i="44"/>
  <c r="G265" i="44"/>
  <c r="F265" i="44"/>
  <c r="F266" i="44" l="1"/>
  <c r="G266" i="44"/>
  <c r="A267" i="44"/>
  <c r="B266" i="44"/>
  <c r="G267" i="44" l="1"/>
  <c r="B267" i="44"/>
  <c r="F267" i="44"/>
  <c r="A268" i="44"/>
  <c r="F268" i="44" l="1"/>
  <c r="B268" i="44"/>
  <c r="G268" i="44"/>
  <c r="A269" i="44"/>
  <c r="G269" i="44" l="1"/>
  <c r="B269" i="44"/>
  <c r="A270" i="44"/>
  <c r="F269" i="44"/>
  <c r="G270" i="44" l="1"/>
  <c r="A271" i="44"/>
  <c r="B270" i="44"/>
  <c r="F270" i="44"/>
  <c r="A272" i="44" l="1"/>
  <c r="F271" i="44"/>
  <c r="B271" i="44"/>
  <c r="G271" i="44"/>
  <c r="B272" i="44" l="1"/>
  <c r="G272" i="44"/>
  <c r="F272" i="44"/>
  <c r="A273" i="44"/>
  <c r="F273" i="44" l="1"/>
  <c r="G273" i="44"/>
  <c r="B273" i="44"/>
  <c r="A274" i="44"/>
  <c r="F274" i="44" l="1"/>
  <c r="G274" i="44"/>
  <c r="A275" i="44"/>
  <c r="B274" i="44"/>
  <c r="F275" i="44" l="1"/>
  <c r="G275" i="44"/>
  <c r="B275" i="44"/>
  <c r="A276" i="44"/>
  <c r="G276" i="44" l="1"/>
  <c r="F276" i="44"/>
  <c r="B276" i="44"/>
  <c r="A277" i="44"/>
  <c r="F277" i="44" l="1"/>
  <c r="G277" i="44"/>
  <c r="A278" i="44"/>
  <c r="B277" i="44"/>
  <c r="F278" i="44" l="1"/>
  <c r="G278" i="44"/>
  <c r="B278" i="44"/>
  <c r="A279" i="44"/>
  <c r="F279" i="44" l="1"/>
  <c r="G279" i="44"/>
  <c r="A280" i="44"/>
  <c r="B279" i="44"/>
  <c r="J279" i="44"/>
  <c r="I279" i="44"/>
  <c r="G280" i="44" l="1"/>
  <c r="F280" i="44"/>
  <c r="I280" i="44"/>
  <c r="A281" i="44"/>
  <c r="J280" i="44"/>
  <c r="B280" i="44"/>
  <c r="F281" i="44" l="1"/>
  <c r="G281" i="44"/>
  <c r="B281" i="44"/>
  <c r="A282" i="44"/>
  <c r="I281" i="44"/>
  <c r="J281" i="44"/>
  <c r="F282" i="44" l="1"/>
  <c r="G282" i="44"/>
  <c r="I282" i="44"/>
  <c r="B282" i="44"/>
  <c r="J282" i="44"/>
  <c r="A283" i="44"/>
  <c r="F283" i="44" l="1"/>
  <c r="G283" i="44"/>
  <c r="J283" i="44"/>
  <c r="B283" i="44"/>
  <c r="I283" i="44"/>
  <c r="A284" i="44"/>
  <c r="G284" i="44" l="1"/>
  <c r="F284" i="44"/>
  <c r="I284" i="44"/>
  <c r="B284" i="44"/>
  <c r="A285" i="44"/>
  <c r="J284" i="44"/>
  <c r="F285" i="44" l="1"/>
  <c r="G285" i="44"/>
  <c r="J285" i="44"/>
  <c r="B285" i="44"/>
  <c r="I285" i="44"/>
  <c r="A286" i="44"/>
  <c r="F286" i="44" l="1"/>
  <c r="G286" i="44"/>
  <c r="I286" i="44"/>
  <c r="A287" i="44"/>
  <c r="J286" i="44"/>
  <c r="B286" i="44"/>
  <c r="F287" i="44" l="1"/>
  <c r="G287" i="44"/>
  <c r="A288" i="44"/>
  <c r="I287" i="44"/>
  <c r="B287" i="44"/>
  <c r="J287" i="44"/>
  <c r="G288" i="44" l="1"/>
  <c r="F288" i="44"/>
  <c r="I288" i="44"/>
  <c r="J288" i="44"/>
  <c r="A289" i="44"/>
  <c r="B288" i="44"/>
  <c r="F289" i="44" l="1"/>
  <c r="G289" i="44"/>
  <c r="B289" i="44"/>
  <c r="A290" i="44"/>
  <c r="J289" i="44"/>
  <c r="I289" i="44"/>
  <c r="F290" i="44" l="1"/>
  <c r="G290" i="44"/>
  <c r="I290" i="44"/>
  <c r="J290" i="44"/>
  <c r="B290" i="44"/>
  <c r="A291" i="44"/>
  <c r="F291" i="44" l="1"/>
  <c r="G291" i="44"/>
  <c r="J291" i="44"/>
  <c r="B291" i="44"/>
  <c r="I291" i="44"/>
  <c r="A292" i="44"/>
  <c r="G292" i="44" l="1"/>
  <c r="F292" i="44"/>
  <c r="I292" i="44"/>
  <c r="A293" i="44"/>
  <c r="J292" i="44"/>
  <c r="B292" i="44"/>
  <c r="F293" i="44" l="1"/>
  <c r="G293" i="44"/>
  <c r="B293" i="44"/>
  <c r="J293" i="44"/>
  <c r="I293" i="44"/>
  <c r="A294" i="44"/>
  <c r="F294" i="44" l="1"/>
  <c r="I294" i="44" s="1"/>
  <c r="G294" i="44"/>
  <c r="J294" i="44" s="1"/>
  <c r="B294" i="44"/>
  <c r="A295" i="44"/>
  <c r="F295" i="44" l="1"/>
  <c r="I295" i="44" s="1"/>
  <c r="G295" i="44"/>
  <c r="J295" i="44" s="1"/>
  <c r="A296" i="44"/>
  <c r="B295" i="44"/>
  <c r="G296" i="44" l="1"/>
  <c r="J296" i="44" s="1"/>
  <c r="F296" i="44"/>
  <c r="I296" i="44" s="1"/>
  <c r="A297" i="44"/>
  <c r="B296" i="44"/>
  <c r="F297" i="44" l="1"/>
  <c r="I297" i="44" s="1"/>
  <c r="G297" i="44"/>
  <c r="J297" i="44" s="1"/>
  <c r="B297" i="44"/>
  <c r="A298" i="44"/>
  <c r="F298" i="44" l="1"/>
  <c r="I298" i="44" s="1"/>
  <c r="G298" i="44"/>
  <c r="J298" i="44" s="1"/>
  <c r="A299" i="44"/>
  <c r="B298" i="44"/>
  <c r="F299" i="44" l="1"/>
  <c r="I299" i="44" s="1"/>
  <c r="G299" i="44"/>
  <c r="J299" i="44" s="1"/>
  <c r="A300" i="44"/>
  <c r="B299" i="44"/>
  <c r="G300" i="44" l="1"/>
  <c r="J300" i="44" s="1"/>
  <c r="F300" i="44"/>
  <c r="I300" i="44" s="1"/>
  <c r="A301" i="44"/>
  <c r="B300" i="44"/>
  <c r="F301" i="44" l="1"/>
  <c r="I301" i="44" s="1"/>
  <c r="G301" i="44"/>
  <c r="J301" i="44" s="1"/>
  <c r="B301" i="44"/>
  <c r="A302" i="44"/>
  <c r="F302" i="44" l="1"/>
  <c r="I302" i="44" s="1"/>
  <c r="G302" i="44"/>
  <c r="J302" i="44" s="1"/>
  <c r="A303" i="44"/>
  <c r="B302" i="44"/>
  <c r="F303" i="44" l="1"/>
  <c r="I303" i="44" s="1"/>
  <c r="G303" i="44"/>
  <c r="J303" i="44" s="1"/>
  <c r="A304" i="44"/>
  <c r="B303" i="44"/>
  <c r="G304" i="44" l="1"/>
  <c r="J304" i="44" s="1"/>
  <c r="F304" i="44"/>
  <c r="I304" i="44" s="1"/>
  <c r="A305" i="44"/>
  <c r="B304" i="44"/>
  <c r="F305" i="44" l="1"/>
  <c r="I305" i="44" s="1"/>
  <c r="G305" i="44"/>
  <c r="J305" i="44" s="1"/>
  <c r="B305" i="44"/>
  <c r="A306" i="44"/>
  <c r="F306" i="44" l="1"/>
  <c r="I306" i="44" s="1"/>
  <c r="G306" i="44"/>
  <c r="J306" i="44" s="1"/>
  <c r="B306" i="44"/>
  <c r="A307" i="44"/>
  <c r="F307" i="44" l="1"/>
  <c r="I307" i="44" s="1"/>
  <c r="G307" i="44"/>
  <c r="J307" i="44" s="1"/>
  <c r="A308" i="44"/>
  <c r="B307" i="44"/>
  <c r="G308" i="44" l="1"/>
  <c r="J308" i="44" s="1"/>
  <c r="F308" i="44"/>
  <c r="I308" i="44" s="1"/>
  <c r="A309" i="44"/>
  <c r="B308" i="44"/>
  <c r="F309" i="44" l="1"/>
  <c r="I309" i="44" s="1"/>
  <c r="G309" i="44"/>
  <c r="J309" i="44" s="1"/>
  <c r="B309" i="44"/>
  <c r="A310" i="44"/>
  <c r="F310" i="44" l="1"/>
  <c r="I310" i="44" s="1"/>
  <c r="G310" i="44"/>
  <c r="J310" i="44" s="1"/>
  <c r="B310" i="44"/>
  <c r="A311" i="44"/>
  <c r="F311" i="44" l="1"/>
  <c r="I311" i="44" s="1"/>
  <c r="G311" i="44"/>
  <c r="J311" i="44" s="1"/>
  <c r="B311" i="44"/>
  <c r="A312" i="44"/>
  <c r="G312" i="44" l="1"/>
  <c r="F312" i="44"/>
  <c r="I312" i="44" s="1"/>
  <c r="J312" i="44"/>
  <c r="B312" i="44"/>
  <c r="A313" i="44"/>
  <c r="F313" i="44" l="1"/>
  <c r="I313" i="44" s="1"/>
  <c r="G313" i="44"/>
  <c r="J313" i="44" s="1"/>
  <c r="B313" i="44"/>
  <c r="A314" i="44"/>
  <c r="F314" i="44" l="1"/>
  <c r="I314" i="44" s="1"/>
  <c r="G314" i="44"/>
  <c r="J314" i="44" s="1"/>
  <c r="B314" i="44"/>
  <c r="A315" i="44"/>
  <c r="F315" i="44" l="1"/>
  <c r="I315" i="44" s="1"/>
  <c r="G315" i="44"/>
  <c r="J315" i="44" s="1"/>
  <c r="A316" i="44"/>
  <c r="B315" i="44"/>
  <c r="G316" i="44" l="1"/>
  <c r="J316" i="44" s="1"/>
  <c r="F316" i="44"/>
  <c r="I316" i="44" s="1"/>
  <c r="A317" i="44"/>
  <c r="B316" i="44"/>
  <c r="F317" i="44" l="1"/>
  <c r="I317" i="44" s="1"/>
  <c r="G317" i="44"/>
  <c r="J317" i="44" s="1"/>
  <c r="A318" i="44"/>
  <c r="B317" i="44"/>
  <c r="F318" i="44" l="1"/>
  <c r="I318" i="44" s="1"/>
  <c r="G318" i="44"/>
  <c r="J318" i="44" s="1"/>
  <c r="B318" i="44"/>
  <c r="A319" i="44"/>
  <c r="F319" i="44" l="1"/>
  <c r="I319" i="44" s="1"/>
  <c r="G319" i="44"/>
  <c r="J319" i="44" s="1"/>
  <c r="B319" i="44"/>
  <c r="A320" i="44"/>
  <c r="G320" i="44" l="1"/>
  <c r="J320" i="44" s="1"/>
  <c r="F320" i="44"/>
  <c r="I320" i="44" s="1"/>
  <c r="B320" i="44"/>
  <c r="A321" i="44"/>
  <c r="F321" i="44" l="1"/>
  <c r="I321" i="44" s="1"/>
  <c r="G321" i="44"/>
  <c r="J321" i="44" s="1"/>
  <c r="A322" i="44"/>
  <c r="B321" i="44"/>
  <c r="F322" i="44" l="1"/>
  <c r="I322" i="44" s="1"/>
  <c r="G322" i="44"/>
  <c r="J322" i="44" s="1"/>
  <c r="A323" i="44"/>
  <c r="B322" i="44"/>
  <c r="G323" i="44" l="1"/>
  <c r="J323" i="44" s="1"/>
  <c r="F323" i="44"/>
  <c r="I323" i="44" s="1"/>
  <c r="B323" i="44"/>
  <c r="A324" i="44"/>
  <c r="G324" i="44" l="1"/>
  <c r="J324" i="44" s="1"/>
  <c r="F324" i="44"/>
  <c r="I324" i="44" s="1"/>
  <c r="A325" i="44"/>
  <c r="B324" i="44"/>
  <c r="F325" i="44" l="1"/>
  <c r="I325" i="44" s="1"/>
  <c r="G325" i="44"/>
  <c r="J325" i="44" s="1"/>
  <c r="A326" i="44"/>
  <c r="B325" i="44"/>
  <c r="F326" i="44" l="1"/>
  <c r="I326" i="44" s="1"/>
  <c r="G326" i="44"/>
  <c r="J326" i="44" s="1"/>
  <c r="B326" i="44"/>
  <c r="A327" i="44"/>
  <c r="F327" i="44" l="1"/>
  <c r="I327" i="44" s="1"/>
  <c r="G327" i="44"/>
  <c r="J327" i="44" s="1"/>
  <c r="B327" i="44"/>
  <c r="A328" i="44"/>
  <c r="G328" i="44" l="1"/>
  <c r="J328" i="44" s="1"/>
  <c r="F328" i="44"/>
  <c r="I328" i="44" s="1"/>
  <c r="A329" i="44"/>
  <c r="B328" i="44"/>
  <c r="F329" i="44" l="1"/>
  <c r="I329" i="44" s="1"/>
  <c r="G329" i="44"/>
  <c r="J329" i="44" s="1"/>
  <c r="B329" i="44"/>
  <c r="A330" i="44"/>
  <c r="F330" i="44" l="1"/>
  <c r="I330" i="44" s="1"/>
  <c r="G330" i="44"/>
  <c r="J330" i="44" s="1"/>
  <c r="B330" i="44"/>
  <c r="A331" i="44"/>
  <c r="G331" i="44" l="1"/>
  <c r="J331" i="44" s="1"/>
  <c r="F331" i="44"/>
  <c r="I331" i="44" s="1"/>
  <c r="B331" i="44"/>
  <c r="A332" i="44"/>
  <c r="G332" i="44" l="1"/>
  <c r="J332" i="44" s="1"/>
  <c r="F332" i="44"/>
  <c r="I332" i="44" s="1"/>
  <c r="A333" i="44"/>
  <c r="B332" i="44"/>
  <c r="F333" i="44" l="1"/>
  <c r="I333" i="44" s="1"/>
  <c r="G333" i="44"/>
  <c r="J333" i="44" s="1"/>
  <c r="A334" i="44"/>
  <c r="B333" i="44"/>
  <c r="F334" i="44" l="1"/>
  <c r="I334" i="44" s="1"/>
  <c r="G334" i="44"/>
  <c r="J334" i="44" s="1"/>
  <c r="B334" i="44"/>
  <c r="A335" i="44"/>
  <c r="F335" i="44" l="1"/>
  <c r="I335" i="44" s="1"/>
  <c r="G335" i="44"/>
  <c r="J335" i="44" s="1"/>
  <c r="B335" i="44"/>
  <c r="A336" i="44"/>
  <c r="G336" i="44" l="1"/>
  <c r="J336" i="44" s="1"/>
  <c r="F336" i="44"/>
  <c r="I336" i="44" s="1"/>
  <c r="B336" i="44"/>
  <c r="A337" i="44"/>
  <c r="F337" i="44" l="1"/>
  <c r="I337" i="44" s="1"/>
  <c r="G337" i="44"/>
  <c r="J337" i="44" s="1"/>
  <c r="B337" i="44"/>
  <c r="A338" i="44"/>
  <c r="F338" i="44" l="1"/>
  <c r="I338" i="44" s="1"/>
  <c r="G338" i="44"/>
  <c r="J338" i="44" s="1"/>
  <c r="A339" i="44"/>
  <c r="B338" i="44"/>
  <c r="F339" i="44" l="1"/>
  <c r="I339" i="44" s="1"/>
  <c r="G339" i="44"/>
  <c r="J339" i="44" s="1"/>
  <c r="A340" i="44"/>
  <c r="B339" i="44"/>
  <c r="G340" i="44" l="1"/>
  <c r="J340" i="44" s="1"/>
  <c r="F340" i="44"/>
  <c r="I340" i="44" s="1"/>
  <c r="A341" i="44"/>
  <c r="B340" i="44"/>
  <c r="F341" i="44" l="1"/>
  <c r="I341" i="44" s="1"/>
  <c r="G341" i="44"/>
  <c r="J341" i="44" s="1"/>
  <c r="A342" i="44"/>
  <c r="B341" i="44"/>
  <c r="F342" i="44" l="1"/>
  <c r="I342" i="44" s="1"/>
  <c r="G342" i="44"/>
  <c r="J342" i="44" s="1"/>
  <c r="B342" i="44"/>
  <c r="A343" i="44"/>
  <c r="G343" i="44" l="1"/>
  <c r="J343" i="44" s="1"/>
  <c r="F343" i="44"/>
  <c r="I343" i="44" s="1"/>
  <c r="B343" i="44"/>
  <c r="A344" i="44"/>
  <c r="G344" i="44" l="1"/>
  <c r="J344" i="44" s="1"/>
  <c r="F344" i="44"/>
  <c r="I344" i="44" s="1"/>
  <c r="A345" i="44"/>
  <c r="B344" i="44"/>
  <c r="F345" i="44" l="1"/>
  <c r="I345" i="44" s="1"/>
  <c r="G345" i="44"/>
  <c r="J345" i="44" s="1"/>
  <c r="A346" i="44"/>
  <c r="B345" i="44"/>
  <c r="F346" i="44" l="1"/>
  <c r="I346" i="44" s="1"/>
  <c r="G346" i="44"/>
  <c r="J346" i="44" s="1"/>
  <c r="B346" i="44"/>
  <c r="A347" i="44"/>
  <c r="F347" i="44" l="1"/>
  <c r="I347" i="44" s="1"/>
  <c r="G347" i="44"/>
  <c r="J347" i="44" s="1"/>
  <c r="A348" i="44"/>
  <c r="B347" i="44"/>
  <c r="G348" i="44" l="1"/>
  <c r="J348" i="44" s="1"/>
  <c r="F348" i="44"/>
  <c r="I348" i="44" s="1"/>
  <c r="A349" i="44"/>
  <c r="B348" i="44"/>
  <c r="F349" i="44" l="1"/>
  <c r="I349" i="44" s="1"/>
  <c r="G349" i="44"/>
  <c r="J349" i="44" s="1"/>
  <c r="A350" i="44"/>
  <c r="B349" i="44"/>
  <c r="F350" i="44" l="1"/>
  <c r="I350" i="44" s="1"/>
  <c r="G350" i="44"/>
  <c r="J350" i="44" s="1"/>
  <c r="B350" i="44"/>
  <c r="A351" i="44"/>
  <c r="G351" i="44" l="1"/>
  <c r="J351" i="44" s="1"/>
  <c r="F351" i="44"/>
  <c r="I351" i="44" s="1"/>
  <c r="B351" i="44"/>
  <c r="A352" i="44"/>
  <c r="G352" i="44" l="1"/>
  <c r="J352" i="44" s="1"/>
  <c r="F352" i="44"/>
  <c r="I352" i="44" s="1"/>
  <c r="B352" i="44"/>
  <c r="A353" i="44"/>
  <c r="G353" i="44" l="1"/>
  <c r="J353" i="44" s="1"/>
  <c r="F353" i="44"/>
  <c r="I353" i="44" s="1"/>
  <c r="A354" i="44"/>
  <c r="B353" i="44"/>
  <c r="F354" i="44" l="1"/>
  <c r="I354" i="44" s="1"/>
  <c r="G354" i="44"/>
  <c r="J354" i="44" s="1"/>
  <c r="B354" i="44"/>
  <c r="A355" i="44"/>
  <c r="F355" i="44" l="1"/>
  <c r="I355" i="44" s="1"/>
  <c r="G355" i="44"/>
  <c r="J355" i="44" s="1"/>
  <c r="B355" i="44"/>
  <c r="A356" i="44"/>
  <c r="G356" i="44" l="1"/>
  <c r="J356" i="44" s="1"/>
  <c r="F356" i="44"/>
  <c r="I356" i="44" s="1"/>
  <c r="A357" i="44"/>
  <c r="B356" i="44"/>
  <c r="F357" i="44" l="1"/>
  <c r="I357" i="44" s="1"/>
  <c r="G357" i="44"/>
  <c r="J357" i="44" s="1"/>
  <c r="A358" i="44"/>
  <c r="B357" i="44"/>
  <c r="F358" i="44" l="1"/>
  <c r="I358" i="44" s="1"/>
  <c r="G358" i="44"/>
  <c r="J358" i="44" s="1"/>
  <c r="B358" i="44"/>
  <c r="A359" i="44"/>
  <c r="F359" i="44" l="1"/>
  <c r="I359" i="44" s="1"/>
  <c r="G359" i="44"/>
  <c r="J359" i="44" s="1"/>
  <c r="B359" i="44"/>
  <c r="A360" i="44"/>
  <c r="G360" i="44" l="1"/>
  <c r="J360" i="44" s="1"/>
  <c r="F360" i="44"/>
  <c r="I360" i="44" s="1"/>
  <c r="B360" i="44"/>
  <c r="A361" i="44"/>
  <c r="G361" i="44" l="1"/>
  <c r="J361" i="44" s="1"/>
  <c r="F361" i="44"/>
  <c r="I361" i="44" s="1"/>
  <c r="B361" i="44"/>
  <c r="A362" i="44"/>
  <c r="F362" i="44" l="1"/>
  <c r="I362" i="44" s="1"/>
  <c r="G362" i="44"/>
  <c r="J362" i="44" s="1"/>
  <c r="B362" i="44"/>
  <c r="A363" i="44"/>
  <c r="G363" i="44" l="1"/>
  <c r="J363" i="44" s="1"/>
  <c r="F363" i="44"/>
  <c r="I363" i="44" s="1"/>
  <c r="B363" i="44"/>
  <c r="A364" i="44"/>
  <c r="G364" i="44" l="1"/>
  <c r="J364" i="44" s="1"/>
  <c r="F364" i="44"/>
  <c r="I364" i="44" s="1"/>
  <c r="A365" i="44"/>
  <c r="B364" i="44"/>
  <c r="G365" i="44" l="1"/>
  <c r="J365" i="44" s="1"/>
  <c r="F365" i="44"/>
  <c r="I365" i="44" s="1"/>
  <c r="A366" i="44"/>
  <c r="B365" i="44"/>
  <c r="F366" i="44" l="1"/>
  <c r="I366" i="44" s="1"/>
  <c r="G366" i="44"/>
  <c r="J366" i="44" s="1"/>
  <c r="B366" i="44"/>
  <c r="A367" i="44"/>
  <c r="F367" i="44" l="1"/>
  <c r="I367" i="44" s="1"/>
  <c r="G367" i="44"/>
  <c r="J367" i="44" s="1"/>
  <c r="B367" i="44"/>
  <c r="A368" i="44"/>
  <c r="G368" i="44" l="1"/>
  <c r="J368" i="44" s="1"/>
  <c r="F368" i="44"/>
  <c r="I368" i="44" s="1"/>
  <c r="A369" i="44"/>
  <c r="B368" i="44"/>
  <c r="G369" i="44" l="1"/>
  <c r="J369" i="44" s="1"/>
  <c r="F369" i="44"/>
  <c r="I369" i="44" s="1"/>
  <c r="B369" i="44"/>
  <c r="A370" i="44"/>
  <c r="F370" i="44" l="1"/>
  <c r="I370" i="44" s="1"/>
  <c r="G370" i="44"/>
  <c r="J370" i="44" s="1"/>
  <c r="A371" i="44"/>
  <c r="B370" i="44"/>
  <c r="G371" i="44" l="1"/>
  <c r="J371" i="44" s="1"/>
  <c r="F371" i="44"/>
  <c r="I371" i="44" s="1"/>
  <c r="A372" i="44"/>
  <c r="B371" i="44"/>
  <c r="G372" i="44" l="1"/>
  <c r="J372" i="44" s="1"/>
  <c r="F372" i="44"/>
  <c r="I372" i="44" s="1"/>
  <c r="A373" i="44"/>
  <c r="B372" i="44"/>
  <c r="G373" i="44" l="1"/>
  <c r="J373" i="44" s="1"/>
  <c r="F373" i="44"/>
  <c r="I373" i="44" s="1"/>
  <c r="A374" i="44"/>
  <c r="B373" i="44"/>
  <c r="F374" i="44" l="1"/>
  <c r="I374" i="44" s="1"/>
  <c r="G374" i="44"/>
  <c r="J374" i="44" s="1"/>
  <c r="B374" i="44"/>
  <c r="A375" i="44"/>
  <c r="G375" i="44" l="1"/>
  <c r="J375" i="44" s="1"/>
  <c r="F375" i="44"/>
  <c r="I375" i="44" s="1"/>
  <c r="B375" i="44"/>
  <c r="A376" i="44"/>
  <c r="G376" i="44" l="1"/>
  <c r="J376" i="44" s="1"/>
  <c r="F376" i="44"/>
  <c r="I376" i="44" s="1"/>
  <c r="A377" i="44"/>
  <c r="B376" i="44"/>
  <c r="F377" i="44" l="1"/>
  <c r="I377" i="44" s="1"/>
  <c r="G377" i="44"/>
  <c r="J377" i="44" s="1"/>
  <c r="A378" i="44"/>
  <c r="B377" i="44"/>
  <c r="F378" i="44" l="1"/>
  <c r="I378" i="44" s="1"/>
  <c r="G378" i="44"/>
  <c r="J378" i="44" s="1"/>
  <c r="A379" i="44"/>
  <c r="B378" i="44"/>
  <c r="F379" i="44" l="1"/>
  <c r="I379" i="44" s="1"/>
  <c r="G379" i="44"/>
  <c r="J379" i="44" s="1"/>
  <c r="A380" i="44"/>
  <c r="B379" i="44"/>
  <c r="G380" i="44" l="1"/>
  <c r="J380" i="44" s="1"/>
  <c r="F380" i="44"/>
  <c r="I380" i="44" s="1"/>
  <c r="A381" i="44"/>
  <c r="B380" i="44"/>
  <c r="G381" i="44" l="1"/>
  <c r="J381" i="44" s="1"/>
  <c r="F381" i="44"/>
  <c r="I381" i="44" s="1"/>
  <c r="A382" i="44"/>
  <c r="B381" i="44"/>
  <c r="F382" i="44" l="1"/>
  <c r="I382" i="44" s="1"/>
  <c r="G382" i="44"/>
  <c r="J382" i="44" s="1"/>
  <c r="B382" i="44"/>
  <c r="A383" i="44"/>
  <c r="F383" i="44" l="1"/>
  <c r="I383" i="44" s="1"/>
  <c r="G383" i="44"/>
  <c r="J383" i="44" s="1"/>
  <c r="B383" i="44"/>
  <c r="A384" i="44"/>
  <c r="G384" i="44" l="1"/>
  <c r="J384" i="44" s="1"/>
  <c r="F384" i="44"/>
  <c r="I384" i="44" s="1"/>
  <c r="A385" i="44"/>
  <c r="B384" i="44"/>
  <c r="G385" i="44" l="1"/>
  <c r="J385" i="44" s="1"/>
  <c r="F385" i="44"/>
  <c r="I385" i="44" s="1"/>
  <c r="A386" i="44"/>
  <c r="B385" i="44"/>
  <c r="F386" i="44" l="1"/>
  <c r="I386" i="44" s="1"/>
  <c r="G386" i="44"/>
  <c r="J386" i="44" s="1"/>
  <c r="B386" i="44"/>
  <c r="A387" i="44"/>
  <c r="F387" i="44" l="1"/>
  <c r="I387" i="44" s="1"/>
  <c r="G387" i="44"/>
  <c r="J387" i="44" s="1"/>
  <c r="B387" i="44"/>
  <c r="A388" i="44"/>
  <c r="G388" i="44" l="1"/>
  <c r="J388" i="44" s="1"/>
  <c r="F388" i="44"/>
  <c r="I388" i="44" s="1"/>
  <c r="A389" i="44"/>
  <c r="B388" i="44"/>
  <c r="G389" i="44" l="1"/>
  <c r="J389" i="44" s="1"/>
  <c r="F389" i="44"/>
  <c r="I389" i="44" s="1"/>
  <c r="A390" i="44"/>
  <c r="B389" i="44"/>
  <c r="F390" i="44" l="1"/>
  <c r="I390" i="44" s="1"/>
  <c r="G390" i="44"/>
  <c r="J390" i="44" s="1"/>
  <c r="B390" i="44"/>
  <c r="A391" i="44"/>
  <c r="G391" i="44" l="1"/>
  <c r="J391" i="44" s="1"/>
  <c r="F391" i="44"/>
  <c r="I391" i="44" s="1"/>
  <c r="B391" i="44"/>
  <c r="A392" i="44"/>
  <c r="G392" i="44" l="1"/>
  <c r="J392" i="44" s="1"/>
  <c r="F392" i="44"/>
  <c r="I392" i="44" s="1"/>
  <c r="B392" i="44"/>
  <c r="A393" i="44"/>
  <c r="G393" i="44" l="1"/>
  <c r="J393" i="44" s="1"/>
  <c r="F393" i="44"/>
  <c r="I393" i="44" s="1"/>
  <c r="B393" i="44"/>
  <c r="A394" i="44"/>
  <c r="F394" i="44" l="1"/>
  <c r="I394" i="44" s="1"/>
  <c r="G394" i="44"/>
  <c r="J394" i="44" s="1"/>
  <c r="A395" i="44"/>
  <c r="B394" i="44"/>
  <c r="F395" i="44" l="1"/>
  <c r="I395" i="44" s="1"/>
  <c r="G395" i="44"/>
  <c r="J395" i="44" s="1"/>
  <c r="B395" i="44"/>
  <c r="A396" i="44"/>
  <c r="G396" i="44" l="1"/>
  <c r="J396" i="44" s="1"/>
  <c r="F396" i="44"/>
  <c r="I396" i="44" s="1"/>
  <c r="A397" i="44"/>
  <c r="B396" i="44"/>
  <c r="F397" i="44" l="1"/>
  <c r="I397" i="44" s="1"/>
  <c r="G397" i="44"/>
  <c r="J397" i="44" s="1"/>
  <c r="A398" i="44"/>
  <c r="B397" i="44"/>
  <c r="F398" i="44" l="1"/>
  <c r="I398" i="44" s="1"/>
  <c r="G398" i="44"/>
  <c r="J398" i="44" s="1"/>
  <c r="B398" i="44"/>
  <c r="A399" i="44"/>
  <c r="F399" i="44" l="1"/>
  <c r="I399" i="44" s="1"/>
  <c r="G399" i="44"/>
  <c r="J399" i="44" s="1"/>
  <c r="B399" i="44"/>
  <c r="A400" i="44"/>
  <c r="G400" i="44" l="1"/>
  <c r="J400" i="44" s="1"/>
  <c r="F400" i="44"/>
  <c r="I400" i="44" s="1"/>
  <c r="A401" i="44"/>
  <c r="B400" i="44"/>
  <c r="G401" i="44" l="1"/>
  <c r="J401" i="44" s="1"/>
  <c r="F401" i="44"/>
  <c r="I401" i="44" s="1"/>
  <c r="B401" i="44"/>
  <c r="A402" i="44"/>
  <c r="F402" i="44" l="1"/>
  <c r="I402" i="44" s="1"/>
  <c r="G402" i="44"/>
  <c r="J402" i="44" s="1"/>
  <c r="A403" i="44"/>
  <c r="B402" i="44"/>
  <c r="G403" i="44" l="1"/>
  <c r="J403" i="44" s="1"/>
  <c r="F403" i="44"/>
  <c r="I403" i="44" s="1"/>
  <c r="A404" i="44"/>
  <c r="B403" i="44"/>
  <c r="G404" i="44" l="1"/>
  <c r="J404" i="44" s="1"/>
  <c r="F404" i="44"/>
  <c r="I404" i="44" s="1"/>
  <c r="A405" i="44"/>
  <c r="B404" i="44"/>
  <c r="G405" i="44" l="1"/>
  <c r="J405" i="44" s="1"/>
  <c r="F405" i="44"/>
  <c r="I405" i="44" s="1"/>
  <c r="A406" i="44"/>
  <c r="B405" i="44"/>
  <c r="F406" i="44" l="1"/>
  <c r="I406" i="44" s="1"/>
  <c r="G406" i="44"/>
  <c r="J406" i="44" s="1"/>
  <c r="B406" i="44"/>
  <c r="A407" i="44"/>
  <c r="F407" i="44" l="1"/>
  <c r="I407" i="44" s="1"/>
  <c r="G407" i="44"/>
  <c r="J407" i="44" s="1"/>
  <c r="B407" i="44"/>
  <c r="A408" i="44"/>
  <c r="G408" i="44" l="1"/>
  <c r="J408" i="44" s="1"/>
  <c r="F408" i="44"/>
  <c r="I408" i="44" s="1"/>
  <c r="A409" i="44"/>
  <c r="B408" i="44"/>
  <c r="G409" i="44" l="1"/>
  <c r="J409" i="44" s="1"/>
  <c r="F409" i="44"/>
  <c r="I409" i="44" s="1"/>
  <c r="A410" i="44"/>
  <c r="B409" i="44"/>
  <c r="F410" i="44" l="1"/>
  <c r="I410" i="44" s="1"/>
  <c r="G410" i="44"/>
  <c r="J410" i="44" s="1"/>
  <c r="A411" i="44"/>
  <c r="B410" i="44"/>
  <c r="F411" i="44" l="1"/>
  <c r="I411" i="44" s="1"/>
  <c r="G411" i="44"/>
  <c r="J411" i="44" s="1"/>
  <c r="A412" i="44"/>
  <c r="B411" i="44"/>
  <c r="G412" i="44" l="1"/>
  <c r="J412" i="44" s="1"/>
  <c r="F412" i="44"/>
  <c r="I412" i="44" s="1"/>
  <c r="A413" i="44"/>
  <c r="B412" i="44"/>
  <c r="G413" i="44" l="1"/>
  <c r="J413" i="44" s="1"/>
  <c r="F413" i="44"/>
  <c r="I413" i="44" s="1"/>
  <c r="B413" i="44"/>
  <c r="J24" i="2" l="1"/>
  <c r="J25" i="2"/>
  <c r="J26" i="2"/>
  <c r="J27" i="2"/>
  <c r="J28" i="2"/>
  <c r="E194" i="2" l="1"/>
  <c r="F194" i="2"/>
  <c r="G194" i="2"/>
  <c r="H194" i="2"/>
  <c r="D194" i="2"/>
  <c r="D58" i="5" l="1"/>
  <c r="E6" i="29" l="1"/>
  <c r="E5" i="29" s="1"/>
  <c r="E7" i="29"/>
  <c r="G26" i="10"/>
  <c r="J26" i="10"/>
  <c r="I26" i="10"/>
  <c r="H26" i="10"/>
  <c r="F26" i="10"/>
  <c r="F203" i="28"/>
  <c r="F202" i="28"/>
  <c r="F87" i="28"/>
  <c r="H64" i="2"/>
  <c r="G64" i="2"/>
  <c r="F64" i="2"/>
  <c r="E64" i="2"/>
  <c r="D64" i="2"/>
  <c r="J63" i="2"/>
  <c r="J62" i="2"/>
  <c r="H35" i="2"/>
  <c r="G35" i="2"/>
  <c r="F35" i="2"/>
  <c r="E35" i="2"/>
  <c r="D35" i="2"/>
  <c r="J34" i="2"/>
  <c r="J33" i="2"/>
  <c r="D59" i="5"/>
  <c r="F104" i="4"/>
  <c r="G104" i="4"/>
  <c r="H104" i="4"/>
  <c r="I104" i="4"/>
  <c r="E104" i="4"/>
  <c r="D7" i="2"/>
  <c r="J64" i="2" l="1"/>
  <c r="J35" i="2"/>
  <c r="F33" i="28" l="1"/>
  <c r="E59" i="5"/>
  <c r="F59" i="5"/>
  <c r="G59" i="5"/>
  <c r="H59" i="5"/>
  <c r="J45" i="5" l="1"/>
  <c r="J59" i="5"/>
  <c r="E32" i="28"/>
  <c r="B82" i="1" l="1"/>
  <c r="B53" i="1" s="1"/>
  <c r="H58" i="5"/>
  <c r="G58" i="5"/>
  <c r="F58" i="5"/>
  <c r="E58" i="5"/>
  <c r="J58" i="5" l="1"/>
  <c r="B24" i="1"/>
  <c r="A3" i="4"/>
  <c r="D84" i="1" l="1"/>
  <c r="E84" i="1"/>
  <c r="F84" i="1"/>
  <c r="G84" i="1"/>
  <c r="H84" i="1"/>
  <c r="D85" i="1"/>
  <c r="E85" i="1"/>
  <c r="F85" i="1"/>
  <c r="G85" i="1"/>
  <c r="H85" i="1"/>
  <c r="D86" i="1"/>
  <c r="F86" i="1"/>
  <c r="G86" i="1"/>
  <c r="H86" i="1"/>
  <c r="D87" i="1"/>
  <c r="E87" i="1"/>
  <c r="F87" i="1"/>
  <c r="G87" i="1"/>
  <c r="H87" i="1"/>
  <c r="E83" i="1"/>
  <c r="F83" i="1"/>
  <c r="G83" i="1"/>
  <c r="H83" i="1"/>
  <c r="D83" i="1"/>
  <c r="E81" i="1"/>
  <c r="F81" i="1"/>
  <c r="G81" i="1"/>
  <c r="H81" i="1"/>
  <c r="B81" i="1"/>
  <c r="B80" i="1"/>
  <c r="D73" i="1" l="1"/>
  <c r="E73" i="1"/>
  <c r="F73" i="1"/>
  <c r="G73" i="1"/>
  <c r="H73" i="1"/>
  <c r="D74" i="1"/>
  <c r="E74" i="1"/>
  <c r="F74" i="1"/>
  <c r="G74" i="1"/>
  <c r="H74" i="1"/>
  <c r="D75" i="1"/>
  <c r="E75" i="1"/>
  <c r="F75" i="1"/>
  <c r="G75" i="1"/>
  <c r="H75" i="1"/>
  <c r="D76" i="1"/>
  <c r="E76" i="1"/>
  <c r="F76" i="1"/>
  <c r="G76" i="1"/>
  <c r="H76" i="1"/>
  <c r="E72" i="1"/>
  <c r="F72" i="1"/>
  <c r="G72" i="1"/>
  <c r="H72" i="1"/>
  <c r="D72" i="1"/>
  <c r="K77" i="1" l="1"/>
  <c r="E30" i="2"/>
  <c r="F30" i="2"/>
  <c r="G30" i="2"/>
  <c r="H30" i="2"/>
  <c r="E159" i="2" l="1"/>
  <c r="E160" i="2" s="1"/>
  <c r="F159" i="2"/>
  <c r="G159" i="2"/>
  <c r="G160" i="2" s="1"/>
  <c r="H159" i="2"/>
  <c r="H160" i="2" s="1"/>
  <c r="F75" i="4"/>
  <c r="E75" i="4"/>
  <c r="D159" i="2"/>
  <c r="D160" i="2" s="1"/>
  <c r="I75" i="4" l="1"/>
  <c r="H75" i="4"/>
  <c r="F89" i="4" l="1"/>
  <c r="F91" i="4" s="1"/>
  <c r="G89" i="4"/>
  <c r="G91" i="4" s="1"/>
  <c r="H89" i="4"/>
  <c r="H91" i="4" s="1"/>
  <c r="I89" i="4"/>
  <c r="I91" i="4" s="1"/>
  <c r="C43" i="19" l="1"/>
  <c r="C42" i="19"/>
  <c r="C40" i="19"/>
  <c r="C39" i="19"/>
  <c r="C37" i="19"/>
  <c r="C36" i="19"/>
  <c r="C34" i="19"/>
  <c r="C33" i="19"/>
  <c r="C14" i="4" l="1"/>
  <c r="C16" i="4"/>
  <c r="C17" i="4"/>
  <c r="C19" i="4"/>
  <c r="D30" i="2" l="1"/>
  <c r="H88" i="2" l="1"/>
  <c r="G88" i="2"/>
  <c r="F88" i="2"/>
  <c r="E88" i="2"/>
  <c r="D88" i="2"/>
  <c r="J87" i="2"/>
  <c r="J86" i="2"/>
  <c r="H59" i="2"/>
  <c r="G59" i="2"/>
  <c r="F59" i="2"/>
  <c r="E59" i="2"/>
  <c r="D59" i="2"/>
  <c r="J58" i="2"/>
  <c r="J57" i="2"/>
  <c r="J88" i="2" l="1"/>
  <c r="J59" i="2"/>
  <c r="J30" i="2"/>
  <c r="J29" i="2" l="1"/>
  <c r="J23" i="2"/>
  <c r="G69" i="4" l="1"/>
  <c r="H69" i="4"/>
  <c r="I69" i="4"/>
  <c r="E89" i="4"/>
  <c r="E91" i="4" s="1"/>
  <c r="F68" i="4" l="1"/>
  <c r="G68" i="4"/>
  <c r="H68" i="4"/>
  <c r="I68" i="4"/>
  <c r="C8" i="28" l="1"/>
  <c r="H36" i="10" s="1"/>
  <c r="E17" i="2"/>
  <c r="E38" i="2" s="1"/>
  <c r="E51" i="2"/>
  <c r="E67" i="2" s="1"/>
  <c r="E80" i="2"/>
  <c r="D6" i="5"/>
  <c r="C8" i="13"/>
  <c r="F17" i="2"/>
  <c r="F38" i="2" s="1"/>
  <c r="F51" i="2"/>
  <c r="F67" i="2" s="1"/>
  <c r="F80" i="2"/>
  <c r="G17" i="2"/>
  <c r="G38" i="2" s="1"/>
  <c r="G51" i="2"/>
  <c r="G67" i="2" s="1"/>
  <c r="G80" i="2"/>
  <c r="H17" i="2"/>
  <c r="H38" i="2" s="1"/>
  <c r="H51" i="2"/>
  <c r="H67" i="2" s="1"/>
  <c r="H80" i="2"/>
  <c r="D17" i="2"/>
  <c r="D51" i="2"/>
  <c r="D67" i="2" s="1"/>
  <c r="D80" i="2"/>
  <c r="D54" i="28"/>
  <c r="E54" i="28" s="1"/>
  <c r="F54" i="28" s="1"/>
  <c r="P62" i="28"/>
  <c r="H71" i="5"/>
  <c r="G71" i="5"/>
  <c r="F71" i="5"/>
  <c r="E71" i="5"/>
  <c r="D71" i="5"/>
  <c r="H22" i="5"/>
  <c r="G22" i="5"/>
  <c r="F22" i="5"/>
  <c r="E22" i="5"/>
  <c r="D41" i="28"/>
  <c r="E41" i="28" s="1"/>
  <c r="F41" i="28" s="1"/>
  <c r="F64" i="28"/>
  <c r="F65" i="28"/>
  <c r="F66" i="28"/>
  <c r="F67" i="28"/>
  <c r="F68" i="28"/>
  <c r="F69" i="28"/>
  <c r="F70" i="28"/>
  <c r="F71" i="28"/>
  <c r="F72" i="28"/>
  <c r="F73" i="28"/>
  <c r="F74" i="28"/>
  <c r="F75" i="28"/>
  <c r="F76" i="28"/>
  <c r="F77" i="28"/>
  <c r="F78" i="28"/>
  <c r="F79" i="28"/>
  <c r="F80" i="28"/>
  <c r="F81" i="28"/>
  <c r="C9" i="28" s="1"/>
  <c r="F82" i="28"/>
  <c r="F83" i="28"/>
  <c r="F84" i="28"/>
  <c r="F85" i="28"/>
  <c r="F86" i="28"/>
  <c r="F88" i="28"/>
  <c r="F90" i="28"/>
  <c r="F91" i="28"/>
  <c r="F63" i="28"/>
  <c r="K20" i="28"/>
  <c r="K19" i="28"/>
  <c r="L19" i="28" s="1"/>
  <c r="M19" i="28" s="1"/>
  <c r="N19" i="28" s="1"/>
  <c r="K21" i="28"/>
  <c r="L21" i="28" s="1"/>
  <c r="M21" i="28" s="1"/>
  <c r="N21" i="28" s="1"/>
  <c r="H110" i="2"/>
  <c r="G110" i="2"/>
  <c r="F110" i="2"/>
  <c r="E110" i="2"/>
  <c r="D110" i="2"/>
  <c r="H7" i="1"/>
  <c r="G7" i="1"/>
  <c r="F7" i="1"/>
  <c r="E7" i="1"/>
  <c r="D7" i="1"/>
  <c r="H7" i="19"/>
  <c r="G7" i="19"/>
  <c r="F7" i="19"/>
  <c r="E7" i="19"/>
  <c r="D7" i="19"/>
  <c r="H7" i="11"/>
  <c r="G7" i="11"/>
  <c r="F7" i="11"/>
  <c r="E7" i="11"/>
  <c r="D7" i="11"/>
  <c r="I7" i="29"/>
  <c r="H7" i="29"/>
  <c r="G7" i="29"/>
  <c r="F7" i="29"/>
  <c r="J7" i="10"/>
  <c r="I7" i="10"/>
  <c r="H7" i="10"/>
  <c r="G7" i="10"/>
  <c r="F7" i="10"/>
  <c r="H7" i="5"/>
  <c r="G7" i="5"/>
  <c r="F7" i="5"/>
  <c r="E7" i="5"/>
  <c r="D7" i="5"/>
  <c r="H7" i="2"/>
  <c r="G7" i="2"/>
  <c r="F7" i="2"/>
  <c r="E7" i="2"/>
  <c r="I7" i="4"/>
  <c r="H7" i="4"/>
  <c r="F7" i="4"/>
  <c r="E7" i="4"/>
  <c r="E6" i="4"/>
  <c r="D6" i="1"/>
  <c r="G7" i="4"/>
  <c r="A3" i="21"/>
  <c r="A3" i="1"/>
  <c r="A3" i="14"/>
  <c r="A3" i="2"/>
  <c r="A3" i="5"/>
  <c r="A3" i="10"/>
  <c r="A3" i="11"/>
  <c r="A3" i="19"/>
  <c r="A3" i="28"/>
  <c r="D97" i="28"/>
  <c r="E97" i="28" s="1"/>
  <c r="F97" i="28" s="1"/>
  <c r="G97" i="28" s="1"/>
  <c r="H97" i="28" s="1"/>
  <c r="I97" i="28" s="1"/>
  <c r="I62" i="28"/>
  <c r="A2" i="14"/>
  <c r="A2" i="1"/>
  <c r="A2" i="4"/>
  <c r="A2" i="2"/>
  <c r="A2" i="5"/>
  <c r="A2" i="10"/>
  <c r="A2" i="29"/>
  <c r="A2" i="11"/>
  <c r="A2" i="19"/>
  <c r="A2" i="21"/>
  <c r="A2" i="28"/>
  <c r="F72" i="4"/>
  <c r="G72" i="4"/>
  <c r="H72" i="4"/>
  <c r="I72" i="4"/>
  <c r="E72" i="4"/>
  <c r="E81" i="4" s="1"/>
  <c r="E93" i="4" s="1"/>
  <c r="F196" i="28"/>
  <c r="F195" i="28"/>
  <c r="A3" i="13"/>
  <c r="D60" i="19"/>
  <c r="D62" i="19" s="1"/>
  <c r="E60" i="19"/>
  <c r="F60" i="19"/>
  <c r="F62" i="19" s="1"/>
  <c r="G60" i="19"/>
  <c r="G62" i="19"/>
  <c r="H60" i="19"/>
  <c r="H62" i="19"/>
  <c r="E62" i="19"/>
  <c r="D67" i="19"/>
  <c r="E67" i="19"/>
  <c r="F67" i="19"/>
  <c r="G67" i="19"/>
  <c r="H67" i="19"/>
  <c r="E46" i="11"/>
  <c r="E65" i="11" s="1"/>
  <c r="F46" i="11"/>
  <c r="F65" i="11" s="1"/>
  <c r="G46" i="11"/>
  <c r="G65" i="11" s="1"/>
  <c r="H46" i="11"/>
  <c r="H65" i="11" s="1"/>
  <c r="D46" i="11"/>
  <c r="D65" i="11" s="1"/>
  <c r="E34" i="11"/>
  <c r="F34" i="11"/>
  <c r="G34" i="11"/>
  <c r="H34" i="11"/>
  <c r="D34" i="11"/>
  <c r="E42" i="11"/>
  <c r="F42" i="11"/>
  <c r="G42" i="11"/>
  <c r="H42" i="11"/>
  <c r="D42" i="11"/>
  <c r="D122" i="2"/>
  <c r="D131" i="2" s="1"/>
  <c r="E122" i="2"/>
  <c r="E131" i="2" s="1"/>
  <c r="F122" i="2"/>
  <c r="F131" i="2" s="1"/>
  <c r="G122" i="2"/>
  <c r="G131" i="2" s="1"/>
  <c r="H122" i="2"/>
  <c r="H131" i="2" s="1"/>
  <c r="H78" i="2"/>
  <c r="G78" i="2"/>
  <c r="F78" i="2"/>
  <c r="E78" i="2"/>
  <c r="D78" i="2"/>
  <c r="J77" i="2"/>
  <c r="J76" i="2"/>
  <c r="B51" i="1"/>
  <c r="D16" i="28"/>
  <c r="E16" i="28"/>
  <c r="F16" i="28"/>
  <c r="G16" i="28"/>
  <c r="H16" i="28"/>
  <c r="I16" i="28"/>
  <c r="J16" i="28"/>
  <c r="K16" i="28"/>
  <c r="L16" i="28"/>
  <c r="M16" i="28"/>
  <c r="N16" i="28"/>
  <c r="C16" i="28"/>
  <c r="C7" i="28"/>
  <c r="D52" i="19"/>
  <c r="E52" i="19" s="1"/>
  <c r="F52" i="19" s="1"/>
  <c r="F51" i="19" s="1"/>
  <c r="D109" i="2"/>
  <c r="D108" i="2" s="1"/>
  <c r="F200" i="28"/>
  <c r="F199" i="28"/>
  <c r="E228" i="28"/>
  <c r="F198" i="28" s="1"/>
  <c r="B228" i="28"/>
  <c r="F197" i="28" s="1"/>
  <c r="G137" i="28"/>
  <c r="D15" i="2"/>
  <c r="B32" i="1"/>
  <c r="H23" i="19"/>
  <c r="G23" i="19"/>
  <c r="F23" i="19"/>
  <c r="E23" i="19"/>
  <c r="D23" i="19"/>
  <c r="H16" i="11"/>
  <c r="G16" i="11"/>
  <c r="F16" i="11"/>
  <c r="E16" i="11"/>
  <c r="D16" i="11"/>
  <c r="I20" i="29"/>
  <c r="H20" i="29"/>
  <c r="G20" i="29"/>
  <c r="F20" i="29"/>
  <c r="E20" i="29"/>
  <c r="I6" i="5"/>
  <c r="I5" i="5" s="1"/>
  <c r="H49" i="2"/>
  <c r="G49" i="2"/>
  <c r="F49" i="2"/>
  <c r="E49" i="2"/>
  <c r="D49" i="2"/>
  <c r="J48" i="2"/>
  <c r="J47" i="2"/>
  <c r="H15" i="2"/>
  <c r="G15" i="2"/>
  <c r="F15" i="2"/>
  <c r="E15" i="2"/>
  <c r="J14" i="2"/>
  <c r="J13" i="2"/>
  <c r="I6" i="2"/>
  <c r="I56" i="4"/>
  <c r="H56" i="4"/>
  <c r="G56" i="4"/>
  <c r="F56" i="4"/>
  <c r="E56" i="4"/>
  <c r="I37" i="4"/>
  <c r="H37" i="4"/>
  <c r="G37" i="4"/>
  <c r="F37" i="4"/>
  <c r="E37" i="4"/>
  <c r="B63" i="1"/>
  <c r="B60" i="1"/>
  <c r="B59" i="1"/>
  <c r="B42" i="1"/>
  <c r="B41" i="1"/>
  <c r="B34" i="1"/>
  <c r="B33" i="1"/>
  <c r="B31" i="1"/>
  <c r="B30" i="1"/>
  <c r="B13" i="1"/>
  <c r="B12" i="1"/>
  <c r="J6" i="1"/>
  <c r="G135" i="28"/>
  <c r="G133" i="28"/>
  <c r="G132" i="28"/>
  <c r="G131" i="28"/>
  <c r="D6" i="19"/>
  <c r="D5" i="19" s="1"/>
  <c r="D6" i="2"/>
  <c r="D6" i="11"/>
  <c r="D5" i="11" s="1"/>
  <c r="F6" i="10"/>
  <c r="F5" i="10" s="1"/>
  <c r="B23" i="1"/>
  <c r="H21" i="4"/>
  <c r="I21" i="4"/>
  <c r="E201" i="28" l="1"/>
  <c r="O87" i="28"/>
  <c r="C78" i="1"/>
  <c r="C79" i="1"/>
  <c r="E34" i="28"/>
  <c r="F34" i="28"/>
  <c r="D165" i="2" s="1"/>
  <c r="G34" i="28"/>
  <c r="H34" i="28"/>
  <c r="I34" i="28"/>
  <c r="J34" i="28"/>
  <c r="K34" i="28"/>
  <c r="L34" i="28"/>
  <c r="F30" i="10"/>
  <c r="E134" i="28"/>
  <c r="F134" i="28" s="1"/>
  <c r="C15" i="4"/>
  <c r="E58" i="4"/>
  <c r="E60" i="4" s="1"/>
  <c r="B15" i="4"/>
  <c r="C13" i="4"/>
  <c r="F36" i="28"/>
  <c r="F35" i="28"/>
  <c r="E35" i="28"/>
  <c r="E36" i="28"/>
  <c r="H87" i="28"/>
  <c r="D12" i="5"/>
  <c r="J22" i="5"/>
  <c r="J71" i="5"/>
  <c r="E131" i="28"/>
  <c r="F131" i="28" s="1"/>
  <c r="D38" i="2"/>
  <c r="D19" i="2"/>
  <c r="J44" i="5"/>
  <c r="L20" i="28"/>
  <c r="B45" i="2"/>
  <c r="B11" i="2"/>
  <c r="E6" i="19"/>
  <c r="E5" i="19" s="1"/>
  <c r="D51" i="19"/>
  <c r="D5" i="1"/>
  <c r="A3" i="44"/>
  <c r="A3" i="43"/>
  <c r="D5" i="2"/>
  <c r="E78" i="4"/>
  <c r="E79" i="4" s="1"/>
  <c r="E203" i="28"/>
  <c r="J62" i="28"/>
  <c r="I87" i="28"/>
  <c r="Q62" i="28"/>
  <c r="P87" i="28"/>
  <c r="E19" i="2"/>
  <c r="C163" i="2"/>
  <c r="H78" i="4"/>
  <c r="H79" i="4" s="1"/>
  <c r="I81" i="4"/>
  <c r="I93" i="4" s="1"/>
  <c r="I78" i="4"/>
  <c r="I79" i="4" s="1"/>
  <c r="G81" i="4"/>
  <c r="G93" i="4" s="1"/>
  <c r="F78" i="4"/>
  <c r="F79" i="4" s="1"/>
  <c r="E6" i="5"/>
  <c r="E12" i="5" s="1"/>
  <c r="E71" i="1" s="1"/>
  <c r="D5" i="5"/>
  <c r="D90" i="2"/>
  <c r="D91" i="2"/>
  <c r="G90" i="2"/>
  <c r="G91" i="2"/>
  <c r="E91" i="2"/>
  <c r="E90" i="2"/>
  <c r="H91" i="2"/>
  <c r="H90" i="2"/>
  <c r="F90" i="2"/>
  <c r="F91" i="2"/>
  <c r="D66" i="2"/>
  <c r="G66" i="2"/>
  <c r="E66" i="2"/>
  <c r="H66" i="2"/>
  <c r="F66" i="2"/>
  <c r="F37" i="2"/>
  <c r="H37" i="2"/>
  <c r="D37" i="2"/>
  <c r="G37" i="2"/>
  <c r="E37" i="2"/>
  <c r="F6" i="4"/>
  <c r="F66" i="4" s="1"/>
  <c r="H162" i="2"/>
  <c r="H196" i="2" s="1"/>
  <c r="F82" i="2"/>
  <c r="G45" i="11"/>
  <c r="G64" i="11" s="1"/>
  <c r="D45" i="11"/>
  <c r="D64" i="11" s="1"/>
  <c r="F45" i="11"/>
  <c r="F64" i="11" s="1"/>
  <c r="E45" i="11"/>
  <c r="E64" i="11" s="1"/>
  <c r="H45" i="11"/>
  <c r="H64" i="11" s="1"/>
  <c r="B22" i="1"/>
  <c r="H20" i="2"/>
  <c r="H42" i="2" s="1"/>
  <c r="J49" i="2"/>
  <c r="F19" i="2"/>
  <c r="H83" i="2"/>
  <c r="G83" i="2"/>
  <c r="E83" i="2"/>
  <c r="J15" i="2"/>
  <c r="J78" i="2"/>
  <c r="D162" i="2"/>
  <c r="D196" i="2" s="1"/>
  <c r="G20" i="2"/>
  <c r="G42" i="2" s="1"/>
  <c r="E20" i="2"/>
  <c r="E42" i="2" s="1"/>
  <c r="F83" i="2"/>
  <c r="H54" i="2"/>
  <c r="H71" i="2" s="1"/>
  <c r="F54" i="2"/>
  <c r="F6" i="29"/>
  <c r="F5" i="29" s="1"/>
  <c r="D54" i="2"/>
  <c r="D53" i="2"/>
  <c r="D82" i="2"/>
  <c r="G6" i="10"/>
  <c r="G5" i="10" s="1"/>
  <c r="E6" i="2"/>
  <c r="E6" i="11"/>
  <c r="E51" i="19"/>
  <c r="F32" i="28"/>
  <c r="E66" i="4"/>
  <c r="E5" i="4"/>
  <c r="G52" i="19"/>
  <c r="G33" i="28"/>
  <c r="G36" i="28" s="1"/>
  <c r="E109" i="2"/>
  <c r="E108" i="2" s="1"/>
  <c r="H45" i="29"/>
  <c r="G82" i="2"/>
  <c r="F45" i="29"/>
  <c r="E6" i="1"/>
  <c r="F6" i="1" s="1"/>
  <c r="F5" i="1" s="1"/>
  <c r="G54" i="28"/>
  <c r="O79" i="28"/>
  <c r="P91" i="28"/>
  <c r="O85" i="28"/>
  <c r="P77" i="28"/>
  <c r="O77" i="28"/>
  <c r="O88" i="28"/>
  <c r="O82" i="28"/>
  <c r="O86" i="28"/>
  <c r="P78" i="28"/>
  <c r="P84" i="28"/>
  <c r="P90" i="28"/>
  <c r="O81" i="28"/>
  <c r="O91" i="28"/>
  <c r="P88" i="28"/>
  <c r="O84" i="28"/>
  <c r="O83" i="28"/>
  <c r="P85" i="28"/>
  <c r="O80" i="28"/>
  <c r="O78" i="28"/>
  <c r="P83" i="28"/>
  <c r="P86" i="28"/>
  <c r="P82" i="28"/>
  <c r="P81" i="28"/>
  <c r="P80" i="28"/>
  <c r="O90" i="28"/>
  <c r="P79" i="28"/>
  <c r="H77" i="28"/>
  <c r="H86" i="28"/>
  <c r="H78" i="28"/>
  <c r="I88" i="28"/>
  <c r="I79" i="28"/>
  <c r="H85" i="28"/>
  <c r="I86" i="28"/>
  <c r="I78" i="28"/>
  <c r="G41" i="28"/>
  <c r="H41" i="28" s="1"/>
  <c r="I41" i="28" s="1"/>
  <c r="H84" i="28"/>
  <c r="I85" i="28"/>
  <c r="H83" i="28"/>
  <c r="I84" i="28"/>
  <c r="H81" i="28"/>
  <c r="H91" i="28"/>
  <c r="H82" i="28"/>
  <c r="I77" i="28"/>
  <c r="I83" i="28"/>
  <c r="H90" i="28"/>
  <c r="I91" i="28"/>
  <c r="H80" i="28"/>
  <c r="I90" i="28"/>
  <c r="I81" i="28"/>
  <c r="H88" i="28"/>
  <c r="H79" i="28"/>
  <c r="I80" i="28"/>
  <c r="I82" i="28"/>
  <c r="H58" i="4"/>
  <c r="H60" i="4" s="1"/>
  <c r="F58" i="4"/>
  <c r="F60" i="4" s="1"/>
  <c r="I58" i="4"/>
  <c r="I60" i="4" s="1"/>
  <c r="G58" i="4"/>
  <c r="B52" i="1"/>
  <c r="G19" i="2"/>
  <c r="H82" i="2"/>
  <c r="E136" i="28"/>
  <c r="F136" i="28" s="1"/>
  <c r="D20" i="2"/>
  <c r="H19" i="2"/>
  <c r="E82" i="2"/>
  <c r="D83" i="2"/>
  <c r="H53" i="2"/>
  <c r="J36" i="10"/>
  <c r="I36" i="10"/>
  <c r="F53" i="2"/>
  <c r="E135" i="28"/>
  <c r="F135" i="28" s="1"/>
  <c r="E202" i="28"/>
  <c r="E199" i="28"/>
  <c r="G36" i="10"/>
  <c r="F20" i="2"/>
  <c r="F42" i="2" s="1"/>
  <c r="G54" i="2"/>
  <c r="G71" i="2" s="1"/>
  <c r="G53" i="2"/>
  <c r="E196" i="28"/>
  <c r="B128" i="28"/>
  <c r="E195" i="28"/>
  <c r="E138" i="28"/>
  <c r="F138" i="28" s="1"/>
  <c r="E137" i="28"/>
  <c r="F137" i="28" s="1"/>
  <c r="E198" i="28"/>
  <c r="E200" i="28"/>
  <c r="E132" i="28"/>
  <c r="F132" i="28" s="1"/>
  <c r="E133" i="28"/>
  <c r="F133" i="28" s="1"/>
  <c r="E197" i="28"/>
  <c r="E54" i="2"/>
  <c r="E53" i="2"/>
  <c r="G45" i="29"/>
  <c r="F36" i="10"/>
  <c r="I45" i="29"/>
  <c r="E45" i="29"/>
  <c r="G60" i="4" l="1"/>
  <c r="Q76" i="28"/>
  <c r="J81" i="28"/>
  <c r="E165" i="2"/>
  <c r="D166" i="2"/>
  <c r="B135" i="28"/>
  <c r="B17" i="5" s="1"/>
  <c r="B75" i="1" s="1"/>
  <c r="B136" i="28"/>
  <c r="B18" i="5" s="1"/>
  <c r="B76" i="1" s="1"/>
  <c r="B137" i="28"/>
  <c r="B19" i="5" s="1"/>
  <c r="B77" i="1" s="1"/>
  <c r="B134" i="28"/>
  <c r="B16" i="5" s="1"/>
  <c r="B74" i="1" s="1"/>
  <c r="B138" i="28"/>
  <c r="B20" i="5" s="1"/>
  <c r="B78" i="1" s="1"/>
  <c r="B139" i="28"/>
  <c r="B21" i="5" s="1"/>
  <c r="B79" i="1" s="1"/>
  <c r="B132" i="28"/>
  <c r="B14" i="5" s="1"/>
  <c r="B72" i="1" s="1"/>
  <c r="B133" i="28"/>
  <c r="B15" i="5" s="1"/>
  <c r="B73" i="1" s="1"/>
  <c r="G35" i="28"/>
  <c r="F6" i="19"/>
  <c r="F5" i="19" s="1"/>
  <c r="D71" i="1"/>
  <c r="C19" i="5"/>
  <c r="C20" i="5"/>
  <c r="F6" i="5"/>
  <c r="J77" i="28"/>
  <c r="E26" i="10"/>
  <c r="C38" i="2"/>
  <c r="C67" i="2"/>
  <c r="C66" i="2"/>
  <c r="C24" i="2"/>
  <c r="C25" i="2"/>
  <c r="C26" i="2"/>
  <c r="C27" i="2"/>
  <c r="C28" i="2"/>
  <c r="C37" i="2"/>
  <c r="P331" i="28"/>
  <c r="P339" i="28"/>
  <c r="P321" i="28"/>
  <c r="P334" i="28"/>
  <c r="P342" i="28"/>
  <c r="P318" i="28"/>
  <c r="P326" i="28"/>
  <c r="P337" i="28"/>
  <c r="P323" i="28"/>
  <c r="P332" i="28"/>
  <c r="P340" i="28"/>
  <c r="P320" i="28"/>
  <c r="P328" i="28"/>
  <c r="P335" i="28"/>
  <c r="P343" i="28"/>
  <c r="P317" i="28"/>
  <c r="P325" i="28"/>
  <c r="P322" i="28"/>
  <c r="P341" i="28"/>
  <c r="P327" i="28"/>
  <c r="P336" i="28"/>
  <c r="P316" i="28"/>
  <c r="P315" i="28"/>
  <c r="P329" i="28"/>
  <c r="P338" i="28"/>
  <c r="P333" i="28"/>
  <c r="P319" i="28"/>
  <c r="P324" i="28"/>
  <c r="P330" i="28"/>
  <c r="O334" i="28"/>
  <c r="O342" i="28"/>
  <c r="O318" i="28"/>
  <c r="O326" i="28"/>
  <c r="O337" i="28"/>
  <c r="O323" i="28"/>
  <c r="O332" i="28"/>
  <c r="O340" i="28"/>
  <c r="O329" i="28"/>
  <c r="O320" i="28"/>
  <c r="O328" i="28"/>
  <c r="O335" i="28"/>
  <c r="O343" i="28"/>
  <c r="O317" i="28"/>
  <c r="O325" i="28"/>
  <c r="O315" i="28"/>
  <c r="O322" i="28"/>
  <c r="O333" i="28"/>
  <c r="O341" i="28"/>
  <c r="O319" i="28"/>
  <c r="O336" i="28"/>
  <c r="O324" i="28"/>
  <c r="O339" i="28"/>
  <c r="O338" i="28"/>
  <c r="O327" i="28"/>
  <c r="O316" i="28"/>
  <c r="O321" i="28"/>
  <c r="O330" i="28"/>
  <c r="O331" i="28"/>
  <c r="R319" i="28"/>
  <c r="R327" i="28"/>
  <c r="R316" i="28"/>
  <c r="R324" i="28"/>
  <c r="R315" i="28"/>
  <c r="R321" i="28"/>
  <c r="R318" i="28"/>
  <c r="R326" i="28"/>
  <c r="R328" i="28"/>
  <c r="R317" i="28"/>
  <c r="R322" i="28"/>
  <c r="R323" i="28"/>
  <c r="R320" i="28"/>
  <c r="R325" i="28"/>
  <c r="N334" i="28"/>
  <c r="N342" i="28"/>
  <c r="N335" i="28"/>
  <c r="N343" i="28"/>
  <c r="N336" i="28"/>
  <c r="N329" i="28"/>
  <c r="N337" i="28"/>
  <c r="N338" i="28"/>
  <c r="N339" i="28"/>
  <c r="N332" i="28"/>
  <c r="N341" i="28"/>
  <c r="N330" i="28"/>
  <c r="N331" i="28"/>
  <c r="N340" i="28"/>
  <c r="N333" i="28"/>
  <c r="M335" i="28"/>
  <c r="M343" i="28"/>
  <c r="M336" i="28"/>
  <c r="M329" i="28"/>
  <c r="M337" i="28"/>
  <c r="M330" i="28"/>
  <c r="M338" i="28"/>
  <c r="M339" i="28"/>
  <c r="M340" i="28"/>
  <c r="M333" i="28"/>
  <c r="M342" i="28"/>
  <c r="M331" i="28"/>
  <c r="M332" i="28"/>
  <c r="M341" i="28"/>
  <c r="M334" i="28"/>
  <c r="Q336" i="28"/>
  <c r="Q316" i="28"/>
  <c r="Q324" i="28"/>
  <c r="Q315" i="28"/>
  <c r="Q331" i="28"/>
  <c r="Q339" i="28"/>
  <c r="Q321" i="28"/>
  <c r="Q334" i="28"/>
  <c r="Q342" i="28"/>
  <c r="Q318" i="28"/>
  <c r="Q326" i="28"/>
  <c r="Q337" i="28"/>
  <c r="Q323" i="28"/>
  <c r="Q332" i="28"/>
  <c r="Q340" i="28"/>
  <c r="Q320" i="28"/>
  <c r="Q328" i="28"/>
  <c r="Q325" i="28"/>
  <c r="Q319" i="28"/>
  <c r="Q335" i="28"/>
  <c r="Q343" i="28"/>
  <c r="Q317" i="28"/>
  <c r="Q338" i="28"/>
  <c r="Q322" i="28"/>
  <c r="Q333" i="28"/>
  <c r="Q341" i="28"/>
  <c r="Q327" i="28"/>
  <c r="Q329" i="28"/>
  <c r="Q330" i="28"/>
  <c r="S322" i="28"/>
  <c r="S319" i="28"/>
  <c r="S327" i="28"/>
  <c r="S316" i="28"/>
  <c r="S324" i="28"/>
  <c r="S315" i="28"/>
  <c r="S321" i="28"/>
  <c r="S318" i="28"/>
  <c r="S320" i="28"/>
  <c r="S325" i="28"/>
  <c r="S326" i="28"/>
  <c r="S323" i="28"/>
  <c r="S328" i="28"/>
  <c r="S317" i="28"/>
  <c r="F27" i="10"/>
  <c r="M20" i="28"/>
  <c r="N20" i="28" s="1"/>
  <c r="G27" i="10"/>
  <c r="M371" i="28"/>
  <c r="M372" i="28"/>
  <c r="M373" i="28"/>
  <c r="M366" i="28"/>
  <c r="M375" i="28"/>
  <c r="M368" i="28"/>
  <c r="M376" i="28"/>
  <c r="M369" i="28"/>
  <c r="M377" i="28"/>
  <c r="M365" i="28"/>
  <c r="M367" i="28"/>
  <c r="M370" i="28"/>
  <c r="M378" i="28"/>
  <c r="M364" i="28"/>
  <c r="M374" i="28"/>
  <c r="Q355" i="28"/>
  <c r="Q371" i="28"/>
  <c r="Q354" i="28"/>
  <c r="Q358" i="28"/>
  <c r="Q362" i="28"/>
  <c r="Q366" i="28"/>
  <c r="Q370" i="28"/>
  <c r="Q378" i="28"/>
  <c r="Q363" i="28"/>
  <c r="Q375" i="28"/>
  <c r="Q352" i="28"/>
  <c r="Q356" i="28"/>
  <c r="Q360" i="28"/>
  <c r="Q364" i="28"/>
  <c r="Q368" i="28"/>
  <c r="Q372" i="28"/>
  <c r="Q376" i="28"/>
  <c r="Q367" i="28"/>
  <c r="Q351" i="28"/>
  <c r="Q359" i="28"/>
  <c r="Q350" i="28"/>
  <c r="Q353" i="28"/>
  <c r="Q357" i="28"/>
  <c r="Q361" i="28"/>
  <c r="Q365" i="28"/>
  <c r="Q369" i="28"/>
  <c r="Q373" i="28"/>
  <c r="Q377" i="28"/>
  <c r="Q374" i="28"/>
  <c r="P360" i="28"/>
  <c r="P351" i="28"/>
  <c r="P355" i="28"/>
  <c r="P359" i="28"/>
  <c r="P363" i="28"/>
  <c r="P367" i="28"/>
  <c r="P371" i="28"/>
  <c r="P350" i="28"/>
  <c r="P364" i="28"/>
  <c r="P372" i="28"/>
  <c r="P356" i="28"/>
  <c r="P353" i="28"/>
  <c r="P357" i="28"/>
  <c r="P361" i="28"/>
  <c r="P365" i="28"/>
  <c r="P369" i="28"/>
  <c r="P373" i="28"/>
  <c r="P377" i="28"/>
  <c r="P375" i="28"/>
  <c r="P376" i="28"/>
  <c r="P354" i="28"/>
  <c r="P358" i="28"/>
  <c r="P362" i="28"/>
  <c r="P366" i="28"/>
  <c r="P370" i="28"/>
  <c r="P378" i="28"/>
  <c r="P352" i="28"/>
  <c r="P368" i="28"/>
  <c r="P374" i="28"/>
  <c r="S351" i="28"/>
  <c r="S355" i="28"/>
  <c r="S359" i="28"/>
  <c r="S363" i="28"/>
  <c r="S360" i="28"/>
  <c r="S352" i="28"/>
  <c r="S353" i="28"/>
  <c r="S357" i="28"/>
  <c r="S361" i="28"/>
  <c r="S350" i="28"/>
  <c r="S356" i="28"/>
  <c r="S354" i="28"/>
  <c r="S358" i="28"/>
  <c r="S362" i="28"/>
  <c r="O356" i="28"/>
  <c r="O357" i="28"/>
  <c r="O354" i="28"/>
  <c r="O362" i="28"/>
  <c r="O370" i="28"/>
  <c r="O378" i="28"/>
  <c r="O363" i="28"/>
  <c r="O350" i="28"/>
  <c r="O364" i="28"/>
  <c r="O365" i="28"/>
  <c r="O358" i="28"/>
  <c r="O366" i="28"/>
  <c r="O372" i="28"/>
  <c r="O351" i="28"/>
  <c r="O359" i="28"/>
  <c r="O367" i="28"/>
  <c r="O375" i="28"/>
  <c r="O377" i="28"/>
  <c r="O352" i="28"/>
  <c r="O360" i="28"/>
  <c r="O368" i="28"/>
  <c r="O376" i="28"/>
  <c r="O353" i="28"/>
  <c r="O361" i="28"/>
  <c r="O369" i="28"/>
  <c r="O355" i="28"/>
  <c r="O371" i="28"/>
  <c r="O373" i="28"/>
  <c r="O374" i="28"/>
  <c r="N373" i="28"/>
  <c r="N371" i="28"/>
  <c r="N364" i="28"/>
  <c r="N367" i="28"/>
  <c r="N375" i="28"/>
  <c r="N366" i="28"/>
  <c r="N368" i="28"/>
  <c r="N376" i="28"/>
  <c r="N378" i="28"/>
  <c r="N365" i="28"/>
  <c r="N369" i="28"/>
  <c r="N377" i="28"/>
  <c r="N370" i="28"/>
  <c r="N372" i="28"/>
  <c r="N374" i="28"/>
  <c r="R351" i="28"/>
  <c r="R356" i="28"/>
  <c r="R360" i="28"/>
  <c r="R352" i="28"/>
  <c r="R361" i="28"/>
  <c r="R353" i="28"/>
  <c r="R350" i="28"/>
  <c r="R354" i="28"/>
  <c r="R358" i="28"/>
  <c r="R362" i="28"/>
  <c r="R357" i="28"/>
  <c r="R355" i="28"/>
  <c r="R359" i="28"/>
  <c r="R363" i="28"/>
  <c r="Q90" i="28"/>
  <c r="Q72" i="28"/>
  <c r="Q70" i="28"/>
  <c r="Q68" i="28"/>
  <c r="Q88" i="28"/>
  <c r="Q82" i="28"/>
  <c r="Q80" i="28"/>
  <c r="H6" i="10"/>
  <c r="H5" i="10" s="1"/>
  <c r="Q78" i="28"/>
  <c r="Q75" i="28"/>
  <c r="Q64" i="28"/>
  <c r="Q81" i="28"/>
  <c r="Q67" i="28"/>
  <c r="Q77" i="28"/>
  <c r="Q79" i="28"/>
  <c r="Q73" i="28"/>
  <c r="Q83" i="28"/>
  <c r="Q66" i="28"/>
  <c r="Q74" i="28"/>
  <c r="Q63" i="28"/>
  <c r="Q71" i="28"/>
  <c r="Q65" i="28"/>
  <c r="Q86" i="28"/>
  <c r="Q91" i="28"/>
  <c r="Q69" i="28"/>
  <c r="Q85" i="28"/>
  <c r="Q84" i="28"/>
  <c r="J69" i="28"/>
  <c r="J63" i="28"/>
  <c r="J85" i="28"/>
  <c r="H41" i="2"/>
  <c r="E82" i="4"/>
  <c r="E94" i="4" s="1"/>
  <c r="G41" i="2"/>
  <c r="C35" i="2"/>
  <c r="C9" i="43"/>
  <c r="G20" i="43"/>
  <c r="J23" i="43"/>
  <c r="I23" i="43"/>
  <c r="J20" i="43"/>
  <c r="R20" i="43"/>
  <c r="M20" i="43"/>
  <c r="L23" i="43"/>
  <c r="T20" i="43"/>
  <c r="F23" i="43"/>
  <c r="T23" i="43"/>
  <c r="S23" i="43"/>
  <c r="H20" i="43"/>
  <c r="N23" i="43"/>
  <c r="I20" i="43"/>
  <c r="F20" i="43"/>
  <c r="P20" i="43"/>
  <c r="U23" i="43"/>
  <c r="K20" i="43"/>
  <c r="N20" i="43"/>
  <c r="Q20" i="43"/>
  <c r="K23" i="43"/>
  <c r="E20" i="43"/>
  <c r="G23" i="43"/>
  <c r="Q23" i="43"/>
  <c r="O20" i="43"/>
  <c r="E23" i="43"/>
  <c r="S20" i="43"/>
  <c r="P23" i="43"/>
  <c r="O23" i="43"/>
  <c r="D20" i="43"/>
  <c r="R23" i="43"/>
  <c r="L20" i="43"/>
  <c r="H23" i="43"/>
  <c r="M23" i="43"/>
  <c r="U20" i="43"/>
  <c r="D23" i="43"/>
  <c r="V20" i="43"/>
  <c r="V23" i="43"/>
  <c r="J79" i="28"/>
  <c r="J82" i="28"/>
  <c r="J74" i="28"/>
  <c r="J90" i="28"/>
  <c r="J84" i="28"/>
  <c r="J86" i="28"/>
  <c r="H82" i="4"/>
  <c r="F82" i="4"/>
  <c r="I82" i="4"/>
  <c r="F41" i="2"/>
  <c r="E41" i="2"/>
  <c r="E43" i="2" s="1"/>
  <c r="B198" i="28"/>
  <c r="B199" i="28"/>
  <c r="B200" i="28"/>
  <c r="B201" i="28"/>
  <c r="B202" i="28"/>
  <c r="B196" i="28"/>
  <c r="B197" i="28"/>
  <c r="B203" i="28"/>
  <c r="B70" i="5" s="1"/>
  <c r="J83" i="28"/>
  <c r="J68" i="28"/>
  <c r="J91" i="28"/>
  <c r="J70" i="28"/>
  <c r="J72" i="28"/>
  <c r="J65" i="28"/>
  <c r="J80" i="28"/>
  <c r="C89" i="1"/>
  <c r="C102" i="2"/>
  <c r="C87" i="1"/>
  <c r="J88" i="28"/>
  <c r="J67" i="28"/>
  <c r="J76" i="28"/>
  <c r="J64" i="28"/>
  <c r="J78" i="28"/>
  <c r="J66" i="28"/>
  <c r="J75" i="28"/>
  <c r="J73" i="28"/>
  <c r="J71" i="28"/>
  <c r="D67" i="29"/>
  <c r="D69" i="29"/>
  <c r="C23" i="19"/>
  <c r="C94" i="2"/>
  <c r="C66" i="5"/>
  <c r="C12" i="5"/>
  <c r="C15" i="2"/>
  <c r="E20" i="10"/>
  <c r="C103" i="2"/>
  <c r="C19" i="2"/>
  <c r="C22" i="5"/>
  <c r="C82" i="2"/>
  <c r="C14" i="5"/>
  <c r="C96" i="2"/>
  <c r="C93" i="1"/>
  <c r="E43" i="10"/>
  <c r="C48" i="2"/>
  <c r="C16" i="5"/>
  <c r="C71" i="5"/>
  <c r="C72" i="2"/>
  <c r="D64" i="29"/>
  <c r="E12" i="10"/>
  <c r="D70" i="29"/>
  <c r="C68" i="5"/>
  <c r="C86" i="1"/>
  <c r="C88" i="1"/>
  <c r="C14" i="2"/>
  <c r="C91" i="1"/>
  <c r="E19" i="10"/>
  <c r="C43" i="2"/>
  <c r="E40" i="10"/>
  <c r="E41" i="10"/>
  <c r="D62" i="29"/>
  <c r="E39" i="10"/>
  <c r="E44" i="10"/>
  <c r="C56" i="5"/>
  <c r="C74" i="1"/>
  <c r="D40" i="29"/>
  <c r="C85" i="1"/>
  <c r="C81" i="1"/>
  <c r="C54" i="2"/>
  <c r="C78" i="2"/>
  <c r="C70" i="1"/>
  <c r="C21" i="19"/>
  <c r="E21" i="10"/>
  <c r="C90" i="1"/>
  <c r="C88" i="2"/>
  <c r="C49" i="2"/>
  <c r="C69" i="5"/>
  <c r="E45" i="10"/>
  <c r="C76" i="2"/>
  <c r="E18" i="10"/>
  <c r="C77" i="2"/>
  <c r="C97" i="1"/>
  <c r="C20" i="2"/>
  <c r="C18" i="19"/>
  <c r="E23" i="10"/>
  <c r="C57" i="2"/>
  <c r="C15" i="5"/>
  <c r="C70" i="5"/>
  <c r="C83" i="1"/>
  <c r="C73" i="1"/>
  <c r="C96" i="1"/>
  <c r="C59" i="2"/>
  <c r="C17" i="5"/>
  <c r="C80" i="1"/>
  <c r="C45" i="5"/>
  <c r="D60" i="29"/>
  <c r="C71" i="1"/>
  <c r="E22" i="10"/>
  <c r="C94" i="1"/>
  <c r="E24" i="10"/>
  <c r="C72" i="1"/>
  <c r="C83" i="2"/>
  <c r="C53" i="2"/>
  <c r="C47" i="2"/>
  <c r="C87" i="2"/>
  <c r="B67" i="1"/>
  <c r="C77" i="1"/>
  <c r="C69" i="1"/>
  <c r="C18" i="5"/>
  <c r="E17" i="10"/>
  <c r="E15" i="10"/>
  <c r="D56" i="29"/>
  <c r="C92" i="1"/>
  <c r="D52" i="29"/>
  <c r="C76" i="1"/>
  <c r="E16" i="10"/>
  <c r="C101" i="2"/>
  <c r="C67" i="5"/>
  <c r="C13" i="2"/>
  <c r="C84" i="1"/>
  <c r="C22" i="19"/>
  <c r="C75" i="1"/>
  <c r="C54" i="19"/>
  <c r="R62" i="28"/>
  <c r="Q87" i="28"/>
  <c r="K62" i="28"/>
  <c r="J87" i="28"/>
  <c r="C58" i="2"/>
  <c r="C57" i="5"/>
  <c r="C42" i="2"/>
  <c r="C41" i="5"/>
  <c r="C70" i="2"/>
  <c r="C49" i="5"/>
  <c r="C30" i="2"/>
  <c r="C21" i="5"/>
  <c r="C42" i="5"/>
  <c r="C23" i="2"/>
  <c r="C86" i="2"/>
  <c r="C52" i="5"/>
  <c r="C71" i="2"/>
  <c r="C29" i="2"/>
  <c r="C43" i="5"/>
  <c r="C95" i="2"/>
  <c r="C41" i="2"/>
  <c r="C82" i="1"/>
  <c r="C58" i="5"/>
  <c r="C44" i="5"/>
  <c r="C63" i="2"/>
  <c r="C33" i="2"/>
  <c r="C34" i="2"/>
  <c r="C55" i="5"/>
  <c r="C50" i="5"/>
  <c r="C59" i="5"/>
  <c r="C64" i="2"/>
  <c r="C62" i="2"/>
  <c r="C48" i="5"/>
  <c r="C51" i="5"/>
  <c r="H95" i="2"/>
  <c r="H102" i="2" s="1"/>
  <c r="H70" i="1" s="1"/>
  <c r="H81" i="4"/>
  <c r="H93" i="4" s="1"/>
  <c r="F81" i="4"/>
  <c r="F93" i="4" s="1"/>
  <c r="E95" i="2"/>
  <c r="F5" i="4"/>
  <c r="G6" i="4"/>
  <c r="E71" i="2"/>
  <c r="D41" i="2"/>
  <c r="F95" i="2"/>
  <c r="G95" i="2"/>
  <c r="G102" i="2" s="1"/>
  <c r="G70" i="1" s="1"/>
  <c r="D42" i="2"/>
  <c r="E82" i="1"/>
  <c r="D82" i="1"/>
  <c r="G6" i="1"/>
  <c r="G5" i="1" s="1"/>
  <c r="E5" i="1"/>
  <c r="E5" i="5"/>
  <c r="D95" i="2"/>
  <c r="D94" i="2"/>
  <c r="E94" i="2"/>
  <c r="F94" i="2"/>
  <c r="G94" i="2"/>
  <c r="H94" i="2"/>
  <c r="J91" i="2"/>
  <c r="F71" i="2"/>
  <c r="J90" i="2"/>
  <c r="J38" i="2"/>
  <c r="F70" i="2"/>
  <c r="E70" i="2"/>
  <c r="H70" i="2"/>
  <c r="G70" i="2"/>
  <c r="G72" i="2" s="1"/>
  <c r="D71" i="2"/>
  <c r="J67" i="2"/>
  <c r="D70" i="2"/>
  <c r="J66" i="2"/>
  <c r="J37" i="2"/>
  <c r="G162" i="2"/>
  <c r="G196" i="2" s="1"/>
  <c r="E162" i="2"/>
  <c r="E196" i="2" s="1"/>
  <c r="G6" i="29"/>
  <c r="G5" i="29" s="1"/>
  <c r="E5" i="2"/>
  <c r="F6" i="2"/>
  <c r="E5" i="11"/>
  <c r="F6" i="11"/>
  <c r="F109" i="2"/>
  <c r="G32" i="28"/>
  <c r="H33" i="28"/>
  <c r="H52" i="19"/>
  <c r="H51" i="19" s="1"/>
  <c r="G51" i="19"/>
  <c r="J82" i="2"/>
  <c r="J19" i="2"/>
  <c r="J83" i="2"/>
  <c r="J20" i="2"/>
  <c r="H15" i="4"/>
  <c r="H19" i="4" s="1"/>
  <c r="D81" i="1"/>
  <c r="D80" i="1"/>
  <c r="J54" i="2"/>
  <c r="J53" i="2"/>
  <c r="I15" i="4"/>
  <c r="I19" i="4" s="1"/>
  <c r="K85" i="28" l="1"/>
  <c r="E166" i="2"/>
  <c r="B50" i="1"/>
  <c r="B21" i="1"/>
  <c r="B20" i="1"/>
  <c r="B49" i="1"/>
  <c r="F165" i="2"/>
  <c r="G6" i="19"/>
  <c r="G5" i="19" s="1"/>
  <c r="H36" i="28"/>
  <c r="F32" i="10" s="1"/>
  <c r="H35" i="28"/>
  <c r="D198" i="2"/>
  <c r="D197" i="2"/>
  <c r="F12" i="5"/>
  <c r="F5" i="5"/>
  <c r="G6" i="5"/>
  <c r="F34" i="10"/>
  <c r="F35" i="10"/>
  <c r="H6" i="1"/>
  <c r="H5" i="1" s="1"/>
  <c r="C10" i="28"/>
  <c r="C11" i="28"/>
  <c r="H27" i="10"/>
  <c r="I6" i="10"/>
  <c r="I5" i="10" s="1"/>
  <c r="K81" i="1"/>
  <c r="S21" i="43"/>
  <c r="U21" i="43"/>
  <c r="G24" i="43"/>
  <c r="N21" i="43"/>
  <c r="U24" i="43"/>
  <c r="H21" i="43"/>
  <c r="K24" i="43"/>
  <c r="V24" i="43"/>
  <c r="H24" i="43"/>
  <c r="L21" i="43"/>
  <c r="O24" i="43"/>
  <c r="P24" i="43"/>
  <c r="R24" i="43"/>
  <c r="Q21" i="43"/>
  <c r="J24" i="43"/>
  <c r="I21" i="43"/>
  <c r="M24" i="43"/>
  <c r="K21" i="43"/>
  <c r="O21" i="43"/>
  <c r="F21" i="43"/>
  <c r="J21" i="43"/>
  <c r="F24" i="43"/>
  <c r="E21" i="43"/>
  <c r="N24" i="43"/>
  <c r="I24" i="43"/>
  <c r="E24" i="43"/>
  <c r="S24" i="43"/>
  <c r="T21" i="43"/>
  <c r="G21" i="43"/>
  <c r="L24" i="43"/>
  <c r="T24" i="43"/>
  <c r="M21" i="43"/>
  <c r="V21" i="43"/>
  <c r="Q24" i="43"/>
  <c r="P21" i="43"/>
  <c r="R21" i="43"/>
  <c r="G5" i="4"/>
  <c r="K64" i="28"/>
  <c r="H6" i="4"/>
  <c r="H5" i="4" s="1"/>
  <c r="G66" i="4"/>
  <c r="K73" i="28"/>
  <c r="K67" i="28"/>
  <c r="K90" i="28"/>
  <c r="K70" i="28"/>
  <c r="K66" i="28"/>
  <c r="K88" i="28"/>
  <c r="K63" i="28"/>
  <c r="K80" i="28"/>
  <c r="K71" i="28"/>
  <c r="K65" i="28"/>
  <c r="K75" i="28"/>
  <c r="K84" i="28"/>
  <c r="K82" i="28"/>
  <c r="K74" i="28"/>
  <c r="K78" i="28"/>
  <c r="K91" i="28"/>
  <c r="K69" i="28"/>
  <c r="K79" i="28"/>
  <c r="K81" i="28"/>
  <c r="K72" i="28"/>
  <c r="K83" i="28"/>
  <c r="K68" i="28"/>
  <c r="K76" i="28"/>
  <c r="L62" i="28"/>
  <c r="K87" i="28"/>
  <c r="K86" i="28"/>
  <c r="K77" i="28"/>
  <c r="S62" i="28"/>
  <c r="R87" i="28"/>
  <c r="R69" i="28"/>
  <c r="R67" i="28"/>
  <c r="R81" i="28"/>
  <c r="R80" i="28"/>
  <c r="R82" i="28"/>
  <c r="R64" i="28"/>
  <c r="R79" i="28"/>
  <c r="R68" i="28"/>
  <c r="R71" i="28"/>
  <c r="R77" i="28"/>
  <c r="R90" i="28"/>
  <c r="R66" i="28"/>
  <c r="R65" i="28"/>
  <c r="R70" i="28"/>
  <c r="R83" i="28"/>
  <c r="R86" i="28"/>
  <c r="R84" i="28"/>
  <c r="R91" i="28"/>
  <c r="R75" i="28"/>
  <c r="R74" i="28"/>
  <c r="R63" i="28"/>
  <c r="R88" i="28"/>
  <c r="R78" i="28"/>
  <c r="R76" i="28"/>
  <c r="R72" i="28"/>
  <c r="R85" i="28"/>
  <c r="R73" i="28"/>
  <c r="H96" i="2"/>
  <c r="E102" i="2"/>
  <c r="E70" i="1" s="1"/>
  <c r="J41" i="2"/>
  <c r="E96" i="2"/>
  <c r="F101" i="2"/>
  <c r="F102" i="2"/>
  <c r="F70" i="1" s="1"/>
  <c r="H101" i="2"/>
  <c r="H103" i="2" s="1"/>
  <c r="D43" i="2"/>
  <c r="F96" i="2"/>
  <c r="D102" i="2"/>
  <c r="G96" i="2"/>
  <c r="B67" i="5"/>
  <c r="B84" i="1" s="1"/>
  <c r="B66" i="5"/>
  <c r="B83" i="1" s="1"/>
  <c r="B87" i="1"/>
  <c r="B69" i="5"/>
  <c r="B86" i="1" s="1"/>
  <c r="J42" i="2"/>
  <c r="B68" i="5"/>
  <c r="B85" i="1" s="1"/>
  <c r="J95" i="2"/>
  <c r="D96" i="2"/>
  <c r="D101" i="2"/>
  <c r="F82" i="1"/>
  <c r="B19" i="1"/>
  <c r="B48" i="1"/>
  <c r="J71" i="2"/>
  <c r="D72" i="2"/>
  <c r="F94" i="4"/>
  <c r="J70" i="2"/>
  <c r="F72" i="2"/>
  <c r="E101" i="2"/>
  <c r="G101" i="2"/>
  <c r="E72" i="2"/>
  <c r="H72" i="2"/>
  <c r="H43" i="2"/>
  <c r="J94" i="2"/>
  <c r="G43" i="2"/>
  <c r="F43" i="2"/>
  <c r="H6" i="29"/>
  <c r="H5" i="29" s="1"/>
  <c r="F5" i="2"/>
  <c r="G6" i="2"/>
  <c r="F5" i="11"/>
  <c r="G6" i="11"/>
  <c r="G109" i="2"/>
  <c r="F108" i="2"/>
  <c r="F80" i="1"/>
  <c r="H32" i="28"/>
  <c r="I33" i="28"/>
  <c r="E198" i="2" s="1"/>
  <c r="B44" i="1"/>
  <c r="B16" i="1"/>
  <c r="J76" i="1" l="1"/>
  <c r="J75" i="1"/>
  <c r="G165" i="2"/>
  <c r="J78" i="1"/>
  <c r="J77" i="1"/>
  <c r="J79" i="1"/>
  <c r="J81" i="1"/>
  <c r="H6" i="19"/>
  <c r="H5" i="19" s="1"/>
  <c r="I36" i="28"/>
  <c r="G32" i="10" s="1"/>
  <c r="I35" i="28"/>
  <c r="F38" i="29"/>
  <c r="F23" i="29" s="1"/>
  <c r="E18" i="19"/>
  <c r="E54" i="19"/>
  <c r="E88" i="1" s="1"/>
  <c r="E197" i="2"/>
  <c r="F37" i="10"/>
  <c r="F41" i="10" s="1"/>
  <c r="H6" i="5"/>
  <c r="H12" i="5" s="1"/>
  <c r="H71" i="1" s="1"/>
  <c r="G12" i="5"/>
  <c r="G71" i="1" s="1"/>
  <c r="F71" i="1"/>
  <c r="G5" i="5"/>
  <c r="G35" i="10"/>
  <c r="H66" i="4"/>
  <c r="I6" i="4"/>
  <c r="I5" i="4" s="1"/>
  <c r="G34" i="10"/>
  <c r="I27" i="10"/>
  <c r="J6" i="10"/>
  <c r="J5" i="10" s="1"/>
  <c r="T62" i="28"/>
  <c r="S87" i="28"/>
  <c r="S83" i="28"/>
  <c r="S79" i="28"/>
  <c r="S70" i="28"/>
  <c r="S75" i="28"/>
  <c r="C6" i="28" s="1"/>
  <c r="S86" i="28"/>
  <c r="S77" i="28"/>
  <c r="S63" i="28"/>
  <c r="S88" i="28"/>
  <c r="S65" i="28"/>
  <c r="S91" i="28"/>
  <c r="S72" i="28"/>
  <c r="S80" i="28"/>
  <c r="S84" i="28"/>
  <c r="S85" i="28"/>
  <c r="S78" i="28"/>
  <c r="S69" i="28"/>
  <c r="S74" i="28"/>
  <c r="S67" i="28"/>
  <c r="S76" i="28"/>
  <c r="S90" i="28"/>
  <c r="S71" i="28"/>
  <c r="S66" i="28"/>
  <c r="S82" i="28"/>
  <c r="S73" i="28"/>
  <c r="S81" i="28"/>
  <c r="S68" i="28"/>
  <c r="S64" i="28"/>
  <c r="M62" i="28"/>
  <c r="L87" i="28"/>
  <c r="L81" i="28"/>
  <c r="L67" i="28"/>
  <c r="L85" i="28"/>
  <c r="L69" i="28"/>
  <c r="L83" i="28"/>
  <c r="L65" i="28"/>
  <c r="L88" i="28"/>
  <c r="L66" i="28"/>
  <c r="L79" i="28"/>
  <c r="L80" i="28"/>
  <c r="L74" i="28"/>
  <c r="L71" i="28"/>
  <c r="L78" i="28"/>
  <c r="L91" i="28"/>
  <c r="L70" i="28"/>
  <c r="L84" i="28"/>
  <c r="L77" i="28"/>
  <c r="L86" i="28"/>
  <c r="L75" i="28"/>
  <c r="L64" i="28"/>
  <c r="L90" i="28"/>
  <c r="L73" i="28"/>
  <c r="L63" i="28"/>
  <c r="L68" i="28"/>
  <c r="L76" i="28"/>
  <c r="L82" i="28"/>
  <c r="L72" i="28"/>
  <c r="E103" i="2"/>
  <c r="B28" i="1"/>
  <c r="B57" i="1"/>
  <c r="B25" i="1"/>
  <c r="B54" i="1"/>
  <c r="B26" i="1"/>
  <c r="B55" i="1"/>
  <c r="B29" i="1"/>
  <c r="B58" i="1"/>
  <c r="B56" i="1"/>
  <c r="B27" i="1"/>
  <c r="F103" i="2"/>
  <c r="J102" i="2"/>
  <c r="D70" i="1"/>
  <c r="J96" i="2"/>
  <c r="D103" i="2"/>
  <c r="G82" i="1"/>
  <c r="J82" i="1" s="1"/>
  <c r="J72" i="2"/>
  <c r="J101" i="2"/>
  <c r="G103" i="2"/>
  <c r="J43" i="2"/>
  <c r="I6" i="29"/>
  <c r="I5" i="29" s="1"/>
  <c r="G80" i="1"/>
  <c r="J80" i="1" s="1"/>
  <c r="G5" i="2"/>
  <c r="H6" i="2"/>
  <c r="I67" i="2" s="1"/>
  <c r="H6" i="11"/>
  <c r="H5" i="11" s="1"/>
  <c r="G5" i="11"/>
  <c r="G108" i="2"/>
  <c r="H109" i="2"/>
  <c r="J33" i="28"/>
  <c r="I32" i="28"/>
  <c r="B45" i="1"/>
  <c r="B15" i="1"/>
  <c r="J73" i="1"/>
  <c r="J87" i="1"/>
  <c r="J84" i="1"/>
  <c r="B46" i="1"/>
  <c r="B17" i="1"/>
  <c r="B47" i="1"/>
  <c r="B18" i="1"/>
  <c r="B43" i="1"/>
  <c r="B14" i="1"/>
  <c r="J74" i="1"/>
  <c r="F33" i="29" l="1"/>
  <c r="J70" i="1"/>
  <c r="G166" i="2"/>
  <c r="I43" i="2"/>
  <c r="I72" i="2"/>
  <c r="I96" i="2"/>
  <c r="I101" i="2"/>
  <c r="I43" i="5"/>
  <c r="I42" i="2"/>
  <c r="I22" i="5"/>
  <c r="I19" i="5"/>
  <c r="I66" i="2"/>
  <c r="I30" i="2"/>
  <c r="I34" i="2"/>
  <c r="I20" i="5"/>
  <c r="I67" i="5"/>
  <c r="I14" i="5"/>
  <c r="I70" i="5"/>
  <c r="I17" i="5"/>
  <c r="I56" i="5"/>
  <c r="I66" i="5"/>
  <c r="I102" i="2"/>
  <c r="I57" i="2"/>
  <c r="I86" i="2"/>
  <c r="I94" i="2"/>
  <c r="I59" i="5"/>
  <c r="I62" i="2"/>
  <c r="I87" i="2"/>
  <c r="I35" i="2"/>
  <c r="I27" i="2"/>
  <c r="I63" i="2"/>
  <c r="I64" i="2"/>
  <c r="I90" i="2"/>
  <c r="I37" i="2"/>
  <c r="I55" i="5"/>
  <c r="I95" i="2"/>
  <c r="I33" i="2"/>
  <c r="I69" i="5"/>
  <c r="I18" i="5"/>
  <c r="I58" i="5"/>
  <c r="I58" i="2"/>
  <c r="I45" i="5"/>
  <c r="I38" i="2"/>
  <c r="I88" i="2"/>
  <c r="I21" i="5"/>
  <c r="I59" i="2"/>
  <c r="I28" i="2"/>
  <c r="I29" i="2"/>
  <c r="I41" i="2"/>
  <c r="I23" i="2"/>
  <c r="I16" i="5"/>
  <c r="I71" i="5"/>
  <c r="I68" i="5"/>
  <c r="I42" i="5"/>
  <c r="I26" i="2"/>
  <c r="I24" i="2"/>
  <c r="I70" i="2"/>
  <c r="I25" i="2"/>
  <c r="I44" i="5"/>
  <c r="I71" i="2"/>
  <c r="I15" i="5"/>
  <c r="I57" i="5"/>
  <c r="I41" i="5"/>
  <c r="I12" i="5"/>
  <c r="J27" i="10"/>
  <c r="I77" i="2"/>
  <c r="H165" i="2"/>
  <c r="H5" i="5"/>
  <c r="J36" i="28"/>
  <c r="H32" i="10" s="1"/>
  <c r="J35" i="28"/>
  <c r="F197" i="2"/>
  <c r="F54" i="19"/>
  <c r="F88" i="1" s="1"/>
  <c r="F18" i="19"/>
  <c r="G38" i="29"/>
  <c r="G23" i="29" s="1"/>
  <c r="I66" i="4"/>
  <c r="J12" i="5"/>
  <c r="G37" i="10"/>
  <c r="G41" i="10" s="1"/>
  <c r="G40" i="10" s="1"/>
  <c r="G44" i="10" s="1"/>
  <c r="E69" i="1" s="1"/>
  <c r="H34" i="10"/>
  <c r="H35" i="10"/>
  <c r="F40" i="10"/>
  <c r="F39" i="10"/>
  <c r="F43" i="10" s="1"/>
  <c r="I103" i="2"/>
  <c r="G198" i="2"/>
  <c r="N62" i="28"/>
  <c r="M71" i="28"/>
  <c r="M72" i="28"/>
  <c r="M64" i="28"/>
  <c r="M76" i="28"/>
  <c r="M63" i="28"/>
  <c r="M70" i="28"/>
  <c r="M65" i="28"/>
  <c r="M75" i="28"/>
  <c r="M66" i="28"/>
  <c r="M69" i="28"/>
  <c r="M73" i="28"/>
  <c r="M68" i="28"/>
  <c r="M67" i="28"/>
  <c r="M74" i="28"/>
  <c r="U62" i="28"/>
  <c r="T63" i="28"/>
  <c r="T71" i="28"/>
  <c r="T74" i="28"/>
  <c r="T67" i="28"/>
  <c r="T66" i="28"/>
  <c r="T68" i="28"/>
  <c r="T76" i="28"/>
  <c r="T64" i="28"/>
  <c r="T70" i="28"/>
  <c r="T73" i="28"/>
  <c r="T69" i="28"/>
  <c r="T65" i="28"/>
  <c r="T72" i="28"/>
  <c r="T75" i="28"/>
  <c r="K70" i="1"/>
  <c r="J103" i="2"/>
  <c r="H82" i="1"/>
  <c r="K82" i="1" s="1"/>
  <c r="H94" i="4"/>
  <c r="K84" i="1"/>
  <c r="I54" i="2"/>
  <c r="H5" i="2"/>
  <c r="I48" i="2"/>
  <c r="I82" i="2"/>
  <c r="I14" i="2"/>
  <c r="I20" i="2"/>
  <c r="I13" i="2"/>
  <c r="I47" i="2"/>
  <c r="I76" i="2"/>
  <c r="I19" i="2"/>
  <c r="I53" i="2"/>
  <c r="I83" i="2"/>
  <c r="H108" i="2"/>
  <c r="J32" i="28"/>
  <c r="K33" i="28"/>
  <c r="H80" i="1"/>
  <c r="K80" i="1" s="1"/>
  <c r="J85" i="1"/>
  <c r="J86" i="1"/>
  <c r="H166" i="2" l="1"/>
  <c r="I78" i="2"/>
  <c r="G197" i="2"/>
  <c r="K36" i="28"/>
  <c r="I32" i="10" s="1"/>
  <c r="K35" i="28"/>
  <c r="H38" i="29"/>
  <c r="H23" i="29" s="1"/>
  <c r="H33" i="29" s="1"/>
  <c r="G54" i="19"/>
  <c r="G88" i="1" s="1"/>
  <c r="G18" i="19"/>
  <c r="E96" i="1"/>
  <c r="H37" i="10"/>
  <c r="H41" i="10" s="1"/>
  <c r="H39" i="10" s="1"/>
  <c r="H43" i="10" s="1"/>
  <c r="I34" i="10"/>
  <c r="G39" i="10"/>
  <c r="G43" i="10" s="1"/>
  <c r="I35" i="10"/>
  <c r="F44" i="10"/>
  <c r="D69" i="1" s="1"/>
  <c r="D96" i="1"/>
  <c r="H198" i="2"/>
  <c r="U71" i="28"/>
  <c r="U65" i="28"/>
  <c r="U74" i="28"/>
  <c r="U75" i="28"/>
  <c r="U76" i="28"/>
  <c r="U72" i="28"/>
  <c r="U69" i="28"/>
  <c r="U67" i="28"/>
  <c r="U63" i="28"/>
  <c r="U70" i="28"/>
  <c r="U64" i="28"/>
  <c r="U73" i="28"/>
  <c r="U68" i="28"/>
  <c r="U66" i="28"/>
  <c r="N64" i="28"/>
  <c r="N73" i="28"/>
  <c r="N74" i="28"/>
  <c r="N75" i="28"/>
  <c r="N76" i="28"/>
  <c r="N65" i="28"/>
  <c r="N72" i="28"/>
  <c r="N63" i="28"/>
  <c r="N68" i="28"/>
  <c r="N70" i="28"/>
  <c r="N71" i="28"/>
  <c r="N67" i="28"/>
  <c r="N69" i="28"/>
  <c r="N66" i="28"/>
  <c r="D54" i="19"/>
  <c r="D88" i="1" s="1"/>
  <c r="I94" i="4"/>
  <c r="I15" i="2"/>
  <c r="I49" i="2"/>
  <c r="K32" i="28"/>
  <c r="L33" i="28"/>
  <c r="G33" i="29"/>
  <c r="J83" i="1"/>
  <c r="J71" i="1"/>
  <c r="J72" i="1"/>
  <c r="E89" i="1"/>
  <c r="K73" i="1"/>
  <c r="D14" i="1" l="1"/>
  <c r="D20" i="1"/>
  <c r="D21" i="1"/>
  <c r="E25" i="1"/>
  <c r="E20" i="1"/>
  <c r="E21" i="1"/>
  <c r="E11" i="1"/>
  <c r="E24" i="1"/>
  <c r="E13" i="1"/>
  <c r="E30" i="1"/>
  <c r="E17" i="1"/>
  <c r="E27" i="1"/>
  <c r="E15" i="1"/>
  <c r="E23" i="1"/>
  <c r="E14" i="1"/>
  <c r="E28" i="1"/>
  <c r="E26" i="1"/>
  <c r="E16" i="1"/>
  <c r="E19" i="1"/>
  <c r="E12" i="1"/>
  <c r="E18" i="1"/>
  <c r="E29" i="1"/>
  <c r="E22" i="1"/>
  <c r="L35" i="28"/>
  <c r="L36" i="28"/>
  <c r="J32" i="10" s="1"/>
  <c r="H54" i="19"/>
  <c r="H88" i="1" s="1"/>
  <c r="K88" i="1" s="1"/>
  <c r="H18" i="19"/>
  <c r="H197" i="2"/>
  <c r="I38" i="29"/>
  <c r="I23" i="29" s="1"/>
  <c r="I33" i="29" s="1"/>
  <c r="H40" i="10"/>
  <c r="H44" i="10" s="1"/>
  <c r="F69" i="1" s="1"/>
  <c r="G45" i="10"/>
  <c r="I37" i="10"/>
  <c r="I41" i="10" s="1"/>
  <c r="I39" i="10" s="1"/>
  <c r="I43" i="10" s="1"/>
  <c r="J34" i="10"/>
  <c r="J35" i="10"/>
  <c r="D13" i="1"/>
  <c r="D11" i="1"/>
  <c r="F45" i="10"/>
  <c r="D23" i="1"/>
  <c r="D18" i="1"/>
  <c r="D27" i="1"/>
  <c r="D26" i="1"/>
  <c r="D29" i="1"/>
  <c r="D12" i="1"/>
  <c r="D22" i="1"/>
  <c r="D24" i="1"/>
  <c r="D25" i="1"/>
  <c r="D28" i="1"/>
  <c r="D16" i="1"/>
  <c r="D17" i="1"/>
  <c r="D15" i="1"/>
  <c r="D19" i="1"/>
  <c r="G36" i="29"/>
  <c r="G40" i="29" s="1"/>
  <c r="H36" i="29"/>
  <c r="H40" i="29" s="1"/>
  <c r="D89" i="1"/>
  <c r="D18" i="19"/>
  <c r="D30" i="1"/>
  <c r="E38" i="29"/>
  <c r="E23" i="29" s="1"/>
  <c r="K87" i="1"/>
  <c r="L32" i="28"/>
  <c r="K86" i="1"/>
  <c r="K85" i="1"/>
  <c r="K76" i="1"/>
  <c r="K74" i="1"/>
  <c r="K75" i="1"/>
  <c r="J88" i="1" l="1"/>
  <c r="F89" i="1"/>
  <c r="E31" i="1"/>
  <c r="H45" i="10"/>
  <c r="F96" i="1"/>
  <c r="J37" i="10"/>
  <c r="J41" i="10" s="1"/>
  <c r="I40" i="10"/>
  <c r="G96" i="1" s="1"/>
  <c r="H105" i="4"/>
  <c r="H106" i="4" s="1"/>
  <c r="G105" i="4"/>
  <c r="G106" i="4" s="1"/>
  <c r="D31" i="1"/>
  <c r="E33" i="29"/>
  <c r="E36" i="29" s="1"/>
  <c r="E40" i="29" s="1"/>
  <c r="I36" i="29"/>
  <c r="I40" i="29" s="1"/>
  <c r="K71" i="1"/>
  <c r="G60" i="29"/>
  <c r="H60" i="29"/>
  <c r="H48" i="29"/>
  <c r="G48" i="29"/>
  <c r="K83" i="1"/>
  <c r="K72" i="1"/>
  <c r="G23" i="1" l="1"/>
  <c r="G20" i="1"/>
  <c r="G21" i="1"/>
  <c r="F12" i="1"/>
  <c r="F20" i="1"/>
  <c r="F21" i="1"/>
  <c r="F11" i="1"/>
  <c r="F28" i="1"/>
  <c r="F27" i="1"/>
  <c r="F16" i="1"/>
  <c r="G15" i="1"/>
  <c r="G25" i="1"/>
  <c r="G12" i="1"/>
  <c r="F18" i="1"/>
  <c r="F23" i="1"/>
  <c r="F22" i="1"/>
  <c r="F19" i="1"/>
  <c r="F14" i="1"/>
  <c r="F24" i="1"/>
  <c r="F15" i="1"/>
  <c r="J40" i="10"/>
  <c r="J44" i="10" s="1"/>
  <c r="H69" i="1" s="1"/>
  <c r="F13" i="1"/>
  <c r="F17" i="1"/>
  <c r="F25" i="1"/>
  <c r="F26" i="1"/>
  <c r="F29" i="1"/>
  <c r="G30" i="1"/>
  <c r="G14" i="1"/>
  <c r="J39" i="10"/>
  <c r="J43" i="10" s="1"/>
  <c r="G16" i="1"/>
  <c r="G26" i="1"/>
  <c r="F30" i="1"/>
  <c r="G29" i="1"/>
  <c r="G17" i="1"/>
  <c r="G24" i="1"/>
  <c r="G28" i="1"/>
  <c r="G22" i="1"/>
  <c r="I44" i="10"/>
  <c r="G69" i="1" s="1"/>
  <c r="G27" i="1"/>
  <c r="G19" i="1"/>
  <c r="G13" i="1"/>
  <c r="G18" i="1"/>
  <c r="I105" i="4"/>
  <c r="I106" i="4" s="1"/>
  <c r="E105" i="4"/>
  <c r="E106" i="4" s="1"/>
  <c r="E60" i="29"/>
  <c r="I48" i="29"/>
  <c r="I60" i="29"/>
  <c r="F36" i="29" l="1"/>
  <c r="G11" i="1"/>
  <c r="G31" i="1" s="1"/>
  <c r="J69" i="1"/>
  <c r="J89" i="1" s="1"/>
  <c r="H96" i="1"/>
  <c r="F31" i="1"/>
  <c r="I45" i="10"/>
  <c r="G89" i="1"/>
  <c r="H89" i="1"/>
  <c r="K69" i="1"/>
  <c r="K89" i="1" s="1"/>
  <c r="J45" i="10"/>
  <c r="F40" i="29" l="1"/>
  <c r="F60" i="29" s="1"/>
  <c r="F48" i="29"/>
  <c r="F105" i="4"/>
  <c r="F106" i="4" s="1"/>
  <c r="J20" i="1"/>
  <c r="J21" i="1"/>
  <c r="J28" i="1"/>
  <c r="J23" i="1"/>
  <c r="J22" i="1"/>
  <c r="J27" i="1"/>
  <c r="J25" i="1"/>
  <c r="J14" i="1"/>
  <c r="J19" i="1"/>
  <c r="J18" i="1"/>
  <c r="J12" i="1"/>
  <c r="J17" i="1"/>
  <c r="J29" i="1"/>
  <c r="J24" i="1"/>
  <c r="J15" i="1"/>
  <c r="J26" i="1"/>
  <c r="J13" i="1"/>
  <c r="J16" i="1"/>
  <c r="J30" i="1"/>
  <c r="J11" i="1"/>
  <c r="K11" i="1"/>
  <c r="H20" i="1"/>
  <c r="H21" i="1"/>
  <c r="K21" i="1"/>
  <c r="K20" i="1"/>
  <c r="K14" i="1"/>
  <c r="H30" i="1"/>
  <c r="H25" i="1"/>
  <c r="H27" i="1"/>
  <c r="H12" i="1"/>
  <c r="H16" i="1"/>
  <c r="H11" i="1"/>
  <c r="K24" i="1"/>
  <c r="K26" i="1"/>
  <c r="K13" i="1"/>
  <c r="H14" i="1"/>
  <c r="H18" i="1"/>
  <c r="K30" i="1"/>
  <c r="H23" i="1"/>
  <c r="K16" i="1"/>
  <c r="K18" i="1"/>
  <c r="K15" i="1"/>
  <c r="H26" i="1"/>
  <c r="K28" i="1"/>
  <c r="H24" i="1"/>
  <c r="K25" i="1"/>
  <c r="H19" i="1"/>
  <c r="K19" i="1"/>
  <c r="H13" i="1"/>
  <c r="H28" i="1"/>
  <c r="K27" i="1"/>
  <c r="K22" i="1"/>
  <c r="K17" i="1"/>
  <c r="K12" i="1"/>
  <c r="H15" i="1"/>
  <c r="K29" i="1"/>
  <c r="H22" i="1"/>
  <c r="K23" i="1"/>
  <c r="H17" i="1"/>
  <c r="H29" i="1"/>
  <c r="J31" i="1" l="1"/>
  <c r="K31" i="1"/>
  <c r="H31" i="1"/>
  <c r="E48" i="29" l="1"/>
  <c r="I96" i="4" l="1"/>
  <c r="I108" i="4" s="1"/>
  <c r="E96" i="4"/>
  <c r="F96" i="4"/>
  <c r="G96" i="4"/>
  <c r="G108" i="4" s="1"/>
  <c r="E108" i="4" l="1"/>
  <c r="E99" i="4"/>
  <c r="E100" i="4" s="1"/>
  <c r="H96" i="4"/>
  <c r="F99" i="4"/>
  <c r="F109" i="4" s="1"/>
  <c r="G99" i="4"/>
  <c r="I99" i="4"/>
  <c r="F108" i="4"/>
  <c r="F100" i="4" l="1"/>
  <c r="F110" i="4"/>
  <c r="H108" i="4"/>
  <c r="G100" i="4"/>
  <c r="H99" i="4"/>
  <c r="H109" i="4" s="1"/>
  <c r="E109" i="4"/>
  <c r="E110" i="4" s="1"/>
  <c r="I100" i="4"/>
  <c r="I109" i="4"/>
  <c r="I110" i="4" s="1"/>
  <c r="H110" i="4" l="1"/>
  <c r="H100" i="4"/>
  <c r="E46" i="29" l="1"/>
  <c r="D97" i="1" l="1"/>
  <c r="D53" i="1" s="1"/>
  <c r="F46" i="29"/>
  <c r="D48" i="1"/>
  <c r="D49" i="1"/>
  <c r="G46" i="29"/>
  <c r="F66" i="29"/>
  <c r="D52" i="1"/>
  <c r="D41" i="1"/>
  <c r="D40" i="1"/>
  <c r="D42" i="1"/>
  <c r="D43" i="1"/>
  <c r="D47" i="1"/>
  <c r="D45" i="1"/>
  <c r="D46" i="1"/>
  <c r="D57" i="1"/>
  <c r="D58" i="1"/>
  <c r="D56" i="1"/>
  <c r="D51" i="1"/>
  <c r="D54" i="1"/>
  <c r="D44" i="1"/>
  <c r="D59" i="1" l="1"/>
  <c r="D55" i="1"/>
  <c r="G66" i="29"/>
  <c r="G67" i="29" s="1"/>
  <c r="F97" i="1"/>
  <c r="F45" i="1" s="1"/>
  <c r="E97" i="1"/>
  <c r="D50" i="1"/>
  <c r="F67" i="29"/>
  <c r="E66" i="29"/>
  <c r="F55" i="1" l="1"/>
  <c r="F49" i="1"/>
  <c r="F58" i="1"/>
  <c r="F57" i="1"/>
  <c r="F42" i="1"/>
  <c r="F51" i="1"/>
  <c r="F46" i="1"/>
  <c r="F48" i="1"/>
  <c r="F53" i="1"/>
  <c r="F50" i="1"/>
  <c r="F40" i="1"/>
  <c r="F59" i="1"/>
  <c r="F52" i="1"/>
  <c r="F56" i="1"/>
  <c r="F44" i="1"/>
  <c r="F41" i="1"/>
  <c r="F54" i="1"/>
  <c r="D60" i="1"/>
  <c r="F43" i="1"/>
  <c r="E48" i="1"/>
  <c r="E49" i="1"/>
  <c r="E50" i="1"/>
  <c r="E52" i="1"/>
  <c r="E57" i="1"/>
  <c r="E59" i="1"/>
  <c r="E41" i="1"/>
  <c r="E43" i="1"/>
  <c r="E42" i="1"/>
  <c r="E55" i="1"/>
  <c r="E46" i="1"/>
  <c r="E56" i="1"/>
  <c r="E47" i="1"/>
  <c r="E51" i="1"/>
  <c r="E58" i="1"/>
  <c r="E53" i="1"/>
  <c r="E40" i="1"/>
  <c r="E54" i="1"/>
  <c r="E45" i="1"/>
  <c r="E44" i="1"/>
  <c r="F47" i="1"/>
  <c r="H46" i="29"/>
  <c r="E67" i="29"/>
  <c r="F60" i="1" l="1"/>
  <c r="G97" i="1"/>
  <c r="G54" i="1" s="1"/>
  <c r="E60" i="1"/>
  <c r="D90" i="1"/>
  <c r="E68" i="29"/>
  <c r="I46" i="29"/>
  <c r="E90" i="1"/>
  <c r="F68" i="29"/>
  <c r="E91" i="1"/>
  <c r="G43" i="1" l="1"/>
  <c r="G53" i="1"/>
  <c r="G59" i="1"/>
  <c r="G55" i="1"/>
  <c r="G49" i="1"/>
  <c r="G52" i="1"/>
  <c r="G57" i="1"/>
  <c r="G45" i="1"/>
  <c r="G46" i="1"/>
  <c r="G56" i="1"/>
  <c r="G42" i="1"/>
  <c r="G50" i="1"/>
  <c r="H97" i="1"/>
  <c r="K44" i="1" s="1"/>
  <c r="G51" i="1"/>
  <c r="G58" i="1"/>
  <c r="G44" i="1"/>
  <c r="G41" i="1"/>
  <c r="G48" i="1"/>
  <c r="G47" i="1"/>
  <c r="G40" i="1"/>
  <c r="J58" i="1"/>
  <c r="J44" i="1"/>
  <c r="J49" i="1"/>
  <c r="J45" i="1"/>
  <c r="J57" i="1"/>
  <c r="J55" i="1"/>
  <c r="J54" i="1"/>
  <c r="J53" i="1"/>
  <c r="J42" i="1"/>
  <c r="J48" i="1"/>
  <c r="J43" i="1"/>
  <c r="J51" i="1"/>
  <c r="J41" i="1"/>
  <c r="J52" i="1"/>
  <c r="J46" i="1"/>
  <c r="J47" i="1"/>
  <c r="J59" i="1"/>
  <c r="J40" i="1"/>
  <c r="J56" i="1"/>
  <c r="E32" i="1"/>
  <c r="E61" i="1"/>
  <c r="F69" i="29"/>
  <c r="F70" i="29" s="1"/>
  <c r="F49" i="29"/>
  <c r="F50" i="29" s="1"/>
  <c r="F52" i="29" s="1"/>
  <c r="I66" i="29"/>
  <c r="D91" i="1"/>
  <c r="E69" i="29"/>
  <c r="E70" i="29" s="1"/>
  <c r="E49" i="29"/>
  <c r="E50" i="29" s="1"/>
  <c r="E52" i="29" s="1"/>
  <c r="E62" i="29" s="1"/>
  <c r="H66" i="29"/>
  <c r="D32" i="1"/>
  <c r="K54" i="1" l="1"/>
  <c r="H47" i="1"/>
  <c r="K46" i="1"/>
  <c r="K47" i="1"/>
  <c r="H56" i="1"/>
  <c r="H45" i="1"/>
  <c r="H55" i="1"/>
  <c r="H59" i="1"/>
  <c r="H51" i="1"/>
  <c r="K48" i="1"/>
  <c r="H52" i="1"/>
  <c r="H57" i="1"/>
  <c r="K56" i="1"/>
  <c r="H58" i="1"/>
  <c r="K45" i="1"/>
  <c r="K59" i="1"/>
  <c r="H54" i="1"/>
  <c r="H50" i="1"/>
  <c r="H49" i="1"/>
  <c r="K52" i="1"/>
  <c r="K50" i="1"/>
  <c r="K43" i="1"/>
  <c r="F90" i="1"/>
  <c r="G68" i="29"/>
  <c r="J50" i="1"/>
  <c r="G60" i="1"/>
  <c r="H42" i="1"/>
  <c r="D61" i="1"/>
  <c r="K58" i="1"/>
  <c r="H40" i="1"/>
  <c r="F62" i="29"/>
  <c r="K57" i="1"/>
  <c r="H41" i="1"/>
  <c r="K55" i="1"/>
  <c r="K42" i="1"/>
  <c r="H48" i="1"/>
  <c r="H43" i="1"/>
  <c r="K51" i="1"/>
  <c r="H46" i="1"/>
  <c r="K40" i="1"/>
  <c r="K49" i="1"/>
  <c r="H53" i="1"/>
  <c r="K53" i="1"/>
  <c r="H44" i="1"/>
  <c r="K41" i="1"/>
  <c r="H67" i="29"/>
  <c r="D92" i="1"/>
  <c r="E64" i="29"/>
  <c r="D93" i="1" s="1"/>
  <c r="I67" i="29"/>
  <c r="J60" i="1" l="1"/>
  <c r="H60" i="1"/>
  <c r="F32" i="1"/>
  <c r="F91" i="1"/>
  <c r="G49" i="29"/>
  <c r="G50" i="29" s="1"/>
  <c r="G52" i="29" s="1"/>
  <c r="G62" i="29" s="1"/>
  <c r="G69" i="29"/>
  <c r="G70" i="29" s="1"/>
  <c r="F64" i="29"/>
  <c r="E93" i="1" s="1"/>
  <c r="K60" i="1"/>
  <c r="E92" i="1"/>
  <c r="G90" i="1"/>
  <c r="D94" i="1"/>
  <c r="H68" i="29"/>
  <c r="H69" i="29" s="1"/>
  <c r="H70" i="29" s="1"/>
  <c r="H90" i="1"/>
  <c r="D33" i="1"/>
  <c r="D62" i="1"/>
  <c r="F61" i="1" l="1"/>
  <c r="E33" i="1"/>
  <c r="E34" i="1" s="1"/>
  <c r="E94" i="1"/>
  <c r="G32" i="1"/>
  <c r="G64" i="29"/>
  <c r="F93" i="1" s="1"/>
  <c r="F92" i="1"/>
  <c r="E62" i="1"/>
  <c r="D34" i="1"/>
  <c r="D63" i="1"/>
  <c r="J90" i="1"/>
  <c r="G91" i="1"/>
  <c r="J32" i="1"/>
  <c r="K90" i="1"/>
  <c r="H49" i="29"/>
  <c r="H50" i="29" s="1"/>
  <c r="H52" i="29" s="1"/>
  <c r="H62" i="29" s="1"/>
  <c r="H91" i="1"/>
  <c r="I68" i="29"/>
  <c r="I69" i="29" s="1"/>
  <c r="I70" i="29" s="1"/>
  <c r="K32" i="1"/>
  <c r="H32" i="1"/>
  <c r="F62" i="1" l="1"/>
  <c r="F33" i="1"/>
  <c r="F94" i="1"/>
  <c r="E63" i="1"/>
  <c r="H64" i="29"/>
  <c r="G93" i="1" s="1"/>
  <c r="G61" i="1"/>
  <c r="K91" i="1"/>
  <c r="J61" i="1"/>
  <c r="J91" i="1"/>
  <c r="H61" i="1"/>
  <c r="K61" i="1"/>
  <c r="G92" i="1"/>
  <c r="I49" i="29"/>
  <c r="I50" i="29" s="1"/>
  <c r="I52" i="29" s="1"/>
  <c r="I62" i="29" s="1"/>
  <c r="F63" i="1" l="1"/>
  <c r="H92" i="1"/>
  <c r="F34" i="1"/>
  <c r="G33" i="1"/>
  <c r="G94" i="1"/>
  <c r="J92" i="1"/>
  <c r="J33" i="1"/>
  <c r="G62" i="1"/>
  <c r="I64" i="29"/>
  <c r="H93" i="1" s="1"/>
  <c r="K92" i="1" l="1"/>
  <c r="H33" i="1"/>
  <c r="H34" i="1" s="1"/>
  <c r="K33" i="1"/>
  <c r="K34" i="1" s="1"/>
  <c r="G63" i="1"/>
  <c r="J34" i="1"/>
  <c r="G34" i="1"/>
  <c r="K93" i="1"/>
  <c r="J93" i="1"/>
  <c r="J62" i="1"/>
  <c r="H94" i="1"/>
  <c r="H62" i="1"/>
  <c r="K62" i="1"/>
  <c r="H63" i="1" l="1"/>
  <c r="J63" i="1"/>
  <c r="J94" i="1"/>
  <c r="K63" i="1"/>
  <c r="K94" i="1"/>
  <c r="F150" i="2" l="1"/>
  <c r="G75" i="4" l="1"/>
  <c r="F160" i="2"/>
  <c r="F162" i="2" s="1"/>
  <c r="G78" i="4"/>
  <c r="F196" i="2" l="1"/>
  <c r="F198" i="2" s="1"/>
  <c r="F166" i="2"/>
  <c r="G79" i="4"/>
  <c r="G82" i="4"/>
  <c r="G94" i="4" s="1"/>
  <c r="G109" i="4" s="1"/>
  <c r="G110"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<sst xmlns="http://schemas.openxmlformats.org/spreadsheetml/2006/main" count="2323" uniqueCount="1055">
  <si>
    <t>Regulatory Financial Performance Report</t>
  </si>
  <si>
    <t xml:space="preserve">                           </t>
  </si>
  <si>
    <t>RIIO-2 start date (enter 2022 for 2021-22)</t>
  </si>
  <si>
    <t>Licensee</t>
  </si>
  <si>
    <t>NGN</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</si>
  <si>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</si>
  <si>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</si>
  <si>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</si>
  <si>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</si>
  <si>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</si>
  <si>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</si>
  <si>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</si>
  <si>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</si>
  <si>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</si>
  <si>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</si>
  <si>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</si>
  <si>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</si>
  <si>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</si>
  <si>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</si>
  <si>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</si>
  <si>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</si>
  <si>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</si>
  <si>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</si>
  <si>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</si>
  <si>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</si>
  <si>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</si>
  <si>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</si>
  <si>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</si>
  <si>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</si>
  <si>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</si>
  <si>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</si>
  <si>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</si>
  <si>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</si>
  <si>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</si>
  <si>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</si>
  <si>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</si>
  <si>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</si>
  <si>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</si>
  <si>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</si>
  <si>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</si>
  <si>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</si>
  <si>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</si>
  <si>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</si>
  <si>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</si>
  <si>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</si>
  <si>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</si>
  <si>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</si>
  <si>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</si>
  <si>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</si>
  <si>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</si>
  <si>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</si>
  <si>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</si>
  <si>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</si>
  <si>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</si>
  <si>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</si>
  <si>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</si>
  <si>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</si>
  <si>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</si>
  <si>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</si>
  <si>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</si>
  <si>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</si>
  <si>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</si>
  <si>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</si>
  <si>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</si>
  <si>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</si>
  <si>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</si>
  <si>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</si>
  <si>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</si>
  <si>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</si>
  <si>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</si>
  <si>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</si>
  <si>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</si>
  <si>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</si>
  <si>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</si>
  <si>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</si>
  <si>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</si>
  <si>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SPMW</t>
  </si>
  <si>
    <t>SSEH</t>
  </si>
  <si>
    <t>NGED-WMID</t>
  </si>
  <si>
    <t>NGED-SWALES</t>
  </si>
  <si>
    <t>NGED-SWEST</t>
  </si>
  <si>
    <t>Cadent-EOE</t>
  </si>
  <si>
    <t>Cadent-London</t>
  </si>
  <si>
    <t>Cadent-WM</t>
  </si>
  <si>
    <t>Cadent-NW</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</si>
  <si>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</si>
  <si>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</si>
  <si>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</si>
  <si>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</si>
  <si>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</si>
  <si>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</si>
  <si>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</si>
  <si>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</si>
  <si>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</si>
  <si>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</si>
  <si>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</si>
  <si>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</si>
  <si>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</si>
  <si>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</si>
  <si>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</si>
  <si>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</si>
  <si>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</si>
  <si>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</si>
  <si>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</si>
  <si>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</si>
  <si>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</si>
  <si>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</si>
  <si>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</si>
  <si>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</si>
  <si>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</si>
  <si>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</si>
  <si>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</si>
  <si>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</si>
  <si>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</si>
  <si>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</si>
  <si>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</si>
  <si>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</si>
  <si>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</si>
  <si>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</si>
  <si>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</si>
  <si>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</si>
  <si>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</si>
  <si>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</si>
  <si>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</si>
  <si>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</si>
  <si>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</si>
  <si>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</si>
  <si>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</si>
  <si>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</si>
  <si>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</si>
  <si>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</si>
  <si>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</si>
  <si>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</si>
  <si>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</si>
  <si>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</si>
  <si>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</si>
  <si>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</si>
  <si>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</si>
  <si>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</si>
  <si>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</si>
  <si>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</si>
  <si>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</si>
  <si>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</si>
  <si>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</si>
  <si>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</si>
  <si>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</si>
  <si>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</si>
  <si>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</si>
  <si>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</si>
  <si>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</si>
  <si>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</si>
  <si>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</si>
  <si>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</si>
  <si>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</si>
  <si>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</si>
  <si>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</si>
  <si>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</si>
  <si>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</si>
  <si>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</si>
  <si>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</si>
  <si>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</si>
  <si>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</si>
  <si>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</si>
  <si>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</si>
  <si>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</si>
  <si>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</si>
  <si>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</si>
  <si>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</si>
  <si>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</si>
  <si>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</si>
  <si>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</si>
  <si>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</si>
  <si>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</si>
  <si>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</si>
  <si>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</si>
  <si>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</si>
  <si>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</si>
  <si>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</si>
  <si>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</si>
  <si>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</si>
  <si>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</si>
  <si>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</si>
  <si>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</si>
  <si>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</si>
  <si>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</si>
  <si>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</si>
  <si>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</si>
  <si>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</si>
  <si>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</si>
  <si>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</si>
  <si>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</si>
  <si>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</si>
  <si>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</si>
  <si>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</si>
  <si>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</si>
  <si>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</si>
  <si>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</si>
  <si>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</si>
  <si>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</si>
  <si>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</si>
  <si>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</si>
  <si>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</si>
  <si>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</si>
  <si>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</si>
  <si>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</si>
  <si>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</si>
  <si>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</si>
  <si>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</si>
  <si>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</si>
  <si>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</si>
  <si>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</si>
  <si>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</si>
  <si>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</si>
  <si>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</si>
  <si>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</si>
  <si>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</si>
  <si>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</si>
  <si>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</si>
  <si>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</si>
  <si>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</si>
  <si>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</si>
  <si>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</si>
  <si>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</si>
  <si>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</si>
  <si>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</si>
  <si>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</si>
  <si>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</si>
  <si>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</si>
  <si>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</si>
  <si>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</si>
  <si>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</si>
  <si>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</si>
  <si>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</si>
  <si>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</si>
  <si>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</si>
  <si>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</si>
  <si>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</si>
  <si>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</si>
  <si>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</si>
  <si>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</si>
  <si>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</si>
  <si>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</si>
  <si>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</si>
  <si>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</si>
  <si>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</si>
  <si>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</si>
  <si>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</si>
  <si>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</si>
  <si>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</si>
  <si>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</si>
  <si>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</si>
  <si>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</si>
  <si>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</si>
  <si>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</si>
  <si>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</si>
  <si>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</si>
  <si>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</si>
  <si>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</si>
  <si>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</si>
  <si>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</si>
  <si>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</si>
  <si>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</si>
  <si>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</si>
  <si>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</si>
  <si>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</si>
  <si>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</si>
  <si>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</si>
  <si>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</si>
  <si>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</si>
  <si>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</si>
  <si>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</si>
  <si>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</si>
  <si>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</si>
  <si>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</si>
  <si>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</si>
  <si>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</si>
  <si>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</si>
  <si>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</si>
  <si>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</si>
  <si>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</si>
  <si>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</si>
  <si>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</si>
  <si>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</si>
  <si>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</si>
  <si>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</si>
  <si>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</si>
  <si>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</si>
  <si>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</si>
  <si>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</si>
  <si>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</si>
  <si>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</si>
  <si>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</si>
  <si>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</si>
  <si>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</si>
  <si>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</si>
  <si>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</si>
  <si>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</si>
  <si>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</si>
  <si>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</si>
  <si>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</si>
  <si>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</si>
  <si>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</si>
  <si>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</si>
  <si>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</si>
  <si>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</si>
  <si>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</si>
  <si>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</si>
  <si>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</si>
  <si>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</si>
  <si>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</si>
  <si>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</si>
  <si>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</si>
  <si>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</si>
  <si>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</si>
  <si>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</si>
  <si>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</si>
  <si>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</si>
  <si>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</si>
  <si>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</si>
  <si>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</si>
  <si>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</si>
  <si>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</si>
  <si>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</si>
  <si>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</si>
  <si>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</si>
  <si>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</si>
  <si>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</si>
  <si>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</si>
  <si>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</si>
  <si>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</si>
  <si>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</si>
  <si>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</si>
  <si>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</si>
  <si>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</si>
  <si>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</si>
  <si>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</si>
  <si>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</si>
  <si>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</si>
  <si>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</si>
  <si>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</si>
  <si>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</si>
  <si>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</si>
  <si>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</si>
  <si>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</si>
  <si>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</si>
  <si>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</si>
  <si>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</si>
  <si>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</si>
  <si>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</si>
  <si>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</si>
  <si>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</si>
  <si>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</si>
  <si>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</si>
  <si>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</si>
  <si>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</si>
  <si>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</si>
  <si>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</si>
  <si>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</si>
  <si>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</si>
  <si>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</si>
  <si>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</si>
  <si>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</si>
  <si>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</si>
  <si>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</si>
  <si>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</si>
  <si>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</si>
  <si>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</si>
  <si>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</si>
  <si>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</si>
  <si>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</si>
  <si>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</si>
  <si>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</si>
  <si>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</si>
  <si>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</si>
  <si>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</si>
  <si>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</si>
  <si>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</si>
  <si>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</si>
  <si>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</si>
  <si>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</si>
  <si>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</si>
  <si>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</si>
  <si>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</si>
  <si>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</si>
  <si>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</si>
  <si>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</si>
  <si>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</si>
  <si>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</si>
  <si>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</si>
  <si>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</si>
  <si>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</si>
  <si>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</si>
  <si>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</si>
  <si>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</si>
  <si>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</si>
  <si>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</si>
  <si>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</si>
  <si>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</si>
  <si>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</si>
  <si>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</si>
  <si>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</si>
  <si>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</si>
  <si>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</si>
  <si>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</si>
  <si>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</si>
  <si>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</si>
  <si>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</si>
  <si>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</si>
  <si>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</si>
  <si>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</si>
  <si>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</si>
  <si>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</si>
  <si>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</si>
  <si>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</si>
  <si>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</si>
  <si>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</si>
  <si>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</si>
  <si>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</si>
  <si>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</si>
  <si>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</si>
  <si>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</si>
  <si>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</si>
  <si>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</si>
  <si>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</si>
  <si>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</si>
  <si>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</si>
  <si>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</si>
  <si>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</si>
  <si>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</si>
  <si>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</si>
  <si>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</si>
  <si>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</si>
  <si>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</si>
  <si>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</si>
  <si>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</si>
  <si>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</si>
  <si>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</si>
  <si>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</si>
  <si>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</si>
  <si>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</si>
  <si>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</si>
  <si>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</si>
  <si>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</si>
  <si>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</si>
  <si>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</si>
  <si>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</si>
  <si>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</si>
  <si>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</si>
  <si>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</si>
  <si>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</si>
  <si>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</si>
  <si>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</si>
  <si>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</si>
  <si>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</si>
  <si>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</si>
  <si>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</si>
  <si>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</si>
  <si>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</si>
  <si>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</si>
  <si>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</si>
  <si>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</si>
  <si>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</si>
  <si>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</si>
  <si>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</si>
  <si>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</si>
  <si>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</si>
  <si>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</si>
  <si>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</si>
  <si>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</si>
  <si>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</si>
  <si>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</si>
  <si>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</si>
  <si>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</si>
  <si>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</si>
  <si>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</si>
  <si>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</si>
  <si>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</si>
  <si>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</si>
  <si>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</si>
  <si>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</si>
  <si>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</si>
  <si>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</si>
  <si>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</si>
  <si>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</si>
  <si>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</si>
  <si>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</si>
  <si>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</si>
  <si>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</si>
  <si>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</si>
  <si>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</si>
  <si>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</si>
  <si>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</si>
  <si>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</si>
  <si>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</si>
  <si>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</si>
  <si>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</si>
  <si>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</si>
  <si>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</si>
  <si>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</si>
  <si>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</si>
  <si>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</si>
  <si>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</si>
  <si>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</si>
  <si>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</si>
  <si>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</si>
  <si>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</si>
  <si>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</si>
  <si>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</si>
  <si>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</si>
  <si>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</si>
  <si>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</si>
  <si>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</si>
  <si>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</si>
  <si>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</si>
  <si>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</si>
  <si>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</si>
  <si>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</si>
  <si>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</si>
  <si>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</si>
  <si>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</si>
  <si>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</si>
  <si>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</si>
  <si>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</si>
  <si>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</si>
  <si>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</si>
  <si>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</si>
  <si>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</si>
  <si>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</si>
  <si>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</si>
  <si>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</si>
  <si>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</si>
  <si>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</si>
  <si>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</si>
  <si>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</si>
  <si>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</si>
  <si>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</si>
  <si>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</si>
  <si>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</si>
  <si>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</si>
  <si>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</si>
  <si>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</si>
  <si>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</si>
  <si>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</si>
  <si>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</si>
  <si>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</si>
  <si>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</si>
  <si>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</si>
  <si>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</si>
  <si>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</si>
  <si>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</si>
  <si>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</si>
  <si>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</si>
  <si>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</si>
  <si>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</si>
  <si>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</si>
  <si>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</si>
  <si>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</si>
  <si>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</si>
  <si>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</si>
  <si>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</si>
  <si>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</si>
  <si>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</si>
  <si>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</si>
  <si>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</si>
  <si>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</si>
  <si>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</si>
  <si>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</si>
  <si>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</si>
  <si>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</si>
  <si>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</si>
  <si>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</si>
  <si>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</si>
  <si>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</si>
  <si>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</si>
  <si>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</si>
  <si>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</si>
  <si>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</si>
  <si>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</si>
  <si>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</si>
  <si>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</si>
  <si>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</si>
  <si>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</si>
  <si>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</si>
  <si>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</si>
  <si>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</si>
  <si>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</si>
  <si>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</si>
  <si>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</si>
  <si>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</si>
  <si>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</si>
  <si>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</si>
  <si>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</si>
  <si>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</si>
  <si>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</si>
  <si>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</si>
  <si>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</si>
  <si>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</si>
  <si>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</si>
  <si>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</si>
  <si>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</si>
  <si>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</si>
  <si>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</si>
  <si>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</si>
  <si>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</si>
  <si>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</si>
  <si>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</si>
  <si>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</si>
  <si>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</si>
  <si>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</si>
  <si>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</si>
  <si>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</si>
  <si>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</si>
  <si>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</si>
  <si>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</si>
  <si>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</si>
  <si>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</si>
  <si>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</si>
  <si>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</si>
  <si>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</si>
  <si>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</si>
  <si>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</si>
  <si>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</si>
  <si>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</si>
  <si>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</si>
  <si>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</si>
  <si>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</si>
  <si>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</si>
  <si>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</si>
  <si>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</si>
  <si>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</si>
  <si>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</si>
  <si>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</si>
  <si>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</si>
  <si>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</si>
  <si>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</si>
  <si>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</si>
  <si>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</si>
  <si>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</si>
  <si>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</si>
  <si>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</si>
  <si>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</si>
  <si>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</si>
  <si>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</si>
  <si>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</si>
  <si>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</si>
  <si>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</si>
  <si>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</si>
  <si>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</si>
  <si>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</si>
  <si>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</si>
  <si>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</si>
  <si>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</si>
  <si>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</si>
  <si>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</si>
  <si>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</si>
  <si>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</si>
  <si>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</si>
  <si>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</si>
  <si>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</si>
  <si>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</si>
  <si>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</si>
  <si>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</si>
  <si>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</si>
  <si>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</si>
  <si>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</si>
  <si>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</si>
  <si>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</si>
  <si>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</si>
  <si>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</si>
  <si>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</si>
  <si>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</si>
  <si>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</si>
  <si>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</si>
  <si>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</si>
  <si>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</si>
  <si>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</si>
  <si>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</si>
  <si>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Total Opex adj. (excluding Depreciation &amp; Amortisation)</t>
  </si>
  <si>
    <t>Capex Reconciling Adjustments</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</si>
  <si>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</si>
  <si>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</si>
  <si>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</si>
  <si>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</si>
  <si>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</si>
  <si>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</si>
  <si>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</si>
  <si>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</si>
  <si>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</si>
  <si>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</si>
  <si>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</si>
  <si>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</si>
  <si>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</si>
  <si>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</si>
  <si>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</si>
  <si>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</si>
  <si>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</si>
  <si>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</si>
  <si>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</si>
  <si>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</si>
  <si>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</si>
  <si>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</si>
  <si>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</si>
  <si>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</si>
  <si>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</si>
  <si>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</si>
  <si>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</si>
  <si>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</si>
  <si>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</si>
  <si>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</si>
  <si>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</si>
  <si>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</si>
  <si>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</si>
  <si>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</si>
  <si>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</si>
  <si>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</si>
  <si>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</si>
  <si>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</si>
  <si>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</si>
  <si>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</si>
  <si>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</si>
  <si>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</si>
  <si>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</si>
  <si>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</si>
  <si>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</si>
  <si>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</si>
  <si>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</si>
  <si>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</si>
  <si>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</si>
  <si>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</si>
  <si>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</si>
  <si>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</si>
  <si>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</si>
  <si>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</si>
  <si>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</si>
  <si>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</si>
  <si>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</si>
  <si>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</si>
  <si>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</si>
  <si>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</si>
  <si>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</si>
  <si>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</si>
  <si>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</si>
  <si>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</si>
  <si>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</si>
  <si>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</si>
  <si>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</si>
  <si>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</si>
  <si>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</si>
  <si>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</si>
  <si>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</si>
  <si>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</si>
  <si>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</si>
  <si>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</si>
  <si>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Less Interest capitalised</t>
  </si>
  <si>
    <t>Other adjustments</t>
  </si>
  <si>
    <t>Net Interest Per Statutory Accounts</t>
  </si>
  <si>
    <t>Transmission or distribution allocation</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</si>
  <si>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</si>
  <si>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</si>
  <si>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</si>
  <si>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</si>
  <si>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</si>
  <si>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</si>
  <si>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</si>
  <si>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</si>
  <si>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Other Adjustments [please specify]</t>
  </si>
  <si>
    <t>Add back Debt Issuance expenses</t>
  </si>
  <si>
    <t>Costs of early redemption on long term debt (excluding exceptional costs of buy backs associated with M&amp;A activity)</t>
  </si>
  <si>
    <t>Add accrual for inflation accretion on index-linked swaps (if applicable)</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</si>
  <si>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</si>
  <si>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</si>
  <si>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</si>
  <si>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</si>
  <si>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</si>
  <si>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</si>
  <si>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</si>
  <si>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</si>
  <si>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</si>
  <si>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</si>
  <si>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</si>
  <si>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</si>
  <si>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</si>
  <si>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</si>
  <si>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</si>
  <si>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[Insert adjustment as necessary]</t>
  </si>
  <si>
    <t>7. [Insert adjustment as necessary]</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</si>
  <si>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</si>
  <si>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</si>
  <si>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</si>
  <si>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</si>
  <si>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</si>
  <si>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</si>
  <si>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</si>
  <si>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</si>
  <si>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</si>
  <si>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</si>
  <si>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</si>
  <si>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</si>
  <si>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</si>
  <si>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</si>
  <si>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3. [Insert adjustment as necessary]</t>
  </si>
  <si>
    <t>4. [Insert adjustment as necessary]</t>
  </si>
  <si>
    <t>5. [Insert adjustment as necessary]</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</si>
  <si>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</si>
  <si>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</si>
  <si>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</si>
  <si>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</si>
  <si>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</si>
  <si>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</si>
  <si>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</si>
  <si>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</si>
  <si>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</si>
  <si>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</si>
  <si>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</si>
  <si>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</si>
  <si>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</si>
  <si>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11. [Insert adjustment as necessary]</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</si>
  <si>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</si>
  <si>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</si>
  <si>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</si>
  <si>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</si>
  <si>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</si>
  <si>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</si>
  <si>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</si>
  <si>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</si>
  <si>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</si>
  <si>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</si>
  <si>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</si>
  <si>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</si>
  <si>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</si>
  <si>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</si>
  <si>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</si>
  <si>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</si>
  <si>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</si>
  <si>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</si>
  <si>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</si>
  <si>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</si>
  <si>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</si>
  <si>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</si>
  <si>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</si>
  <si>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</si>
  <si>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</si>
  <si>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</si>
  <si>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</si>
  <si>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</si>
  <si>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</si>
  <si>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</si>
  <si>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</si>
  <si>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 xml:space="preserve">must match with worksheet R8a row 95 minus regulatory adjustments </t>
  </si>
  <si>
    <t>Adjustments to remove non-regulated tax liability</t>
  </si>
  <si>
    <t>Tax on non-regulated activities</t>
  </si>
  <si>
    <t>Metering</t>
  </si>
  <si>
    <t>De-minimus and Other activities</t>
  </si>
  <si>
    <t>Excluded services</t>
  </si>
  <si>
    <t>Non-regulated tax</t>
  </si>
  <si>
    <t>Tax on Other Revenue Allowances - Innovation and Incentives only</t>
  </si>
  <si>
    <t>Collected revenue adjustment ('k')</t>
  </si>
  <si>
    <t>Pension - timing adjustment</t>
  </si>
  <si>
    <t>Pension - disallowed contributions</t>
  </si>
  <si>
    <t>Tax on derivatives not disregarded</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</si>
  <si>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</si>
  <si>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</si>
  <si>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</si>
  <si>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</si>
  <si>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</si>
  <si>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</si>
  <si>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</si>
  <si>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</si>
  <si>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</si>
  <si>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</si>
  <si>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</si>
  <si>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</si>
  <si>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</si>
  <si>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</si>
  <si>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changed to calculation</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</si>
  <si>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</si>
  <si>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</si>
  <si>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</si>
  <si>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</si>
  <si>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</si>
  <si>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</si>
  <si>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</si>
  <si>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</si>
  <si>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</si>
  <si>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</si>
  <si>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</si>
  <si>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</si>
  <si>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</si>
  <si>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</si>
  <si>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</si>
  <si>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</si>
  <si>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Salary</t>
  </si>
  <si>
    <t>Bonus</t>
  </si>
  <si>
    <t>Benefits</t>
  </si>
  <si>
    <t>Pension</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</si>
  <si>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</si>
  <si>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</si>
  <si>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</si>
  <si>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</si>
  <si>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</si>
  <si>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</si>
  <si>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</si>
  <si>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</si>
  <si>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</si>
  <si>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</si>
  <si>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</si>
  <si>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</si>
  <si>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</si>
  <si>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</si>
  <si>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</si>
  <si>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</si>
  <si>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</si>
  <si>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</si>
  <si>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</si>
  <si>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</si>
  <si>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</si>
  <si>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</si>
  <si>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</si>
  <si>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</si>
  <si>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</si>
  <si>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</si>
  <si>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</si>
  <si>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</si>
  <si>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</si>
  <si>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</si>
  <si>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</si>
  <si>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</si>
  <si>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</si>
  <si>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</si>
  <si>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</si>
  <si>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</si>
  <si>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</si>
  <si>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</si>
  <si>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</si>
  <si>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</si>
  <si>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</si>
  <si>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</si>
  <si>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</si>
  <si>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</si>
  <si>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</si>
  <si>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</si>
  <si>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</si>
  <si>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</si>
  <si>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</si>
  <si>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</si>
  <si>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</si>
  <si>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</si>
  <si>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</si>
  <si>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</si>
  <si>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</si>
  <si>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</si>
  <si>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</si>
  <si>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</si>
  <si>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</si>
  <si>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</si>
  <si>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Input sheets for R5a and R6a&gt;&gt;&gt;</t>
  </si>
  <si>
    <t>PCFM year ending</t>
  </si>
  <si>
    <t>Units</t>
  </si>
  <si>
    <t>Constant</t>
  </si>
  <si>
    <t>Inflation and interest rates input</t>
  </si>
  <si>
    <t>Price Base Year: (enter 2007 for 2006/07)</t>
  </si>
  <si>
    <t>FY ending</t>
  </si>
  <si>
    <t>Inflation  Forecasts (OBR)</t>
  </si>
  <si>
    <t>OBR publication date November 2024</t>
  </si>
  <si>
    <t>Calendar year forecast</t>
  </si>
  <si>
    <t>calendar year</t>
  </si>
  <si>
    <t>Retail Price Index (RPI) forecast</t>
  </si>
  <si>
    <t>Consumer Prices Index including housing costs (CPIH) forecast</t>
  </si>
  <si>
    <t>Consumer Prices Index (CPI) forecast</t>
  </si>
  <si>
    <t>Price control annual inflation and price indices</t>
  </si>
  <si>
    <t>Financial year average RPI</t>
  </si>
  <si>
    <t>index value</t>
  </si>
  <si>
    <t>RPI inflation</t>
  </si>
  <si>
    <t>Financial year average CPIH</t>
  </si>
  <si>
    <t>CPIH inflation</t>
  </si>
  <si>
    <t>Interest rates input (derived from historic data and forward curves as of 30th April 2025)</t>
  </si>
  <si>
    <t>% nominal</t>
  </si>
  <si>
    <t>Monthly inflation rates and indices</t>
  </si>
  <si>
    <t>Month ending</t>
  </si>
  <si>
    <t>FYE</t>
  </si>
  <si>
    <t>CPIH Outturn</t>
  </si>
  <si>
    <t>RPI Outturn</t>
  </si>
  <si>
    <t>CPI Outturn</t>
  </si>
  <si>
    <t>CPIH % forecast</t>
  </si>
  <si>
    <t>RPI % forecast</t>
  </si>
  <si>
    <t>CPI % forecast</t>
  </si>
  <si>
    <t>Dividend allocated to non regulated activities</t>
  </si>
  <si>
    <t>2020/21</t>
  </si>
  <si>
    <t>Statutory turnover / Regulatory cost recoveries</t>
  </si>
  <si>
    <t>Statutory cost recoveries / Regulatory income</t>
  </si>
  <si>
    <t>NIA and LCN Tier 2 income adjustments</t>
  </si>
  <si>
    <t>Connections Contributions not treated as revenue  Outside Price Control</t>
  </si>
  <si>
    <t>Amortisation of customer contributions included in Stat Accounts</t>
  </si>
  <si>
    <t>Other (including rounding)</t>
  </si>
  <si>
    <t>Enduring value adjustment (for consistency with forecast)</t>
  </si>
  <si>
    <t>Fixed asset transfers from Group entities</t>
  </si>
  <si>
    <t>Profit / loss on sale of fixed assets</t>
  </si>
  <si>
    <t>Non cash pension costs</t>
  </si>
  <si>
    <t>Non cash provision movements</t>
  </si>
  <si>
    <t>Supplier of Last Resort stat to reg reporting difference</t>
  </si>
  <si>
    <t>Established pension deficit payments (balance sheet item)</t>
  </si>
  <si>
    <t>Incremental pension deficit payments (balance sheet item)</t>
  </si>
  <si>
    <t>DNO transfers (Opex)</t>
  </si>
  <si>
    <t>Other Manual Adjustments (Opex)</t>
  </si>
  <si>
    <t>Fixed asset transfers requiring reflection in totex</t>
  </si>
  <si>
    <t>Capitalised depreciation and amortisations</t>
  </si>
  <si>
    <t>Right of Use additions</t>
  </si>
  <si>
    <t>Asset Retirement Obligation additions</t>
  </si>
  <si>
    <t>Capital stock accounting adjustment</t>
  </si>
  <si>
    <t>DNO transfers (Capex)</t>
  </si>
  <si>
    <t>Other manual adjustments (Capex)</t>
  </si>
  <si>
    <t>De minimis business activities</t>
  </si>
  <si>
    <t>Directly remunerated services</t>
  </si>
  <si>
    <t>Pension deficit payments</t>
  </si>
  <si>
    <t>Proft margin from related parties</t>
  </si>
  <si>
    <t>Fines and penalties</t>
  </si>
  <si>
    <t>Standards of performance compensation payments</t>
  </si>
  <si>
    <t>Bad debt costs and recoveries</t>
  </si>
  <si>
    <t>Network innovation costs</t>
  </si>
  <si>
    <t>Pass through costs (excl Pension Deficit)</t>
  </si>
  <si>
    <t>Atypical costs excluded from totex</t>
  </si>
  <si>
    <t>Other activity based costs excluded from totex</t>
  </si>
  <si>
    <t>Profit / Loss on sale of fixed assets</t>
  </si>
  <si>
    <t>Cash proceeds from sales of fixed assets and scrap</t>
  </si>
  <si>
    <t>DRS10 Value Added Services income</t>
  </si>
  <si>
    <t>DRS16 Distribution Network Voltage Control Services income</t>
  </si>
  <si>
    <t>Director 6</t>
  </si>
  <si>
    <t>Cordi O'Hara</t>
  </si>
  <si>
    <t>Jenny Dillon</t>
  </si>
  <si>
    <t>Tanya Sharma</t>
  </si>
  <si>
    <t>Roisin Quinn</t>
  </si>
  <si>
    <t>Graham Halladay</t>
  </si>
  <si>
    <t xml:space="preserve">Paul Branston </t>
  </si>
  <si>
    <t>Unwinding of discount of provisions</t>
  </si>
  <si>
    <t>Other finance costs</t>
  </si>
  <si>
    <t>IFRS16 Lease Interest Expense</t>
  </si>
  <si>
    <t>Cashed Out Swaps</t>
  </si>
  <si>
    <t>Change in FV of Derivatives not Designed as Hedges</t>
  </si>
  <si>
    <t>Plus other, non debt, elements of interest recd</t>
  </si>
  <si>
    <t xml:space="preserve">1. Restricted cash balances - Excluded from the 'Net Debt per Regulatory Definition' per the 2018 RIGs Ofgem consultation and retrospectively removed from 2016 &amp; 2017 </t>
  </si>
  <si>
    <t xml:space="preserve">2. Discounts (premiums) for floating rate and index-linked debt </t>
  </si>
  <si>
    <t>6. Fair value hedge adjustment</t>
  </si>
  <si>
    <t>7. Unamortised issue costs, commitment and RCF arrangement fees</t>
  </si>
  <si>
    <t>8. Restricted cash</t>
  </si>
  <si>
    <t xml:space="preserve">10. Derivatives </t>
  </si>
  <si>
    <t/>
  </si>
  <si>
    <t>Actuals</t>
  </si>
  <si>
    <t>Forecast</t>
  </si>
  <si>
    <t>Cumulative to 2026</t>
  </si>
  <si>
    <t>2023/24</t>
  </si>
  <si>
    <t>2024/25</t>
  </si>
  <si>
    <t>2025/26</t>
  </si>
  <si>
    <t>2026/27</t>
  </si>
  <si>
    <t>2027/28</t>
  </si>
  <si>
    <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</si>
</sst>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6">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5" formatCode="0.000%"/>
    <numFmt numFmtId="359" formatCode="0.0000%"/>
    <numFmt numFmtId="361" formatCode="#,##0.00_);\(#,##0.00\);\-_)"/>
    <numFmt numFmtId="362" formatCode="#,##0.00%_);\(#,##0.00%\);\-_)"/>
    <numFmt numFmtId="363" formatCode="yyyy/mm"/>
    <numFmt numFmtId="364" formatCode="0.0000"/>
  </numFmts>
  <fonts count="285">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sz val="10"/>
      <color theme="0" tint="-4.9989318521683403E-2"/>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b/>
      <sz val="16"/>
      <color theme="4" tint="-0.499984740745262"/>
      <name val="Verdana"/>
      <family val="2"/>
    </font>
    <font>
      <sz val="10"/>
      <color rgb="FFA20000"/>
      <name val="Verdana"/>
      <family val="2"/>
    </font>
    <font>
      <b/>
      <sz val="10"/>
      <color rgb="FFA20000"/>
      <name val="Verdana"/>
      <family val="2"/>
    </font>
    <font>
      <b/>
      <sz val="10"/>
      <color rgb="FF8A0000"/>
      <name val="Verdana"/>
      <family val="2"/>
    </font>
  </fonts>
  <fills count="141">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theme="2" tint="-0.749992370372631"/>
        <bgColor indexed="64"/>
      </patternFill>
    </fill>
    <fill>
      <patternFill patternType="solid">
        <fgColor rgb="FF366092"/>
        <bgColor indexed="64"/>
      </patternFill>
    </fill>
    <fill>
      <patternFill patternType="darkUp">
        <fgColor theme="0" tint="-0.14996795556505021"/>
        <bgColor indexed="65"/>
      </patternFill>
    </fill>
    <fill>
      <patternFill patternType="solid">
        <fgColor theme="2"/>
        <bgColor indexed="64"/>
      </patternFill>
    </fill>
    <fill>
      <patternFill patternType="solid">
        <fgColor theme="8" tint="0.79998168889431442"/>
        <bgColor indexed="64"/>
      </patternFill>
    </fill>
    <fill>
      <patternFill patternType="solid">
        <fgColor theme="5" tint="0.59999389629810485"/>
        <bgColor indexed="64"/>
      </patternFill>
    </fill>
  </fills>
  <borders count="18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s>
  <cellStyleXfs count="51705">
    <xf numFmtId="0" fontId="0" fillId="0" borderId="0"/>
    <xf numFmtId="169" fontId="9" fillId="0" borderId="0" applyFont="0" applyFill="0" applyBorder="0" applyAlignment="0" applyProtection="0"/>
    <xf numFmtId="169" fontId="11" fillId="0" borderId="0" applyFont="0" applyFill="0" applyBorder="0" applyAlignment="0" applyProtection="0"/>
    <xf numFmtId="0" fontId="11" fillId="0" borderId="0"/>
    <xf numFmtId="0" fontId="14" fillId="0" borderId="0"/>
    <xf numFmtId="0" fontId="11" fillId="0" borderId="0"/>
    <xf numFmtId="171" fontId="11" fillId="0" borderId="0" applyFont="0" applyFill="0" applyBorder="0" applyAlignment="0" applyProtection="0"/>
    <xf numFmtId="0" fontId="14" fillId="0" borderId="0"/>
    <xf numFmtId="0" fontId="14" fillId="0" borderId="0"/>
    <xf numFmtId="0" fontId="14" fillId="0" borderId="0"/>
    <xf numFmtId="0" fontId="14" fillId="0" borderId="0"/>
    <xf numFmtId="0" fontId="15" fillId="4" borderId="0" applyNumberFormat="0" applyBorder="0" applyAlignment="0" applyProtection="0"/>
    <xf numFmtId="0" fontId="15" fillId="5" borderId="0" applyNumberFormat="0" applyBorder="0" applyAlignment="0" applyProtection="0"/>
    <xf numFmtId="0" fontId="16"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6"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6" fillId="12"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5"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9" fontId="12" fillId="0" borderId="0" applyFont="0" applyFill="0" applyBorder="0" applyAlignment="0" applyProtection="0"/>
    <xf numFmtId="4" fontId="18" fillId="18" borderId="3" applyNumberFormat="0" applyProtection="0">
      <alignment vertical="center"/>
    </xf>
    <xf numFmtId="4" fontId="19" fillId="18" borderId="3" applyNumberFormat="0" applyProtection="0">
      <alignment vertical="center"/>
    </xf>
    <xf numFmtId="4" fontId="18" fillId="18" borderId="3" applyNumberFormat="0" applyProtection="0">
      <alignment horizontal="left" vertical="center" indent="1"/>
    </xf>
    <xf numFmtId="0" fontId="18" fillId="18" borderId="3" applyNumberFormat="0" applyProtection="0">
      <alignment horizontal="left" vertical="top" indent="1"/>
    </xf>
    <xf numFmtId="4" fontId="18" fillId="19" borderId="0" applyNumberFormat="0" applyProtection="0">
      <alignment horizontal="left" vertical="center" indent="1"/>
    </xf>
    <xf numFmtId="4" fontId="20" fillId="20" borderId="3" applyNumberFormat="0" applyProtection="0">
      <alignment horizontal="right" vertical="center"/>
    </xf>
    <xf numFmtId="4" fontId="20" fillId="21" borderId="3" applyNumberFormat="0" applyProtection="0">
      <alignment horizontal="right" vertical="center"/>
    </xf>
    <xf numFmtId="4" fontId="20" fillId="22" borderId="3" applyNumberFormat="0" applyProtection="0">
      <alignment horizontal="right" vertical="center"/>
    </xf>
    <xf numFmtId="4" fontId="20" fillId="23" borderId="3" applyNumberFormat="0" applyProtection="0">
      <alignment horizontal="right" vertical="center"/>
    </xf>
    <xf numFmtId="4" fontId="20" fillId="24" borderId="3" applyNumberFormat="0" applyProtection="0">
      <alignment horizontal="right" vertical="center"/>
    </xf>
    <xf numFmtId="4" fontId="20" fillId="25" borderId="3" applyNumberFormat="0" applyProtection="0">
      <alignment horizontal="right" vertical="center"/>
    </xf>
    <xf numFmtId="4" fontId="20" fillId="26" borderId="3" applyNumberFormat="0" applyProtection="0">
      <alignment horizontal="right" vertical="center"/>
    </xf>
    <xf numFmtId="4" fontId="20" fillId="27" borderId="3" applyNumberFormat="0" applyProtection="0">
      <alignment horizontal="right" vertical="center"/>
    </xf>
    <xf numFmtId="4" fontId="20" fillId="28" borderId="3" applyNumberFormat="0" applyProtection="0">
      <alignment horizontal="right" vertical="center"/>
    </xf>
    <xf numFmtId="4" fontId="18" fillId="29" borderId="4" applyNumberFormat="0" applyProtection="0">
      <alignment horizontal="left" vertical="center" indent="1"/>
    </xf>
    <xf numFmtId="4" fontId="20" fillId="30" borderId="0" applyNumberFormat="0" applyProtection="0">
      <alignment horizontal="left" vertical="center" indent="1"/>
    </xf>
    <xf numFmtId="4" fontId="21" fillId="31" borderId="0" applyNumberFormat="0" applyProtection="0">
      <alignment horizontal="left" vertical="center" indent="1"/>
    </xf>
    <xf numFmtId="4" fontId="20" fillId="19" borderId="3" applyNumberFormat="0" applyProtection="0">
      <alignment horizontal="right" vertical="center"/>
    </xf>
    <xf numFmtId="4" fontId="20" fillId="30" borderId="0" applyNumberFormat="0" applyProtection="0">
      <alignment horizontal="left" vertical="center" indent="1"/>
    </xf>
    <xf numFmtId="4" fontId="20" fillId="19" borderId="0"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top" indent="1"/>
    </xf>
    <xf numFmtId="0" fontId="11" fillId="19" borderId="3" applyNumberFormat="0" applyProtection="0">
      <alignment horizontal="left" vertical="center" indent="1"/>
    </xf>
    <xf numFmtId="0" fontId="11" fillId="19" borderId="3" applyNumberFormat="0" applyProtection="0">
      <alignment horizontal="left" vertical="top" indent="1"/>
    </xf>
    <xf numFmtId="0" fontId="11" fillId="32" borderId="3" applyNumberFormat="0" applyProtection="0">
      <alignment horizontal="left" vertical="center" indent="1"/>
    </xf>
    <xf numFmtId="0" fontId="11" fillId="32" borderId="3" applyNumberFormat="0" applyProtection="0">
      <alignment horizontal="left" vertical="top" indent="1"/>
    </xf>
    <xf numFmtId="0" fontId="11" fillId="30" borderId="3" applyNumberFormat="0" applyProtection="0">
      <alignment horizontal="left" vertical="center" indent="1"/>
    </xf>
    <xf numFmtId="0" fontId="11" fillId="30" borderId="3" applyNumberFormat="0" applyProtection="0">
      <alignment horizontal="left" vertical="top" indent="1"/>
    </xf>
    <xf numFmtId="0" fontId="11" fillId="33" borderId="1" applyNumberFormat="0">
      <protection locked="0"/>
    </xf>
    <xf numFmtId="4" fontId="20" fillId="34" borderId="3" applyNumberFormat="0" applyProtection="0">
      <alignment vertical="center"/>
    </xf>
    <xf numFmtId="4" fontId="22" fillId="34" borderId="3" applyNumberFormat="0" applyProtection="0">
      <alignment vertical="center"/>
    </xf>
    <xf numFmtId="4" fontId="20" fillId="34" borderId="3" applyNumberFormat="0" applyProtection="0">
      <alignment horizontal="left" vertical="center" indent="1"/>
    </xf>
    <xf numFmtId="0" fontId="20" fillId="34" borderId="3" applyNumberFormat="0" applyProtection="0">
      <alignment horizontal="left" vertical="top" indent="1"/>
    </xf>
    <xf numFmtId="4" fontId="20" fillId="30" borderId="3" applyNumberFormat="0" applyProtection="0">
      <alignment horizontal="right" vertical="center"/>
    </xf>
    <xf numFmtId="4" fontId="22" fillId="30" borderId="3" applyNumberFormat="0" applyProtection="0">
      <alignment horizontal="right" vertical="center"/>
    </xf>
    <xf numFmtId="4" fontId="20" fillId="19" borderId="3" applyNumberFormat="0" applyProtection="0">
      <alignment horizontal="left" vertical="center" indent="1"/>
    </xf>
    <xf numFmtId="0" fontId="20" fillId="19" borderId="3" applyNumberFormat="0" applyProtection="0">
      <alignment horizontal="left" vertical="top" indent="1"/>
    </xf>
    <xf numFmtId="4" fontId="23" fillId="35" borderId="0" applyNumberFormat="0" applyProtection="0">
      <alignment horizontal="left" vertical="center" indent="1"/>
    </xf>
    <xf numFmtId="4" fontId="24" fillId="30" borderId="3" applyNumberFormat="0" applyProtection="0">
      <alignment horizontal="right" vertical="center"/>
    </xf>
    <xf numFmtId="0" fontId="25" fillId="0" borderId="0" applyNumberFormat="0" applyFill="0" applyBorder="0" applyAlignment="0" applyProtection="0"/>
    <xf numFmtId="0" fontId="11" fillId="0" borderId="0"/>
    <xf numFmtId="9" fontId="26" fillId="0" borderId="0" applyFont="0" applyFill="0" applyBorder="0" applyAlignment="0" applyProtection="0"/>
    <xf numFmtId="0" fontId="9" fillId="0" borderId="0"/>
    <xf numFmtId="0" fontId="11" fillId="33" borderId="6" applyNumberFormat="0">
      <protection locked="0"/>
    </xf>
    <xf numFmtId="9" fontId="9" fillId="0" borderId="0" applyFont="0" applyFill="0" applyBorder="0" applyAlignment="0" applyProtection="0"/>
    <xf numFmtId="0" fontId="11" fillId="0" borderId="0"/>
    <xf numFmtId="0" fontId="9" fillId="0" borderId="0"/>
    <xf numFmtId="0" fontId="11" fillId="0" borderId="0"/>
    <xf numFmtId="172" fontId="9" fillId="3" borderId="6">
      <alignment vertical="center"/>
      <protection locked="0"/>
    </xf>
    <xf numFmtId="172" fontId="9" fillId="43" borderId="6">
      <alignment vertical="center"/>
    </xf>
    <xf numFmtId="9" fontId="14" fillId="0" borderId="0" applyFont="0" applyFill="0" applyBorder="0" applyAlignment="0" applyProtection="0"/>
    <xf numFmtId="0" fontId="27" fillId="0" borderId="0">
      <alignment vertical="top"/>
    </xf>
    <xf numFmtId="0" fontId="14" fillId="0" borderId="0"/>
    <xf numFmtId="0" fontId="9" fillId="0" borderId="0"/>
    <xf numFmtId="0" fontId="30" fillId="0" borderId="0"/>
    <xf numFmtId="0" fontId="11" fillId="0" borderId="0"/>
    <xf numFmtId="0" fontId="11" fillId="0" borderId="0"/>
    <xf numFmtId="0" fontId="27" fillId="0" borderId="0"/>
    <xf numFmtId="172" fontId="9" fillId="3" borderId="6">
      <alignment vertical="center"/>
      <protection locked="0"/>
    </xf>
    <xf numFmtId="0" fontId="36" fillId="0" borderId="0" applyNumberFormat="0" applyFill="0" applyBorder="0" applyAlignment="0" applyProtection="0"/>
    <xf numFmtId="0" fontId="27" fillId="0" borderId="0"/>
    <xf numFmtId="173" fontId="39" fillId="48" borderId="0" applyBorder="0">
      <alignment vertical="center"/>
    </xf>
    <xf numFmtId="169" fontId="9" fillId="0" borderId="0" applyFont="0" applyFill="0" applyBorder="0" applyAlignment="0" applyProtection="0"/>
    <xf numFmtId="173" fontId="40" fillId="49" borderId="0"/>
    <xf numFmtId="0" fontId="14" fillId="0" borderId="0"/>
    <xf numFmtId="0" fontId="30" fillId="0" borderId="0"/>
    <xf numFmtId="0" fontId="9" fillId="0" borderId="0"/>
    <xf numFmtId="0" fontId="9" fillId="0" borderId="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1" fillId="0" borderId="0">
      <alignment vertical="top"/>
    </xf>
    <xf numFmtId="185" fontId="11" fillId="0" borderId="0">
      <alignment vertical="top"/>
    </xf>
    <xf numFmtId="186" fontId="45" fillId="0" borderId="0"/>
    <xf numFmtId="187" fontId="11" fillId="0" borderId="0"/>
    <xf numFmtId="187" fontId="11" fillId="0" borderId="0"/>
    <xf numFmtId="187" fontId="11" fillId="0" borderId="0"/>
    <xf numFmtId="187" fontId="11" fillId="0" borderId="0"/>
    <xf numFmtId="187" fontId="11" fillId="0" borderId="0"/>
    <xf numFmtId="185" fontId="46" fillId="0" borderId="0"/>
    <xf numFmtId="186" fontId="45" fillId="0" borderId="0"/>
    <xf numFmtId="187" fontId="11" fillId="0" borderId="0"/>
    <xf numFmtId="187" fontId="11" fillId="0" borderId="0"/>
    <xf numFmtId="187" fontId="11" fillId="0" borderId="0"/>
    <xf numFmtId="187" fontId="11" fillId="0" borderId="0"/>
    <xf numFmtId="187" fontId="11" fillId="0" borderId="0"/>
    <xf numFmtId="188" fontId="47" fillId="0" borderId="0" applyFont="0" applyFill="0" applyBorder="0" applyAlignment="0" applyProtection="0">
      <protection locked="0"/>
    </xf>
    <xf numFmtId="189" fontId="46" fillId="0" borderId="0">
      <alignment horizontal="right"/>
    </xf>
    <xf numFmtId="190" fontId="46" fillId="46" borderId="0"/>
    <xf numFmtId="191" fontId="46" fillId="46" borderId="0"/>
    <xf numFmtId="192" fontId="46" fillId="46" borderId="0"/>
    <xf numFmtId="193" fontId="46" fillId="46" borderId="0">
      <alignment horizontal="right"/>
    </xf>
    <xf numFmtId="0" fontId="14" fillId="0" borderId="0"/>
    <xf numFmtId="179" fontId="14" fillId="0" borderId="0"/>
    <xf numFmtId="179"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94"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185" fontId="11" fillId="0" borderId="0"/>
    <xf numFmtId="0" fontId="11" fillId="0" borderId="0"/>
    <xf numFmtId="185" fontId="14" fillId="0" borderId="0"/>
    <xf numFmtId="185" fontId="11" fillId="0" borderId="0"/>
    <xf numFmtId="185" fontId="11" fillId="0" borderId="0"/>
    <xf numFmtId="185" fontId="11"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4" fillId="0" borderId="0"/>
    <xf numFmtId="0" fontId="11" fillId="0" borderId="0"/>
    <xf numFmtId="0" fontId="11" fillId="0" borderId="0"/>
    <xf numFmtId="0" fontId="14" fillId="0" borderId="0"/>
    <xf numFmtId="0" fontId="14" fillId="0" borderId="0"/>
    <xf numFmtId="0" fontId="11" fillId="0" borderId="0"/>
    <xf numFmtId="0" fontId="14" fillId="0" borderId="0"/>
    <xf numFmtId="0" fontId="14" fillId="0" borderId="0"/>
    <xf numFmtId="185" fontId="14" fillId="0" borderId="0"/>
    <xf numFmtId="0" fontId="11" fillId="0" borderId="0"/>
    <xf numFmtId="0" fontId="11" fillId="0" borderId="0"/>
    <xf numFmtId="0" fontId="11" fillId="0" borderId="0"/>
    <xf numFmtId="19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7"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1" fillId="0" borderId="0"/>
    <xf numFmtId="185" fontId="11" fillId="0" borderId="0" applyBorder="0"/>
    <xf numFmtId="185" fontId="48" fillId="0" borderId="0" applyNumberFormat="0" applyFont="0" applyFill="0" applyBorder="0" applyAlignment="0" applyProtection="0"/>
    <xf numFmtId="167" fontId="11" fillId="0" borderId="0" applyFont="0" applyFill="0" applyBorder="0" applyAlignment="0" applyProtection="0"/>
    <xf numFmtId="185" fontId="43" fillId="0" borderId="0" applyNumberFormat="0" applyFill="0" applyBorder="0" applyAlignment="0" applyProtection="0">
      <alignment vertical="top"/>
      <protection locked="0"/>
    </xf>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96" fontId="49" fillId="0" borderId="0">
      <alignment horizontal="right" vertical="center"/>
    </xf>
    <xf numFmtId="0" fontId="50" fillId="0" borderId="0"/>
    <xf numFmtId="0" fontId="50" fillId="0" borderId="0"/>
    <xf numFmtId="0" fontId="50" fillId="0" borderId="0"/>
    <xf numFmtId="0" fontId="50" fillId="0" borderId="0"/>
    <xf numFmtId="0" fontId="50" fillId="0" borderId="0"/>
    <xf numFmtId="0" fontId="11" fillId="0" borderId="0"/>
    <xf numFmtId="0" fontId="11" fillId="0" borderId="0"/>
    <xf numFmtId="185" fontId="50" fillId="0" borderId="0"/>
    <xf numFmtId="38" fontId="51" fillId="0" borderId="0" applyFont="0" applyFill="0" applyBorder="0" applyAlignment="0" applyProtection="0"/>
    <xf numFmtId="38" fontId="51"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38" fontId="51" fillId="0" borderId="0" applyFont="0" applyFill="0" applyBorder="0" applyAlignment="0" applyProtection="0"/>
    <xf numFmtId="38" fontId="51" fillId="0" borderId="0" applyFont="0" applyFill="0" applyBorder="0" applyAlignment="0" applyProtection="0"/>
    <xf numFmtId="185" fontId="50" fillId="0" borderId="0"/>
    <xf numFmtId="185" fontId="11" fillId="0" borderId="0" applyFont="0" applyFill="0" applyBorder="0" applyAlignment="0" applyProtection="0"/>
    <xf numFmtId="185" fontId="50" fillId="0" borderId="0"/>
    <xf numFmtId="185" fontId="50" fillId="0" borderId="0"/>
    <xf numFmtId="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0" fillId="0" borderId="0"/>
    <xf numFmtId="0" fontId="11" fillId="0" borderId="0" applyFont="0" applyFill="0" applyBorder="0" applyAlignment="0" applyProtection="0"/>
    <xf numFmtId="0" fontId="50" fillId="0" borderId="0"/>
    <xf numFmtId="185" fontId="11" fillId="0" borderId="0"/>
    <xf numFmtId="185" fontId="11" fillId="0" borderId="0"/>
    <xf numFmtId="18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38" fontId="51" fillId="0" borderId="0" applyFont="0" applyFill="0" applyBorder="0" applyAlignment="0" applyProtection="0"/>
    <xf numFmtId="197" fontId="11" fillId="0" borderId="0" applyFont="0" applyFill="0" applyBorder="0" applyAlignment="0" applyProtection="0"/>
    <xf numFmtId="185" fontId="45" fillId="0" borderId="0" applyFont="0" applyFill="0" applyBorder="0" applyAlignment="0" applyProtection="0"/>
    <xf numFmtId="197" fontId="11" fillId="0" borderId="0" applyFont="0" applyFill="0" applyBorder="0" applyAlignment="0" applyProtection="0"/>
    <xf numFmtId="185" fontId="11" fillId="0" borderId="0"/>
    <xf numFmtId="185" fontId="11" fillId="0" borderId="0"/>
    <xf numFmtId="0" fontId="11" fillId="0" borderId="0"/>
    <xf numFmtId="185" fontId="50" fillId="0" borderId="0"/>
    <xf numFmtId="0"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198" fontId="11" fillId="0" borderId="0" applyFont="0" applyFill="0" applyBorder="0" applyAlignment="0" applyProtection="0"/>
    <xf numFmtId="185" fontId="45" fillId="0" borderId="0" applyFont="0" applyFill="0" applyBorder="0" applyAlignment="0" applyProtection="0"/>
    <xf numFmtId="199" fontId="11" fillId="0" borderId="0" applyFont="0" applyFill="0" applyBorder="0" applyAlignment="0" applyProtection="0"/>
    <xf numFmtId="198" fontId="11" fillId="0" borderId="0" applyFont="0" applyFill="0" applyBorder="0" applyAlignment="0" applyProtection="0"/>
    <xf numFmtId="199" fontId="11" fillId="0" borderId="0" applyFont="0" applyFill="0" applyBorder="0" applyAlignment="0" applyProtection="0"/>
    <xf numFmtId="39" fontId="11" fillId="0" borderId="0" applyFont="0" applyFill="0" applyBorder="0" applyAlignment="0" applyProtection="0"/>
    <xf numFmtId="185" fontId="45" fillId="0" borderId="0" applyFont="0" applyFill="0" applyBorder="0" applyAlignment="0" applyProtection="0"/>
    <xf numFmtId="39" fontId="11" fillId="0" borderId="0" applyFont="0" applyFill="0" applyBorder="0" applyAlignment="0" applyProtection="0"/>
    <xf numFmtId="185" fontId="11" fillId="0" borderId="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85" fontId="50" fillId="0" borderId="0"/>
    <xf numFmtId="185" fontId="43" fillId="0" borderId="0"/>
    <xf numFmtId="185" fontId="43" fillId="0" borderId="0"/>
    <xf numFmtId="38" fontId="51" fillId="0" borderId="0" applyAlignment="0" applyProtection="0"/>
    <xf numFmtId="38" fontId="51" fillId="0" borderId="0" applyFont="0" applyBorder="0" applyAlignment="0" applyProtection="0"/>
    <xf numFmtId="200" fontId="11" fillId="0" borderId="0" applyFont="0" applyFill="0" applyBorder="0" applyProtection="0">
      <alignment vertical="top"/>
    </xf>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50" fillId="0" borderId="0"/>
    <xf numFmtId="18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50" fillId="0" borderId="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185" fontId="50" fillId="0" borderId="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38" fontId="42" fillId="0" borderId="0" applyAlignment="0" applyProtection="0"/>
    <xf numFmtId="0" fontId="11" fillId="0" borderId="0" applyFont="0" applyFill="0" applyBorder="0" applyAlignment="0" applyProtection="0"/>
    <xf numFmtId="200" fontId="11" fillId="0" borderId="0" applyFont="0" applyFill="0" applyBorder="0" applyProtection="0">
      <alignment vertical="top"/>
    </xf>
    <xf numFmtId="38" fontId="42" fillId="0" borderId="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1" fillId="0" borderId="0"/>
    <xf numFmtId="185" fontId="11" fillId="0" borderId="0"/>
    <xf numFmtId="185" fontId="11" fillId="0" borderId="0"/>
    <xf numFmtId="185" fontId="11" fillId="0" borderId="0"/>
    <xf numFmtId="185" fontId="11" fillId="0" borderId="0"/>
    <xf numFmtId="185" fontId="11" fillId="0" borderId="0"/>
    <xf numFmtId="0" fontId="11" fillId="0" borderId="0"/>
    <xf numFmtId="185" fontId="50" fillId="0" borderId="0"/>
    <xf numFmtId="201" fontId="11" fillId="0" borderId="0" applyFont="0" applyFill="0" applyBorder="0" applyAlignment="0" applyProtection="0"/>
    <xf numFmtId="185" fontId="45" fillId="0" borderId="0" applyFont="0" applyFill="0" applyBorder="0" applyAlignment="0" applyProtection="0"/>
    <xf numFmtId="202" fontId="11" fillId="0" borderId="0" applyFont="0" applyFill="0" applyBorder="0" applyAlignment="0" applyProtection="0"/>
    <xf numFmtId="201" fontId="11" fillId="0" borderId="0" applyFont="0" applyFill="0" applyBorder="0" applyAlignment="0" applyProtection="0"/>
    <xf numFmtId="202" fontId="11" fillId="0" borderId="0" applyFont="0" applyFill="0" applyBorder="0" applyAlignment="0" applyProtection="0"/>
    <xf numFmtId="203" fontId="11" fillId="0" borderId="0" applyFont="0" applyFill="0" applyBorder="0" applyAlignment="0" applyProtection="0"/>
    <xf numFmtId="185" fontId="45" fillId="0" borderId="0" applyFont="0" applyFill="0" applyBorder="0" applyAlignment="0" applyProtection="0"/>
    <xf numFmtId="204" fontId="11" fillId="0" borderId="0" applyFont="0" applyFill="0" applyBorder="0" applyAlignment="0" applyProtection="0"/>
    <xf numFmtId="203" fontId="11" fillId="0" borderId="0" applyFont="0" applyFill="0" applyBorder="0" applyAlignment="0" applyProtection="0"/>
    <xf numFmtId="204" fontId="11" fillId="0" borderId="0" applyFont="0" applyFill="0" applyBorder="0" applyAlignment="0" applyProtection="0"/>
    <xf numFmtId="0" fontId="11" fillId="0" borderId="0" applyFont="0" applyFill="0" applyBorder="0" applyAlignment="0" applyProtection="0"/>
    <xf numFmtId="185" fontId="50" fillId="0" borderId="0"/>
    <xf numFmtId="185" fontId="50" fillId="0" borderId="0"/>
    <xf numFmtId="185" fontId="11" fillId="0" borderId="0"/>
    <xf numFmtId="0" fontId="11" fillId="0" borderId="0" applyFont="0" applyFill="0" applyBorder="0" applyAlignment="0" applyProtection="0"/>
    <xf numFmtId="185" fontId="50" fillId="0" borderId="0"/>
    <xf numFmtId="38" fontId="42" fillId="0" borderId="0" applyAlignment="0" applyProtection="0"/>
    <xf numFmtId="185" fontId="11" fillId="0" borderId="0"/>
    <xf numFmtId="185" fontId="11" fillId="0" borderId="0"/>
    <xf numFmtId="38" fontId="51" fillId="0" borderId="0" applyFont="0" applyFill="0" applyBorder="0" applyAlignment="0" applyProtection="0"/>
    <xf numFmtId="38" fontId="51" fillId="0" borderId="0" applyFont="0" applyFill="0" applyBorder="0" applyAlignment="0" applyProtection="0"/>
    <xf numFmtId="205" fontId="11" fillId="0" borderId="0" applyFont="0" applyFill="0" applyBorder="0" applyAlignment="0" applyProtection="0"/>
    <xf numFmtId="185" fontId="45" fillId="0" borderId="0" applyFont="0" applyFill="0" applyBorder="0" applyAlignment="0" applyProtection="0"/>
    <xf numFmtId="181" fontId="11" fillId="0" borderId="0" applyFont="0" applyFill="0" applyBorder="0" applyAlignment="0" applyProtection="0"/>
    <xf numFmtId="205" fontId="11" fillId="0" borderId="0" applyFont="0" applyFill="0" applyBorder="0" applyAlignment="0" applyProtection="0"/>
    <xf numFmtId="181" fontId="11" fillId="0" borderId="0" applyFont="0" applyFill="0" applyBorder="0" applyAlignment="0" applyProtection="0"/>
    <xf numFmtId="206" fontId="11" fillId="0" borderId="0" applyFont="0" applyFill="0" applyBorder="0" applyAlignment="0" applyProtection="0"/>
    <xf numFmtId="185" fontId="45" fillId="0" borderId="0" applyFont="0" applyFill="0" applyBorder="0" applyAlignment="0" applyProtection="0"/>
    <xf numFmtId="207" fontId="11" fillId="0" borderId="0" applyFont="0" applyFill="0" applyBorder="0" applyAlignment="0" applyProtection="0"/>
    <xf numFmtId="206" fontId="11" fillId="0" borderId="0" applyFont="0" applyFill="0" applyBorder="0" applyAlignment="0" applyProtection="0"/>
    <xf numFmtId="207" fontId="11" fillId="0" borderId="0" applyFont="0" applyFill="0" applyBorder="0" applyAlignment="0" applyProtection="0"/>
    <xf numFmtId="185" fontId="52" fillId="0" borderId="0"/>
    <xf numFmtId="185" fontId="52" fillId="0" borderId="0"/>
    <xf numFmtId="185" fontId="52" fillId="0" borderId="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50" fillId="0" borderId="0"/>
    <xf numFmtId="0" fontId="11" fillId="0" borderId="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0" fontId="11" fillId="0" borderId="0" applyFont="0" applyFill="0" applyBorder="0" applyAlignment="0" applyProtection="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185" fontId="53" fillId="0" borderId="0" applyNumberFormat="0" applyFill="0" applyBorder="0" applyProtection="0">
      <alignment horizontal="left"/>
    </xf>
    <xf numFmtId="185" fontId="54" fillId="0" borderId="0" applyNumberFormat="0" applyFill="0" applyBorder="0" applyProtection="0">
      <alignment horizontal="centerContinuous"/>
    </xf>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52" fillId="0" borderId="0"/>
    <xf numFmtId="185" fontId="52" fillId="0" borderId="0"/>
    <xf numFmtId="208" fontId="55" fillId="0" borderId="0"/>
    <xf numFmtId="185" fontId="43" fillId="0" borderId="0"/>
    <xf numFmtId="185" fontId="43" fillId="0" borderId="0"/>
    <xf numFmtId="185" fontId="52" fillId="0" borderId="0"/>
    <xf numFmtId="185" fontId="52" fillId="0" borderId="0"/>
    <xf numFmtId="185" fontId="52" fillId="0" borderId="0"/>
    <xf numFmtId="0" fontId="11" fillId="0" borderId="0" applyFont="0" applyFill="0" applyBorder="0" applyAlignment="0" applyProtection="0"/>
    <xf numFmtId="185" fontId="11" fillId="0" borderId="0"/>
    <xf numFmtId="185" fontId="50" fillId="0" borderId="0"/>
    <xf numFmtId="208" fontId="55"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209" fontId="56" fillId="0" borderId="0" applyFont="0" applyFill="0" applyBorder="0" applyAlignment="0" applyProtection="0"/>
    <xf numFmtId="210" fontId="43" fillId="0" borderId="0" applyFont="0" applyFill="0" applyBorder="0" applyAlignment="0" applyProtection="0"/>
    <xf numFmtId="211" fontId="57" fillId="0" borderId="0"/>
    <xf numFmtId="212" fontId="43" fillId="0" borderId="0" applyFont="0" applyFill="0" applyBorder="0" applyAlignment="0" applyProtection="0"/>
    <xf numFmtId="213" fontId="56" fillId="0" borderId="0" applyFont="0" applyFill="0" applyBorder="0" applyAlignment="0" applyProtection="0"/>
    <xf numFmtId="0" fontId="14" fillId="0" borderId="0"/>
    <xf numFmtId="0" fontId="11" fillId="0" borderId="0"/>
    <xf numFmtId="0" fontId="11" fillId="0" borderId="0"/>
    <xf numFmtId="0" fontId="11" fillId="0" borderId="0"/>
    <xf numFmtId="19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4" fillId="0" borderId="0"/>
    <xf numFmtId="0" fontId="14" fillId="0" borderId="0"/>
    <xf numFmtId="0" fontId="14" fillId="0" borderId="0"/>
    <xf numFmtId="0" fontId="11" fillId="0" borderId="0"/>
    <xf numFmtId="0" fontId="14" fillId="0" borderId="0"/>
    <xf numFmtId="0" fontId="11" fillId="0" borderId="0"/>
    <xf numFmtId="0" fontId="11" fillId="0" borderId="0"/>
    <xf numFmtId="0" fontId="11" fillId="0" borderId="0"/>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185" fontId="11" fillId="0" borderId="0"/>
    <xf numFmtId="214" fontId="11" fillId="0" borderId="0" applyBorder="0"/>
    <xf numFmtId="0" fontId="11" fillId="0" borderId="0"/>
    <xf numFmtId="0" fontId="11" fillId="0" borderId="0"/>
    <xf numFmtId="185" fontId="11" fillId="0" borderId="0" applyBorder="0"/>
    <xf numFmtId="214" fontId="11" fillId="0" borderId="0" applyBorder="0"/>
    <xf numFmtId="208" fontId="55" fillId="0" borderId="0"/>
    <xf numFmtId="215" fontId="57" fillId="0" borderId="0"/>
    <xf numFmtId="215" fontId="58" fillId="0" borderId="0"/>
    <xf numFmtId="216" fontId="57" fillId="0" borderId="0"/>
    <xf numFmtId="217" fontId="47" fillId="0" borderId="0" applyFont="0" applyFill="0" applyBorder="0" applyAlignment="0" applyProtection="0">
      <protection locked="0"/>
    </xf>
    <xf numFmtId="218" fontId="59" fillId="0" borderId="0"/>
    <xf numFmtId="185" fontId="58" fillId="0" borderId="0"/>
    <xf numFmtId="218" fontId="60" fillId="0" borderId="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194" fontId="61" fillId="56"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194" fontId="61" fillId="20"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194" fontId="61" fillId="57"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194" fontId="61" fillId="58"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194" fontId="61" fillId="59"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194" fontId="61" fillId="60" borderId="0" applyNumberFormat="0" applyBorder="0" applyAlignment="0" applyProtection="0"/>
    <xf numFmtId="219" fontId="57" fillId="0" borderId="0"/>
    <xf numFmtId="220" fontId="58" fillId="0" borderId="0"/>
    <xf numFmtId="219" fontId="62" fillId="0" borderId="0"/>
    <xf numFmtId="0" fontId="11" fillId="0" borderId="0"/>
    <xf numFmtId="0" fontId="11" fillId="0" borderId="0"/>
    <xf numFmtId="221" fontId="57" fillId="0" borderId="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194" fontId="61" fillId="32"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94" fontId="61" fillId="21"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194" fontId="61" fillId="2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194" fontId="61" fillId="58"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194" fontId="61" fillId="32"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94" fontId="61" fillId="23"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194" fontId="64" fillId="62"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94" fontId="64" fillId="21"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194" fontId="64" fillId="28"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194" fontId="64" fillId="63"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194" fontId="64" fillId="6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94" fontId="64" fillId="24" borderId="0" applyNumberFormat="0" applyBorder="0" applyAlignment="0" applyProtection="0"/>
    <xf numFmtId="0" fontId="45" fillId="0" borderId="0"/>
    <xf numFmtId="0" fontId="15" fillId="65" borderId="0" applyNumberFormat="0" applyBorder="0" applyAlignment="0" applyProtection="0"/>
    <xf numFmtId="0" fontId="15" fillId="12"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194" fontId="64" fillId="67" borderId="0" applyNumberFormat="0" applyBorder="0" applyAlignment="0" applyProtection="0"/>
    <xf numFmtId="0" fontId="15" fillId="68" borderId="0" applyNumberFormat="0" applyBorder="0" applyAlignment="0" applyProtection="0"/>
    <xf numFmtId="0" fontId="15" fillId="11"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94" fontId="64" fillId="22" borderId="0" applyNumberFormat="0" applyBorder="0" applyAlignment="0" applyProtection="0"/>
    <xf numFmtId="0" fontId="15" fillId="70" borderId="0" applyNumberFormat="0" applyBorder="0" applyAlignment="0" applyProtection="0"/>
    <xf numFmtId="0" fontId="15" fillId="71"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194" fontId="64" fillId="26" borderId="0" applyNumberFormat="0" applyBorder="0" applyAlignment="0" applyProtection="0"/>
    <xf numFmtId="0" fontId="15" fillId="68" borderId="0" applyNumberFormat="0" applyBorder="0" applyAlignment="0" applyProtection="0"/>
    <xf numFmtId="0" fontId="15" fillId="9"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194" fontId="64" fillId="63"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194" fontId="64" fillId="64"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94" fontId="64" fillId="25" borderId="0" applyNumberFormat="0" applyBorder="0" applyAlignment="0" applyProtection="0"/>
    <xf numFmtId="222" fontId="65" fillId="0" borderId="9">
      <alignment horizontal="centerContinuous"/>
    </xf>
    <xf numFmtId="223" fontId="66" fillId="40" borderId="12">
      <alignment horizontal="center" vertical="center"/>
    </xf>
    <xf numFmtId="214" fontId="47" fillId="0" borderId="0" applyFont="0" applyFill="0" applyBorder="0" applyAlignment="0" applyProtection="0"/>
    <xf numFmtId="185" fontId="47" fillId="0" borderId="0" applyFont="0" applyFill="0" applyBorder="0" applyAlignment="0" applyProtection="0"/>
    <xf numFmtId="208" fontId="67" fillId="0" borderId="0" applyNumberFormat="0" applyFont="0" applyFill="0" applyBorder="0" applyProtection="0">
      <alignment horizontal="center"/>
    </xf>
    <xf numFmtId="224" fontId="68" fillId="0" borderId="0">
      <alignment horizontal="left"/>
    </xf>
    <xf numFmtId="0" fontId="59" fillId="0" borderId="0"/>
    <xf numFmtId="225" fontId="69" fillId="0" borderId="0" applyFont="0" applyFill="0" applyBorder="0" applyAlignment="0" applyProtection="0"/>
    <xf numFmtId="185" fontId="47" fillId="0" borderId="0" applyFont="0" applyFill="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2" fillId="55"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194" fontId="74" fillId="20" borderId="0" applyNumberFormat="0" applyBorder="0" applyAlignment="0" applyProtection="0"/>
    <xf numFmtId="226" fontId="75" fillId="75" borderId="7" applyNumberFormat="0" applyBorder="0" applyAlignment="0">
      <alignment horizontal="centerContinuous" vertical="center"/>
      <protection hidden="1"/>
    </xf>
    <xf numFmtId="1" fontId="76" fillId="76" borderId="10" applyNumberFormat="0" applyBorder="0" applyAlignment="0">
      <alignment horizontal="center" vertical="top" wrapText="1"/>
      <protection hidden="1"/>
    </xf>
    <xf numFmtId="227" fontId="11" fillId="0" borderId="0" applyFont="0" applyFill="0" applyBorder="0" applyAlignment="0" applyProtection="0"/>
    <xf numFmtId="197" fontId="11" fillId="0" borderId="0" applyNumberFormat="0" applyFont="0" applyAlignment="0" applyProtection="0"/>
    <xf numFmtId="185" fontId="77" fillId="77" borderId="0">
      <alignment horizontal="left"/>
    </xf>
    <xf numFmtId="228" fontId="78" fillId="0" borderId="0" applyFill="0" applyBorder="0" applyAlignment="0" applyProtection="0"/>
    <xf numFmtId="2" fontId="79" fillId="50" borderId="11" applyProtection="0">
      <alignment horizontal="left"/>
      <protection locked="0"/>
    </xf>
    <xf numFmtId="185" fontId="66" fillId="40" borderId="0" applyNumberFormat="0" applyFont="0" applyAlignment="0">
      <alignment horizontal="center"/>
    </xf>
    <xf numFmtId="229" fontId="80" fillId="40" borderId="0" applyFont="0" applyFill="0" applyBorder="0" applyAlignment="0" applyProtection="0"/>
    <xf numFmtId="185" fontId="81" fillId="0" borderId="0" applyNumberFormat="0" applyFill="0" applyBorder="0" applyAlignment="0" applyProtection="0"/>
    <xf numFmtId="185" fontId="82" fillId="0" borderId="9" applyNumberFormat="0" applyFill="0" applyAlignment="0" applyProtection="0"/>
    <xf numFmtId="185" fontId="57" fillId="0" borderId="0"/>
    <xf numFmtId="230" fontId="83" fillId="45" borderId="0" applyFont="0" applyFill="0" applyBorder="0" applyAlignment="0" applyProtection="0"/>
    <xf numFmtId="231" fontId="45" fillId="0" borderId="0" applyAlignment="0" applyProtection="0"/>
    <xf numFmtId="49" fontId="55" fillId="0" borderId="0" applyNumberFormat="0" applyAlignment="0" applyProtection="0">
      <alignment horizontal="left"/>
    </xf>
    <xf numFmtId="49" fontId="84" fillId="0" borderId="13" applyNumberFormat="0" applyAlignment="0" applyProtection="0">
      <alignment horizontal="left" wrapText="1"/>
    </xf>
    <xf numFmtId="49" fontId="85" fillId="0" borderId="0" applyAlignment="0" applyProtection="0">
      <alignment horizontal="left"/>
    </xf>
    <xf numFmtId="232" fontId="43" fillId="0" borderId="0" applyFont="0" applyFill="0" applyBorder="0" applyAlignment="0" applyProtection="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7" fillId="0" borderId="0"/>
    <xf numFmtId="233" fontId="45" fillId="0" borderId="0"/>
    <xf numFmtId="234" fontId="45" fillId="0" borderId="0"/>
    <xf numFmtId="235" fontId="45" fillId="0" borderId="0"/>
    <xf numFmtId="233" fontId="45" fillId="0" borderId="8"/>
    <xf numFmtId="234" fontId="45" fillId="0" borderId="8"/>
    <xf numFmtId="234" fontId="45" fillId="0" borderId="8"/>
    <xf numFmtId="235" fontId="45" fillId="0" borderId="8"/>
    <xf numFmtId="235" fontId="45" fillId="0" borderId="8"/>
    <xf numFmtId="233" fontId="45" fillId="0" borderId="8"/>
    <xf numFmtId="233" fontId="45" fillId="0" borderId="8"/>
    <xf numFmtId="233" fontId="45" fillId="0" borderId="0"/>
    <xf numFmtId="236" fontId="45" fillId="0" borderId="0"/>
    <xf numFmtId="185" fontId="47" fillId="0" borderId="0" applyFill="0" applyBorder="0" applyAlignment="0"/>
    <xf numFmtId="237" fontId="45" fillId="0" borderId="0"/>
    <xf numFmtId="238" fontId="45" fillId="0" borderId="0"/>
    <xf numFmtId="236" fontId="45" fillId="0" borderId="8"/>
    <xf numFmtId="237" fontId="45" fillId="0" borderId="8"/>
    <xf numFmtId="237" fontId="45" fillId="0" borderId="8"/>
    <xf numFmtId="238" fontId="45" fillId="0" borderId="8"/>
    <xf numFmtId="238" fontId="45" fillId="0" borderId="8"/>
    <xf numFmtId="236" fontId="45" fillId="0" borderId="8"/>
    <xf numFmtId="236" fontId="45" fillId="0" borderId="8"/>
    <xf numFmtId="236" fontId="45" fillId="0" borderId="0"/>
    <xf numFmtId="239" fontId="45" fillId="0" borderId="0">
      <alignment horizontal="right"/>
      <protection locked="0"/>
    </xf>
    <xf numFmtId="240" fontId="45" fillId="0" borderId="0">
      <alignment horizontal="right"/>
      <protection locked="0"/>
    </xf>
    <xf numFmtId="241" fontId="45" fillId="0" borderId="0"/>
    <xf numFmtId="242" fontId="45" fillId="0" borderId="0"/>
    <xf numFmtId="243" fontId="45" fillId="0" borderId="0"/>
    <xf numFmtId="241" fontId="45" fillId="0" borderId="8"/>
    <xf numFmtId="242" fontId="45" fillId="0" borderId="8"/>
    <xf numFmtId="242" fontId="45" fillId="0" borderId="8"/>
    <xf numFmtId="243" fontId="45" fillId="0" borderId="8"/>
    <xf numFmtId="243" fontId="45" fillId="0" borderId="8"/>
    <xf numFmtId="241" fontId="45" fillId="0" borderId="8"/>
    <xf numFmtId="241" fontId="45" fillId="0" borderId="8"/>
    <xf numFmtId="241" fontId="45" fillId="0" borderId="0"/>
    <xf numFmtId="244" fontId="11" fillId="46" borderId="0"/>
    <xf numFmtId="185" fontId="11" fillId="0" borderId="0">
      <alignment vertical="center"/>
    </xf>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194" fontId="90" fillId="61" borderId="14" applyNumberFormat="0" applyAlignment="0" applyProtection="0"/>
    <xf numFmtId="194" fontId="90" fillId="61" borderId="14" applyNumberFormat="0" applyAlignment="0" applyProtection="0"/>
    <xf numFmtId="38" fontId="91" fillId="0" borderId="0" applyNumberFormat="0" applyFill="0" applyBorder="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194" fontId="93" fillId="79" borderId="15" applyNumberFormat="0" applyAlignment="0" applyProtection="0"/>
    <xf numFmtId="38" fontId="11" fillId="0" borderId="0" applyNumberFormat="0" applyFill="0" applyBorder="0" applyAlignment="0" applyProtection="0">
      <protection locked="0"/>
    </xf>
    <xf numFmtId="38" fontId="11" fillId="0" borderId="0" applyNumberFormat="0" applyFill="0" applyBorder="0" applyAlignment="0" applyProtection="0">
      <protection locked="0"/>
    </xf>
    <xf numFmtId="38" fontId="11" fillId="0" borderId="0" applyNumberFormat="0" applyFill="0" applyBorder="0" applyAlignment="0" applyProtection="0">
      <protection locked="0"/>
    </xf>
    <xf numFmtId="37" fontId="66" fillId="0" borderId="9">
      <alignment horizontal="center"/>
    </xf>
    <xf numFmtId="37" fontId="66" fillId="0" borderId="0">
      <alignment horizontal="center" vertical="center" wrapText="1"/>
    </xf>
    <xf numFmtId="1" fontId="94" fillId="0" borderId="16">
      <alignment vertical="top"/>
    </xf>
    <xf numFmtId="178" fontId="95" fillId="0" borderId="0" applyBorder="0">
      <alignment horizontal="right"/>
    </xf>
    <xf numFmtId="178" fontId="95" fillId="0" borderId="17" applyAlignment="0">
      <alignment horizontal="right"/>
    </xf>
    <xf numFmtId="245" fontId="43" fillId="0" borderId="0"/>
    <xf numFmtId="245" fontId="43" fillId="0" borderId="0"/>
    <xf numFmtId="245" fontId="43" fillId="0" borderId="0"/>
    <xf numFmtId="245" fontId="43" fillId="0" borderId="0"/>
    <xf numFmtId="245" fontId="43" fillId="0" borderId="0"/>
    <xf numFmtId="245" fontId="43" fillId="0" borderId="0"/>
    <xf numFmtId="245" fontId="43" fillId="0" borderId="0"/>
    <xf numFmtId="245" fontId="43" fillId="0" borderId="0"/>
    <xf numFmtId="38" fontId="11" fillId="0" borderId="0" applyFont="0" applyFill="0" applyBorder="0" applyAlignment="0" applyProtection="0"/>
    <xf numFmtId="208" fontId="47" fillId="0" borderId="0" applyFont="0" applyFill="0" applyBorder="0" applyAlignment="0" applyProtection="0">
      <protection locked="0"/>
    </xf>
    <xf numFmtId="40" fontId="47" fillId="0" borderId="0" applyFont="0" applyFill="0" applyBorder="0" applyAlignment="0" applyProtection="0">
      <protection locked="0"/>
    </xf>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11" fillId="0" borderId="0" applyNumberFormat="0" applyFont="0" applyBorder="0" applyAlignment="0"/>
    <xf numFmtId="211" fontId="57" fillId="0" borderId="0"/>
    <xf numFmtId="246" fontId="59" fillId="0" borderId="0"/>
    <xf numFmtId="185" fontId="96" fillId="0" borderId="0" applyFont="0" applyFill="0" applyBorder="0" applyAlignment="0" applyProtection="0">
      <alignment horizontal="right"/>
    </xf>
    <xf numFmtId="247" fontId="96" fillId="0" borderId="0" applyFont="0" applyFill="0" applyBorder="0" applyAlignment="0" applyProtection="0"/>
    <xf numFmtId="185" fontId="96" fillId="0" borderId="0" applyFont="0" applyFill="0" applyBorder="0" applyAlignment="0" applyProtection="0">
      <alignment horizontal="right"/>
    </xf>
    <xf numFmtId="0"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246" fontId="14" fillId="0" borderId="0" applyFont="0" applyFill="0" applyBorder="0" applyAlignment="0" applyProtection="0"/>
    <xf numFmtId="179" fontId="14" fillId="0" borderId="0" applyFont="0" applyFill="0" applyBorder="0" applyAlignment="0" applyProtection="0"/>
    <xf numFmtId="197" fontId="14" fillId="0" borderId="0" applyFont="0" applyFill="0" applyBorder="0" applyAlignment="0" applyProtection="0"/>
    <xf numFmtId="179"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248" fontId="14" fillId="0" borderId="0" applyFont="0" applyFill="0" applyBorder="0" applyAlignment="0" applyProtection="0"/>
    <xf numFmtId="249" fontId="14" fillId="0" borderId="0" applyFont="0" applyFill="0" applyBorder="0" applyAlignment="0" applyProtection="0"/>
    <xf numFmtId="249" fontId="14" fillId="0" borderId="0" applyFont="0" applyFill="0" applyBorder="0" applyAlignment="0" applyProtection="0"/>
    <xf numFmtId="178" fontId="14" fillId="0" borderId="0" applyFont="0" applyFill="0" applyBorder="0" applyAlignment="0" applyProtection="0"/>
    <xf numFmtId="193" fontId="14" fillId="0" borderId="0" applyFont="0" applyFill="0" applyBorder="0" applyAlignment="0" applyProtection="0"/>
    <xf numFmtId="182" fontId="14" fillId="0" borderId="0" applyFont="0" applyFill="0" applyBorder="0" applyAlignment="0" applyProtection="0"/>
    <xf numFmtId="182" fontId="14" fillId="0" borderId="0" applyFont="0" applyFill="0" applyBorder="0" applyAlignment="0" applyProtection="0"/>
    <xf numFmtId="182" fontId="14" fillId="0" borderId="0" applyFont="0" applyFill="0" applyBorder="0" applyAlignment="0" applyProtection="0"/>
    <xf numFmtId="178" fontId="14" fillId="0" borderId="0" applyFont="0" applyFill="0" applyBorder="0" applyAlignment="0" applyProtection="0"/>
    <xf numFmtId="178"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30"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30"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250"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251" fontId="11" fillId="0" borderId="0" applyFont="0" applyFill="0" applyBorder="0" applyAlignment="0" applyProtection="0"/>
    <xf numFmtId="169" fontId="20"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52" fontId="11" fillId="0" borderId="0" applyFont="0" applyFill="0" applyBorder="0" applyAlignment="0" applyProtection="0"/>
    <xf numFmtId="38" fontId="43" fillId="0" borderId="0" applyFill="0" applyBorder="0" applyProtection="0">
      <alignment horizontal="center"/>
    </xf>
    <xf numFmtId="185" fontId="97" fillId="0" borderId="0">
      <protection locked="0"/>
    </xf>
    <xf numFmtId="253" fontId="11" fillId="0" borderId="0" applyBorder="0"/>
    <xf numFmtId="254" fontId="55" fillId="0" borderId="0" applyBorder="0"/>
    <xf numFmtId="255" fontId="11" fillId="0" borderId="0" applyFill="0" applyBorder="0">
      <alignment horizontal="left"/>
    </xf>
    <xf numFmtId="185" fontId="98" fillId="0" borderId="0" applyNumberFormat="0" applyAlignment="0">
      <alignment horizontal="left"/>
    </xf>
    <xf numFmtId="37" fontId="11" fillId="80" borderId="0" applyFont="0" applyBorder="0" applyAlignment="0" applyProtection="0"/>
    <xf numFmtId="197" fontId="52" fillId="80" borderId="0" applyFont="0" applyBorder="0" applyAlignment="0" applyProtection="0"/>
    <xf numFmtId="39" fontId="52" fillId="80" borderId="0" applyFont="0" applyBorder="0" applyAlignment="0" applyProtection="0"/>
    <xf numFmtId="256" fontId="99" fillId="0" borderId="0"/>
    <xf numFmtId="164" fontId="47" fillId="0" borderId="0" applyFont="0" applyFill="0" applyBorder="0" applyAlignment="0" applyProtection="0">
      <protection locked="0"/>
    </xf>
    <xf numFmtId="165" fontId="47" fillId="0" borderId="0" applyFont="0" applyFill="0" applyBorder="0" applyAlignment="0" applyProtection="0">
      <protection locked="0"/>
    </xf>
    <xf numFmtId="166" fontId="11" fillId="0" borderId="0">
      <alignment horizontal="right"/>
    </xf>
    <xf numFmtId="185" fontId="96" fillId="0" borderId="0" applyFont="0" applyFill="0" applyBorder="0" applyAlignment="0" applyProtection="0">
      <alignment horizontal="right"/>
    </xf>
    <xf numFmtId="257" fontId="30" fillId="0" borderId="0" applyFont="0" applyFill="0" applyBorder="0" applyAlignment="0" applyProtection="0"/>
    <xf numFmtId="258" fontId="11" fillId="0" borderId="0" applyFont="0" applyFill="0" applyBorder="0" applyAlignment="0" applyProtection="0"/>
    <xf numFmtId="185" fontId="96" fillId="0" borderId="0" applyFont="0" applyFill="0" applyBorder="0" applyAlignment="0" applyProtection="0">
      <alignment horizontal="right"/>
    </xf>
    <xf numFmtId="257" fontId="15" fillId="0" borderId="0" applyFont="0" applyFill="0" applyBorder="0" applyAlignment="0" applyProtection="0"/>
    <xf numFmtId="255" fontId="11" fillId="0" borderId="0" applyFont="0" applyFill="0" applyBorder="0" applyAlignment="0" applyProtection="0"/>
    <xf numFmtId="257" fontId="15" fillId="0" borderId="0" applyFont="0" applyFill="0" applyBorder="0" applyAlignment="0" applyProtection="0"/>
    <xf numFmtId="257" fontId="15" fillId="0" borderId="0" applyFont="0" applyFill="0" applyBorder="0" applyAlignment="0" applyProtection="0"/>
    <xf numFmtId="259" fontId="11" fillId="0" borderId="0" applyFont="0" applyFill="0" applyBorder="0" applyAlignment="0" applyProtection="0"/>
    <xf numFmtId="185" fontId="11" fillId="0" borderId="0" applyFont="0" applyFill="0" applyBorder="0" applyAlignment="0" applyProtection="0"/>
    <xf numFmtId="49" fontId="100" fillId="81" borderId="0" applyAlignment="0" applyProtection="0">
      <alignment vertical="center"/>
    </xf>
    <xf numFmtId="260" fontId="46" fillId="46" borderId="11">
      <alignment horizontal="right"/>
    </xf>
    <xf numFmtId="261" fontId="43" fillId="0" borderId="0" applyFont="0" applyFill="0" applyBorder="0" applyAlignment="0" applyProtection="0"/>
    <xf numFmtId="233" fontId="45" fillId="45" borderId="18">
      <protection locked="0"/>
    </xf>
    <xf numFmtId="234" fontId="45" fillId="45" borderId="18">
      <protection locked="0"/>
    </xf>
    <xf numFmtId="235" fontId="45" fillId="45" borderId="18">
      <protection locked="0"/>
    </xf>
    <xf numFmtId="233" fontId="45" fillId="45" borderId="18">
      <protection locked="0"/>
    </xf>
    <xf numFmtId="236" fontId="45" fillId="45" borderId="18">
      <protection locked="0"/>
    </xf>
    <xf numFmtId="237" fontId="45" fillId="45" borderId="18">
      <protection locked="0"/>
    </xf>
    <xf numFmtId="238" fontId="45" fillId="45" borderId="18">
      <protection locked="0"/>
    </xf>
    <xf numFmtId="236" fontId="45" fillId="45" borderId="18">
      <protection locked="0"/>
    </xf>
    <xf numFmtId="239" fontId="45" fillId="37" borderId="18">
      <alignment horizontal="right"/>
      <protection locked="0"/>
    </xf>
    <xf numFmtId="240" fontId="45" fillId="37" borderId="18">
      <alignment horizontal="right"/>
      <protection locked="0"/>
    </xf>
    <xf numFmtId="0" fontId="45" fillId="82" borderId="18">
      <alignment horizontal="left"/>
      <protection locked="0"/>
    </xf>
    <xf numFmtId="49" fontId="45" fillId="38" borderId="18">
      <alignment horizontal="left" vertical="top" wrapText="1"/>
      <protection locked="0"/>
    </xf>
    <xf numFmtId="241" fontId="45" fillId="45" borderId="18">
      <protection locked="0"/>
    </xf>
    <xf numFmtId="242" fontId="45" fillId="45" borderId="18">
      <protection locked="0"/>
    </xf>
    <xf numFmtId="243" fontId="45" fillId="45" borderId="18">
      <protection locked="0"/>
    </xf>
    <xf numFmtId="241" fontId="45" fillId="45" borderId="18">
      <protection locked="0"/>
    </xf>
    <xf numFmtId="49" fontId="45" fillId="38" borderId="18">
      <alignment horizontal="left"/>
      <protection locked="0"/>
    </xf>
    <xf numFmtId="262" fontId="45" fillId="45" borderId="18">
      <alignment horizontal="left" indent="1"/>
      <protection locked="0"/>
    </xf>
    <xf numFmtId="263" fontId="11" fillId="45" borderId="19"/>
    <xf numFmtId="263" fontId="11" fillId="45" borderId="19"/>
    <xf numFmtId="263" fontId="11" fillId="45" borderId="19"/>
    <xf numFmtId="263" fontId="11" fillId="45" borderId="19"/>
    <xf numFmtId="263" fontId="11" fillId="45" borderId="19"/>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185" fontId="96" fillId="0" borderId="0" applyFont="0" applyFill="0" applyBorder="0" applyAlignment="0" applyProtection="0"/>
    <xf numFmtId="265" fontId="11" fillId="0" borderId="0" applyFont="0" applyFill="0" applyBorder="0" applyAlignment="0" applyProtection="0"/>
    <xf numFmtId="185" fontId="96" fillId="0" borderId="0" applyFont="0" applyFill="0" applyBorder="0" applyAlignment="0" applyProtection="0"/>
    <xf numFmtId="185" fontId="95" fillId="50" borderId="0">
      <alignment horizontal="left"/>
    </xf>
    <xf numFmtId="264" fontId="11" fillId="0" borderId="0" applyFill="0" applyBorder="0"/>
    <xf numFmtId="14" fontId="11" fillId="0" borderId="0"/>
    <xf numFmtId="266" fontId="11" fillId="0" borderId="0" applyFont="0" applyFill="0" applyBorder="0" applyAlignment="0" applyProtection="0"/>
    <xf numFmtId="267" fontId="11" fillId="0" borderId="0" applyFont="0" applyFill="0" applyBorder="0" applyProtection="0">
      <alignment vertical="top"/>
    </xf>
    <xf numFmtId="267" fontId="11" fillId="0" borderId="0" applyFont="0" applyFill="0" applyBorder="0" applyProtection="0">
      <alignment vertical="top"/>
    </xf>
    <xf numFmtId="267" fontId="11" fillId="0" borderId="0" applyFont="0" applyFill="0" applyBorder="0" applyProtection="0">
      <alignment vertical="top"/>
    </xf>
    <xf numFmtId="268" fontId="11" fillId="0" borderId="0" applyFont="0" applyFill="0" applyBorder="0" applyAlignment="0" applyProtection="0"/>
    <xf numFmtId="267" fontId="11" fillId="0" borderId="0" applyFont="0" applyFill="0" applyBorder="0" applyProtection="0">
      <alignment vertical="top"/>
    </xf>
    <xf numFmtId="268" fontId="11" fillId="0" borderId="0" applyFont="0" applyFill="0" applyBorder="0" applyAlignment="0" applyProtection="0"/>
    <xf numFmtId="269" fontId="11" fillId="0" borderId="0" applyFont="0" applyFill="0" applyBorder="0" applyProtection="0">
      <alignment vertical="top"/>
    </xf>
    <xf numFmtId="269" fontId="11" fillId="0" borderId="0" applyFont="0" applyFill="0" applyBorder="0" applyProtection="0">
      <alignment vertical="top"/>
    </xf>
    <xf numFmtId="269" fontId="11" fillId="0" borderId="0" applyFont="0" applyFill="0" applyBorder="0" applyProtection="0">
      <alignment vertical="top"/>
    </xf>
    <xf numFmtId="269" fontId="11" fillId="0" borderId="0" applyFont="0" applyFill="0" applyBorder="0" applyProtection="0">
      <alignment vertical="top"/>
    </xf>
    <xf numFmtId="216" fontId="59" fillId="0" borderId="0">
      <alignment horizontal="right"/>
    </xf>
    <xf numFmtId="211" fontId="59" fillId="0" borderId="0">
      <alignment horizontal="right"/>
      <protection locked="0"/>
    </xf>
    <xf numFmtId="211" fontId="59" fillId="0" borderId="0"/>
    <xf numFmtId="270" fontId="59" fillId="0" borderId="0">
      <alignment horizontal="right"/>
      <protection locked="0"/>
    </xf>
    <xf numFmtId="211" fontId="60" fillId="0" borderId="0"/>
    <xf numFmtId="271" fontId="55" fillId="83" borderId="0" applyAlignment="0" applyProtection="0">
      <alignment horizontal="right"/>
    </xf>
    <xf numFmtId="272" fontId="11" fillId="0" borderId="0" applyFont="0" applyFill="0" applyBorder="0" applyAlignment="0" applyProtection="0"/>
    <xf numFmtId="171" fontId="11" fillId="0" borderId="0" applyFont="0" applyFill="0" applyBorder="0" applyAlignment="0" applyProtection="0"/>
    <xf numFmtId="208" fontId="67" fillId="46" borderId="0" applyNumberFormat="0" applyFont="0" applyBorder="0" applyAlignment="0" applyProtection="0"/>
    <xf numFmtId="165" fontId="43" fillId="0" borderId="0" applyFill="0" applyBorder="0" applyProtection="0">
      <alignment horizontal="center"/>
    </xf>
    <xf numFmtId="164" fontId="43" fillId="0" borderId="0">
      <alignment horizontal="center"/>
    </xf>
    <xf numFmtId="165" fontId="43" fillId="0" borderId="0" applyFill="0" applyBorder="0" applyProtection="0">
      <alignment horizontal="center"/>
    </xf>
    <xf numFmtId="255" fontId="101" fillId="0" borderId="0">
      <alignment horizontal="center"/>
    </xf>
    <xf numFmtId="185" fontId="96" fillId="0" borderId="20" applyNumberFormat="0" applyFont="0" applyFill="0" applyAlignment="0" applyProtection="0"/>
    <xf numFmtId="214" fontId="102" fillId="0" borderId="21"/>
    <xf numFmtId="215" fontId="59" fillId="0" borderId="0"/>
    <xf numFmtId="38" fontId="51" fillId="0" borderId="0" applyFont="0" applyFill="0" applyBorder="0" applyAlignment="0" applyProtection="0"/>
    <xf numFmtId="185" fontId="103" fillId="0" borderId="0" applyFont="0" applyFill="0" applyBorder="0" applyAlignment="0" applyProtection="0"/>
    <xf numFmtId="185" fontId="104" fillId="0" borderId="0" applyNumberFormat="0" applyAlignment="0">
      <alignment horizontal="left"/>
    </xf>
    <xf numFmtId="273" fontId="46" fillId="0" borderId="0"/>
    <xf numFmtId="274" fontId="46" fillId="0" borderId="0"/>
    <xf numFmtId="275" fontId="46" fillId="0" borderId="0"/>
    <xf numFmtId="276" fontId="46" fillId="0" borderId="0"/>
    <xf numFmtId="277" fontId="46" fillId="0" borderId="0"/>
    <xf numFmtId="278" fontId="46" fillId="0" borderId="0"/>
    <xf numFmtId="194" fontId="51" fillId="0" borderId="0" applyFont="0" applyFill="0" applyBorder="0" applyAlignment="0" applyProtection="0"/>
    <xf numFmtId="194" fontId="11" fillId="0" borderId="0" applyFont="0" applyFill="0" applyBorder="0" applyAlignment="0" applyProtection="0"/>
    <xf numFmtId="194" fontId="11" fillId="0" borderId="0" applyFont="0" applyFill="0" applyBorder="0" applyAlignment="0" applyProtection="0"/>
    <xf numFmtId="279" fontId="11" fillId="0" borderId="0" applyFont="0" applyFill="0" applyBorder="0" applyAlignment="0" applyProtection="0"/>
    <xf numFmtId="280" fontId="11" fillId="0" borderId="0" applyFont="0" applyFill="0" applyBorder="0" applyAlignment="0" applyProtection="0"/>
    <xf numFmtId="281" fontId="11" fillId="0" borderId="0" applyFont="0" applyFill="0" applyBorder="0" applyAlignment="0" applyProtection="0"/>
    <xf numFmtId="185" fontId="11" fillId="0" borderId="0" applyFon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194" fontId="107" fillId="0" borderId="0" applyNumberFormat="0" applyFill="0" applyBorder="0" applyAlignment="0" applyProtection="0"/>
    <xf numFmtId="0" fontId="43" fillId="79" borderId="0" applyNumberFormat="0" applyFont="0" applyBorder="0" applyAlignment="0" applyProtection="0"/>
    <xf numFmtId="0" fontId="43" fillId="79" borderId="0" applyNumberFormat="0" applyFont="0" applyBorder="0" applyAlignment="0" applyProtection="0"/>
    <xf numFmtId="0" fontId="108" fillId="0" borderId="0" applyNumberFormat="0" applyFill="0" applyBorder="0" applyAlignment="0" applyProtection="0"/>
    <xf numFmtId="282" fontId="109" fillId="0" borderId="0" applyFill="0" applyBorder="0"/>
    <xf numFmtId="15" fontId="20" fillId="0" borderId="0" applyFill="0" applyBorder="0" applyProtection="0">
      <alignment horizontal="center"/>
    </xf>
    <xf numFmtId="0" fontId="43" fillId="20" borderId="0" applyNumberFormat="0" applyFont="0" applyBorder="0" applyAlignment="0" applyProtection="0"/>
    <xf numFmtId="0" fontId="43" fillId="20" borderId="0" applyNumberFormat="0" applyFont="0" applyBorder="0" applyAlignment="0" applyProtection="0"/>
    <xf numFmtId="283" fontId="110" fillId="0" borderId="0" applyFill="0" applyBorder="0" applyProtection="0"/>
    <xf numFmtId="284" fontId="21" fillId="61" borderId="2" applyAlignment="0" applyProtection="0"/>
    <xf numFmtId="284" fontId="21" fillId="61" borderId="2" applyAlignment="0" applyProtection="0"/>
    <xf numFmtId="285" fontId="111" fillId="0" borderId="0" applyNumberFormat="0" applyFill="0" applyBorder="0" applyAlignment="0" applyProtection="0"/>
    <xf numFmtId="285" fontId="112" fillId="0" borderId="0" applyNumberFormat="0" applyFill="0" applyBorder="0" applyAlignment="0" applyProtection="0"/>
    <xf numFmtId="15" fontId="108" fillId="45" borderId="18">
      <alignment horizontal="center"/>
      <protection locked="0"/>
    </xf>
    <xf numFmtId="286" fontId="108" fillId="45" borderId="18" applyAlignment="0">
      <protection locked="0"/>
    </xf>
    <xf numFmtId="287" fontId="108" fillId="45" borderId="18" applyAlignment="0">
      <protection locked="0"/>
    </xf>
    <xf numFmtId="287" fontId="20" fillId="0" borderId="0" applyFill="0" applyBorder="0" applyAlignment="0" applyProtection="0"/>
    <xf numFmtId="288" fontId="20" fillId="0" borderId="0" applyFill="0" applyBorder="0" applyAlignment="0" applyProtection="0"/>
    <xf numFmtId="288" fontId="20" fillId="0" borderId="0" applyFill="0" applyBorder="0" applyAlignment="0" applyProtection="0"/>
    <xf numFmtId="289" fontId="20" fillId="0" borderId="0" applyFill="0" applyBorder="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28" borderId="0" applyNumberFormat="0" applyFont="0" applyBorder="0" applyAlignment="0" applyProtection="0"/>
    <xf numFmtId="0" fontId="43" fillId="28" borderId="0" applyNumberFormat="0" applyFont="0" applyBorder="0" applyAlignment="0" applyProtection="0"/>
    <xf numFmtId="167" fontId="11" fillId="0" borderId="0" applyFont="0" applyFill="0" applyBorder="0" applyAlignment="0" applyProtection="0"/>
    <xf numFmtId="169" fontId="11" fillId="0" borderId="0" applyFont="0" applyFill="0" applyBorder="0" applyAlignment="0" applyProtection="0"/>
    <xf numFmtId="290" fontId="11" fillId="0" borderId="0" applyFont="0" applyFill="0" applyBorder="0" applyAlignment="0" applyProtection="0"/>
    <xf numFmtId="291" fontId="11" fillId="0" borderId="0" applyFont="0" applyFill="0" applyBorder="0" applyProtection="0">
      <alignment vertical="top"/>
    </xf>
    <xf numFmtId="291" fontId="11" fillId="0" borderId="0" applyFont="0" applyFill="0" applyBorder="0" applyProtection="0">
      <alignment vertical="top"/>
    </xf>
    <xf numFmtId="291" fontId="11" fillId="0" borderId="0" applyFont="0" applyFill="0" applyBorder="0" applyProtection="0">
      <alignment vertical="top"/>
    </xf>
    <xf numFmtId="291" fontId="11" fillId="0" borderId="0" applyFont="0" applyFill="0" applyBorder="0" applyProtection="0">
      <alignment vertical="top"/>
    </xf>
    <xf numFmtId="1" fontId="113" fillId="84" borderId="24" applyNumberFormat="0" applyBorder="0" applyAlignment="0">
      <alignment horizontal="centerContinuous" vertical="center"/>
      <protection locked="0"/>
    </xf>
    <xf numFmtId="185" fontId="97" fillId="0" borderId="0">
      <protection locked="0"/>
    </xf>
    <xf numFmtId="255" fontId="114" fillId="0" borderId="0"/>
    <xf numFmtId="255" fontId="114" fillId="0" borderId="0"/>
    <xf numFmtId="185" fontId="115" fillId="0" borderId="0"/>
    <xf numFmtId="185" fontId="116" fillId="0" borderId="0" applyFill="0" applyBorder="0" applyProtection="0">
      <alignment horizontal="left"/>
    </xf>
    <xf numFmtId="4" fontId="117" fillId="0" borderId="0">
      <protection locked="0"/>
    </xf>
    <xf numFmtId="0" fontId="100" fillId="19" borderId="0" applyAlignment="0" applyProtection="0">
      <alignment horizontal="right" vertical="center"/>
    </xf>
    <xf numFmtId="256" fontId="118" fillId="0" borderId="0"/>
    <xf numFmtId="274" fontId="46" fillId="0" borderId="25"/>
    <xf numFmtId="292" fontId="46" fillId="46" borderId="11">
      <alignment horizontal="right"/>
    </xf>
    <xf numFmtId="293" fontId="11" fillId="0" borderId="0" applyFont="0" applyFill="0" applyBorder="0" applyAlignment="0" applyProtection="0"/>
    <xf numFmtId="294" fontId="119" fillId="0" borderId="0" applyFont="0" applyFill="0" applyBorder="0" applyAlignment="0" applyProtection="0"/>
    <xf numFmtId="295" fontId="11" fillId="0" borderId="0" applyFont="0" applyFill="0" applyBorder="0" applyAlignment="0" applyProtection="0"/>
    <xf numFmtId="296" fontId="119" fillId="0" borderId="0" applyFont="0" applyFill="0" applyBorder="0" applyAlignment="0" applyProtection="0"/>
    <xf numFmtId="0" fontId="43" fillId="0" borderId="0" applyFont="0" applyFill="0" applyBorder="0" applyAlignment="0" applyProtection="0"/>
    <xf numFmtId="0" fontId="43" fillId="0" borderId="0" applyFont="0" applyFill="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194" fontId="121" fillId="57" borderId="0" applyNumberFormat="0" applyBorder="0" applyAlignment="0" applyProtection="0"/>
    <xf numFmtId="2" fontId="122" fillId="50" borderId="11" applyProtection="0">
      <alignment horizontal="left"/>
      <protection locked="0"/>
    </xf>
    <xf numFmtId="38" fontId="55" fillId="46" borderId="0" applyNumberFormat="0" applyBorder="0" applyAlignment="0" applyProtection="0"/>
    <xf numFmtId="0" fontId="11" fillId="61" borderId="0" applyNumberFormat="0" applyFont="0" applyBorder="0" applyAlignment="0" applyProtection="0"/>
    <xf numFmtId="297" fontId="95" fillId="36" borderId="26" applyNumberFormat="0" applyFont="0" applyAlignment="0"/>
    <xf numFmtId="185" fontId="96" fillId="0" borderId="0" applyFont="0" applyFill="0" applyBorder="0" applyAlignment="0" applyProtection="0">
      <alignment horizontal="right"/>
    </xf>
    <xf numFmtId="185" fontId="123" fillId="0" borderId="0" applyProtection="0">
      <alignment horizontal="right"/>
    </xf>
    <xf numFmtId="185" fontId="80" fillId="0" borderId="27" applyNumberFormat="0" applyAlignment="0" applyProtection="0">
      <alignment horizontal="left" vertical="center"/>
    </xf>
    <xf numFmtId="185" fontId="80" fillId="0" borderId="28">
      <alignment horizontal="left" vertical="center"/>
    </xf>
    <xf numFmtId="2" fontId="76" fillId="76" borderId="0" applyAlignment="0">
      <alignment horizontal="right"/>
      <protection locked="0"/>
    </xf>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194" fontId="126" fillId="0" borderId="30"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194" fontId="129" fillId="0" borderId="31"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194" fontId="132" fillId="0" borderId="32" applyNumberFormat="0" applyFill="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194" fontId="132" fillId="0" borderId="0" applyNumberFormat="0" applyFill="0" applyBorder="0" applyAlignment="0" applyProtection="0"/>
    <xf numFmtId="185" fontId="43" fillId="0" borderId="0">
      <protection locked="0"/>
    </xf>
    <xf numFmtId="185" fontId="43" fillId="0" borderId="0">
      <protection locked="0"/>
    </xf>
    <xf numFmtId="298" fontId="133" fillId="0" borderId="0">
      <alignment horizontal="right"/>
    </xf>
    <xf numFmtId="299" fontId="63" fillId="0" borderId="0" applyAlignment="0">
      <alignment horizontal="right"/>
      <protection hidden="1"/>
    </xf>
    <xf numFmtId="185" fontId="108" fillId="0" borderId="33" applyNumberFormat="0" applyFill="0" applyAlignment="0" applyProtection="0"/>
    <xf numFmtId="208" fontId="134" fillId="0" borderId="0" applyNumberFormat="0" applyBorder="0" applyAlignment="0" applyProtection="0">
      <alignment horizontal="right" wrapText="1"/>
    </xf>
    <xf numFmtId="0" fontId="3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194" fontId="138"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194" fontId="142" fillId="0" borderId="0" applyNumberFormat="0" applyFill="0" applyBorder="0" applyAlignment="0" applyProtection="0">
      <alignment vertical="top"/>
      <protection locked="0"/>
    </xf>
    <xf numFmtId="185" fontId="143" fillId="0" borderId="0">
      <alignment wrapText="1"/>
    </xf>
    <xf numFmtId="10" fontId="55" fillId="36" borderId="26" applyNumberFormat="0" applyBorder="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194" fontId="146" fillId="60" borderId="34" applyNumberFormat="0" applyAlignment="0" applyProtection="0"/>
    <xf numFmtId="194" fontId="146" fillId="60" borderId="34" applyNumberFormat="0" applyAlignment="0" applyProtection="0"/>
    <xf numFmtId="0" fontId="55" fillId="0" borderId="0" applyNumberFormat="0" applyFill="0" applyBorder="0" applyAlignment="0">
      <protection locked="0"/>
    </xf>
    <xf numFmtId="0" fontId="147" fillId="34" borderId="0"/>
    <xf numFmtId="244" fontId="66" fillId="86" borderId="0">
      <protection locked="0"/>
    </xf>
    <xf numFmtId="300" fontId="43" fillId="0" borderId="0"/>
    <xf numFmtId="0" fontId="148" fillId="0" borderId="0"/>
    <xf numFmtId="38" fontId="149" fillId="0" borderId="0"/>
    <xf numFmtId="38" fontId="150" fillId="0" borderId="0"/>
    <xf numFmtId="38" fontId="151" fillId="0" borderId="0"/>
    <xf numFmtId="38" fontId="152" fillId="0" borderId="0"/>
    <xf numFmtId="0" fontId="69" fillId="0" borderId="0"/>
    <xf numFmtId="0" fontId="69" fillId="0" borderId="0"/>
    <xf numFmtId="0" fontId="69" fillId="0" borderId="0"/>
    <xf numFmtId="0" fontId="45" fillId="0" borderId="0"/>
    <xf numFmtId="0" fontId="153" fillId="0" borderId="0"/>
    <xf numFmtId="0" fontId="154" fillId="0" borderId="0">
      <alignment horizontal="center"/>
    </xf>
    <xf numFmtId="301" fontId="155" fillId="0" borderId="0" applyFont="0" applyFill="0" applyBorder="0" applyAlignment="0" applyProtection="0"/>
    <xf numFmtId="185" fontId="11" fillId="0" borderId="0" applyNumberFormat="0" applyFont="0" applyFill="0" applyBorder="0" applyProtection="0">
      <alignment horizontal="left" vertical="center"/>
    </xf>
    <xf numFmtId="173" fontId="38" fillId="2" borderId="0"/>
    <xf numFmtId="173" fontId="39" fillId="53" borderId="0"/>
    <xf numFmtId="185" fontId="55" fillId="46" borderId="0"/>
    <xf numFmtId="38" fontId="156" fillId="0" borderId="0" applyNumberFormat="0" applyFill="0" applyBorder="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194" fontId="159" fillId="0" borderId="36" applyNumberFormat="0" applyFill="0" applyAlignment="0" applyProtection="0"/>
    <xf numFmtId="0" fontId="100" fillId="87" borderId="0" applyAlignment="0" applyProtection="0">
      <alignment horizontal="right" vertical="center"/>
    </xf>
    <xf numFmtId="201" fontId="56" fillId="0" borderId="0" applyFont="0" applyFill="0" applyBorder="0" applyAlignment="0" applyProtection="0">
      <alignment horizontal="right"/>
    </xf>
    <xf numFmtId="302"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303"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40" fontId="160" fillId="0" borderId="0">
      <alignment horizontal="right"/>
    </xf>
    <xf numFmtId="37" fontId="161" fillId="0" borderId="0"/>
    <xf numFmtId="185" fontId="162" fillId="0" borderId="0">
      <alignment vertical="center"/>
    </xf>
    <xf numFmtId="185" fontId="11" fillId="0" borderId="0" applyNumberFormat="0" applyFill="0" applyBorder="0" applyAlignment="0" applyProtection="0"/>
    <xf numFmtId="169"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304" fontId="11" fillId="0" borderId="0" applyFont="0" applyFill="0" applyBorder="0" applyAlignment="0" applyProtection="0"/>
    <xf numFmtId="305" fontId="46" fillId="0" borderId="0">
      <alignment horizontal="right"/>
    </xf>
    <xf numFmtId="185" fontId="163" fillId="0" borderId="17"/>
    <xf numFmtId="306" fontId="51" fillId="0" borderId="0" applyFont="0" applyFill="0" applyBorder="0" applyAlignment="0" applyProtection="0"/>
    <xf numFmtId="307" fontId="5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308" fontId="55" fillId="36" borderId="0">
      <alignment horizontal="center"/>
    </xf>
    <xf numFmtId="309" fontId="43" fillId="0" borderId="0" applyFill="0" applyBorder="0" applyProtection="0">
      <alignment horizontal="center"/>
    </xf>
    <xf numFmtId="310" fontId="43" fillId="0" borderId="0" applyFont="0" applyFill="0" applyBorder="0" applyAlignment="0" applyProtection="0">
      <alignment horizontal="centerContinuous"/>
      <protection locked="0"/>
    </xf>
    <xf numFmtId="49" fontId="164" fillId="81" borderId="0" applyAlignment="0" applyProtection="0">
      <alignment horizontal="centerContinuous" vertical="center"/>
    </xf>
    <xf numFmtId="311" fontId="55" fillId="0" borderId="0" applyFont="0" applyFill="0" applyBorder="0" applyAlignment="0" applyProtection="0">
      <alignment horizontal="right"/>
    </xf>
    <xf numFmtId="0" fontId="83" fillId="0" borderId="0">
      <alignment horizontal="right"/>
    </xf>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194" fontId="166" fillId="18" borderId="0" applyNumberFormat="0" applyBorder="0" applyAlignment="0" applyProtection="0"/>
    <xf numFmtId="37" fontId="167" fillId="0" borderId="0"/>
    <xf numFmtId="298" fontId="168" fillId="0" borderId="0"/>
    <xf numFmtId="312" fontId="47" fillId="0" borderId="0"/>
    <xf numFmtId="312" fontId="47" fillId="0" borderId="9"/>
    <xf numFmtId="312" fontId="47" fillId="0" borderId="37"/>
    <xf numFmtId="312" fontId="47" fillId="0" borderId="0"/>
    <xf numFmtId="313" fontId="59" fillId="0" borderId="0"/>
    <xf numFmtId="314" fontId="59" fillId="0" borderId="0"/>
    <xf numFmtId="315" fontId="59" fillId="0" borderId="0"/>
    <xf numFmtId="316" fontId="55" fillId="0" borderId="0"/>
    <xf numFmtId="317" fontId="55" fillId="0" borderId="0"/>
    <xf numFmtId="38" fontId="11" fillId="0" borderId="0" applyFont="0" applyFill="0" applyBorder="0" applyAlignment="0" applyProtection="0"/>
    <xf numFmtId="0" fontId="9" fillId="0" borderId="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9"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4" fillId="0" borderId="0"/>
    <xf numFmtId="0" fontId="15"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0" fontId="15" fillId="0" borderId="0"/>
    <xf numFmtId="0" fontId="15" fillId="0" borderId="0"/>
    <xf numFmtId="0" fontId="15" fillId="0" borderId="0"/>
    <xf numFmtId="0" fontId="15" fillId="0" borderId="0"/>
    <xf numFmtId="0" fontId="11"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1" fillId="0" borderId="0"/>
    <xf numFmtId="185"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185"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9" fillId="0" borderId="0"/>
    <xf numFmtId="0" fontId="9" fillId="0" borderId="0"/>
    <xf numFmtId="0" fontId="9" fillId="0" borderId="0"/>
    <xf numFmtId="0" fontId="26"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14" fillId="0" borderId="0"/>
    <xf numFmtId="0" fontId="14" fillId="0" borderId="0"/>
    <xf numFmtId="0" fontId="14" fillId="0" borderId="0"/>
    <xf numFmtId="0" fontId="14" fillId="0" borderId="0"/>
    <xf numFmtId="0" fontId="14" fillId="0" borderId="0"/>
    <xf numFmtId="185"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1" fillId="0" borderId="0"/>
    <xf numFmtId="0" fontId="14" fillId="0" borderId="0" applyFont="0" applyFill="0" applyBorder="0" applyAlignment="0" applyProtection="0"/>
    <xf numFmtId="0" fontId="14" fillId="0" borderId="0" applyFont="0" applyFill="0" applyBorder="0" applyAlignment="0" applyProtection="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xf numFmtId="0" fontId="11" fillId="0" borderId="0"/>
    <xf numFmtId="0" fontId="14" fillId="0" borderId="0" applyFont="0" applyFill="0" applyBorder="0" applyAlignment="0" applyProtection="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1" fillId="0" borderId="0"/>
    <xf numFmtId="0" fontId="14" fillId="0" borderId="0" applyFont="0" applyFill="0" applyBorder="0" applyAlignment="0" applyProtection="0"/>
    <xf numFmtId="0" fontId="11" fillId="0" borderId="0"/>
    <xf numFmtId="0" fontId="11" fillId="0" borderId="0"/>
    <xf numFmtId="0" fontId="14" fillId="0" borderId="0" applyFont="0" applyFill="0" applyBorder="0" applyAlignment="0" applyProtection="0"/>
    <xf numFmtId="0" fontId="11" fillId="0" borderId="0"/>
    <xf numFmtId="0" fontId="14" fillId="0" borderId="0"/>
    <xf numFmtId="0" fontId="11" fillId="0" borderId="0"/>
    <xf numFmtId="0" fontId="14" fillId="0" borderId="0" applyFont="0" applyFill="0" applyBorder="0" applyAlignment="0" applyProtection="0"/>
    <xf numFmtId="0" fontId="11" fillId="0" borderId="0"/>
    <xf numFmtId="0" fontId="11" fillId="0" borderId="0"/>
    <xf numFmtId="0" fontId="14" fillId="0" borderId="0" applyFont="0" applyFill="0" applyBorder="0" applyAlignment="0" applyProtection="0"/>
    <xf numFmtId="0" fontId="11" fillId="0" borderId="0"/>
    <xf numFmtId="0" fontId="14" fillId="0" borderId="0"/>
    <xf numFmtId="0" fontId="14" fillId="0" borderId="0"/>
    <xf numFmtId="0" fontId="14" fillId="0" borderId="0" applyFont="0" applyFill="0" applyBorder="0" applyAlignment="0" applyProtection="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4" fillId="0" borderId="0"/>
    <xf numFmtId="0" fontId="14"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9" fillId="0" borderId="0"/>
    <xf numFmtId="0" fontId="9" fillId="0" borderId="0"/>
    <xf numFmtId="0" fontId="9"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94" fontId="12"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9" fillId="0" borderId="0"/>
    <xf numFmtId="0" fontId="12" fillId="0" borderId="0"/>
    <xf numFmtId="194" fontId="12"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xf numFmtId="0" fontId="11" fillId="0" borderId="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8" fillId="0" borderId="0"/>
    <xf numFmtId="0" fontId="11" fillId="0" borderId="0"/>
    <xf numFmtId="185" fontId="11" fillId="0" borderId="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194"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9" fontId="9" fillId="0" borderId="0"/>
    <xf numFmtId="179" fontId="26" fillId="0" borderId="0"/>
    <xf numFmtId="179" fontId="26" fillId="0" borderId="0"/>
    <xf numFmtId="179" fontId="26" fillId="0" borderId="0"/>
    <xf numFmtId="179" fontId="26" fillId="0" borderId="0"/>
    <xf numFmtId="179" fontId="26" fillId="0" borderId="0"/>
    <xf numFmtId="179" fontId="9" fillId="0" borderId="0"/>
    <xf numFmtId="179" fontId="26" fillId="0" borderId="0"/>
    <xf numFmtId="179" fontId="26" fillId="0" borderId="0"/>
    <xf numFmtId="179" fontId="26" fillId="0" borderId="0"/>
    <xf numFmtId="179" fontId="26" fillId="0" borderId="0"/>
    <xf numFmtId="179" fontId="9" fillId="0" borderId="0"/>
    <xf numFmtId="179" fontId="9" fillId="0" borderId="0"/>
    <xf numFmtId="179" fontId="9" fillId="0" borderId="0"/>
    <xf numFmtId="179" fontId="9" fillId="0" borderId="0"/>
    <xf numFmtId="179" fontId="26" fillId="0" borderId="0"/>
    <xf numFmtId="179" fontId="26" fillId="0" borderId="0"/>
    <xf numFmtId="179" fontId="26" fillId="0" borderId="0"/>
    <xf numFmtId="179" fontId="26" fillId="0" borderId="0"/>
    <xf numFmtId="179" fontId="9" fillId="0" borderId="0"/>
    <xf numFmtId="179" fontId="9" fillId="0" borderId="0"/>
    <xf numFmtId="179" fontId="9" fillId="0" borderId="0"/>
    <xf numFmtId="179" fontId="9" fillId="0" borderId="0"/>
    <xf numFmtId="179" fontId="26" fillId="0" borderId="0"/>
    <xf numFmtId="179" fontId="26" fillId="0" borderId="0"/>
    <xf numFmtId="179"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9" fillId="0" borderId="0"/>
    <xf numFmtId="0" fontId="30" fillId="0" borderId="0" applyFill="0" applyBorder="0" applyAlignment="0" applyProtection="0"/>
    <xf numFmtId="0" fontId="30"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applyFill="0" applyBorder="0" applyAlignment="0" applyProtection="0"/>
    <xf numFmtId="0" fontId="30" fillId="0" borderId="0" applyFill="0" applyBorder="0" applyAlignment="0" applyProtection="0"/>
    <xf numFmtId="0" fontId="30" fillId="0" borderId="0"/>
    <xf numFmtId="0" fontId="30" fillId="0" borderId="0"/>
    <xf numFmtId="0" fontId="30" fillId="0" borderId="0"/>
    <xf numFmtId="0" fontId="30" fillId="0" borderId="0"/>
    <xf numFmtId="0" fontId="30" fillId="0" borderId="0"/>
    <xf numFmtId="0" fontId="9" fillId="0" borderId="0"/>
    <xf numFmtId="0" fontId="9" fillId="0" borderId="0"/>
    <xf numFmtId="0" fontId="11" fillId="0" borderId="0"/>
    <xf numFmtId="0" fontId="11" fillId="0" borderId="0"/>
    <xf numFmtId="0" fontId="9" fillId="0" borderId="0"/>
    <xf numFmtId="0" fontId="9" fillId="0" borderId="0"/>
    <xf numFmtId="0" fontId="9" fillId="0" borderId="0"/>
    <xf numFmtId="0" fontId="9" fillId="0" borderId="0"/>
    <xf numFmtId="0" fontId="26" fillId="0" borderId="0"/>
    <xf numFmtId="0" fontId="11" fillId="0" borderId="0"/>
    <xf numFmtId="0" fontId="11" fillId="0" borderId="0"/>
    <xf numFmtId="0" fontId="9" fillId="0" borderId="0"/>
    <xf numFmtId="0" fontId="11"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8"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0" fillId="0" borderId="0"/>
    <xf numFmtId="0" fontId="11" fillId="0" borderId="0" applyNumberFormat="0" applyFont="0" applyFill="0" applyBorder="0" applyAlignment="0" applyProtection="0"/>
    <xf numFmtId="0" fontId="20" fillId="0" borderId="0"/>
    <xf numFmtId="0" fontId="20" fillId="0" borderId="0"/>
    <xf numFmtId="0" fontId="20" fillId="0" borderId="0"/>
    <xf numFmtId="0" fontId="8" fillId="0" borderId="0"/>
    <xf numFmtId="0" fontId="30" fillId="0" borderId="0"/>
    <xf numFmtId="0" fontId="30" fillId="0" borderId="0"/>
    <xf numFmtId="0" fontId="11" fillId="0" borderId="0" applyNumberFormat="0" applyFont="0" applyFill="0" applyBorder="0" applyAlignment="0" applyProtection="0"/>
    <xf numFmtId="0" fontId="30" fillId="0" borderId="0"/>
    <xf numFmtId="0" fontId="14" fillId="0" borderId="0"/>
    <xf numFmtId="0" fontId="14" fillId="0" borderId="0"/>
    <xf numFmtId="0" fontId="14" fillId="0" borderId="0"/>
    <xf numFmtId="0" fontId="14" fillId="0" borderId="0"/>
    <xf numFmtId="0" fontId="9" fillId="0" borderId="0"/>
    <xf numFmtId="0" fontId="9" fillId="0" borderId="0"/>
    <xf numFmtId="0" fontId="9" fillId="0" borderId="0"/>
    <xf numFmtId="0" fontId="9" fillId="0" borderId="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8"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27" fillId="0" borderId="0">
      <alignment vertical="top"/>
    </xf>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318" fontId="57" fillId="0" borderId="37"/>
    <xf numFmtId="0" fontId="108" fillId="0" borderId="0" applyFill="0" applyBorder="0">
      <protection locked="0"/>
    </xf>
    <xf numFmtId="185" fontId="11" fillId="0" borderId="0"/>
    <xf numFmtId="185" fontId="170" fillId="0" borderId="0"/>
    <xf numFmtId="185" fontId="171" fillId="0" borderId="0"/>
    <xf numFmtId="185" fontId="172" fillId="0" borderId="0"/>
    <xf numFmtId="185" fontId="173" fillId="0" borderId="0"/>
    <xf numFmtId="185" fontId="52" fillId="0" borderId="0"/>
    <xf numFmtId="38" fontId="174" fillId="0" borderId="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194" fontId="11" fillId="34" borderId="38" applyNumberFormat="0" applyFont="0" applyAlignment="0" applyProtection="0"/>
    <xf numFmtId="194" fontId="11" fillId="34" borderId="38" applyNumberFormat="0" applyFont="0" applyAlignment="0" applyProtection="0"/>
    <xf numFmtId="0" fontId="175" fillId="83" borderId="0" applyAlignment="0" applyProtection="0">
      <alignment horizontal="left" vertical="top" wrapText="1"/>
    </xf>
    <xf numFmtId="285" fontId="11" fillId="45" borderId="39" applyFont="0" applyFill="0" applyBorder="0" applyAlignment="0" applyProtection="0">
      <protection locked="0"/>
    </xf>
    <xf numFmtId="37" fontId="11" fillId="0" borderId="0"/>
    <xf numFmtId="319" fontId="42" fillId="50" borderId="40" applyNumberFormat="0">
      <alignment vertical="center"/>
    </xf>
    <xf numFmtId="319" fontId="42" fillId="88" borderId="40" applyNumberFormat="0">
      <alignment vertical="center"/>
    </xf>
    <xf numFmtId="319" fontId="42" fillId="40" borderId="40" applyNumberFormat="0">
      <alignment vertical="center"/>
    </xf>
    <xf numFmtId="319" fontId="42" fillId="38" borderId="40" applyNumberFormat="0">
      <alignment vertical="center"/>
    </xf>
    <xf numFmtId="319" fontId="42" fillId="89" borderId="40" applyNumberFormat="0">
      <alignment vertical="center"/>
    </xf>
    <xf numFmtId="319" fontId="42" fillId="46" borderId="40" applyNumberFormat="0">
      <alignment vertical="center"/>
    </xf>
    <xf numFmtId="319" fontId="42" fillId="90" borderId="40" applyNumberFormat="0">
      <alignment vertical="center"/>
    </xf>
    <xf numFmtId="319" fontId="42" fillId="80" borderId="40" applyNumberFormat="0">
      <alignment vertical="center"/>
    </xf>
    <xf numFmtId="319" fontId="42" fillId="91" borderId="40" applyNumberFormat="0">
      <alignment vertical="center"/>
    </xf>
    <xf numFmtId="319" fontId="42" fillId="92" borderId="40" applyNumberFormat="0">
      <alignment vertical="center"/>
    </xf>
    <xf numFmtId="319" fontId="176" fillId="45" borderId="40">
      <protection locked="0"/>
    </xf>
    <xf numFmtId="319" fontId="176" fillId="37" borderId="40">
      <protection locked="0"/>
    </xf>
    <xf numFmtId="319" fontId="177" fillId="37" borderId="41" applyNumberFormat="0" applyFont="0" applyFill="0" applyAlignment="0" applyProtection="0">
      <protection locked="0"/>
    </xf>
    <xf numFmtId="319" fontId="83" fillId="0" borderId="0" applyNumberFormat="0" applyFill="0">
      <alignment horizontal="left" vertical="top"/>
    </xf>
    <xf numFmtId="0" fontId="178" fillId="93" borderId="0" applyNumberFormat="0">
      <alignment horizontal="left" vertical="center" indent="1"/>
    </xf>
    <xf numFmtId="0" fontId="179" fillId="94" borderId="0" applyNumberFormat="0">
      <alignment vertical="center"/>
    </xf>
    <xf numFmtId="0" fontId="80" fillId="46" borderId="0">
      <alignment vertical="center"/>
    </xf>
    <xf numFmtId="0" fontId="180" fillId="0" borderId="42">
      <alignment vertical="center"/>
    </xf>
    <xf numFmtId="0" fontId="41" fillId="95" borderId="26" applyNumberFormat="0" applyFont="0" applyAlignment="0">
      <alignment vertical="center"/>
    </xf>
    <xf numFmtId="0" fontId="41" fillId="45" borderId="26" applyNumberFormat="0" applyFont="0" applyAlignment="0">
      <alignment vertical="center"/>
    </xf>
    <xf numFmtId="0" fontId="41" fillId="37" borderId="26" applyNumberFormat="0" applyFont="0" applyAlignment="0">
      <alignment vertical="center"/>
    </xf>
    <xf numFmtId="0" fontId="41" fillId="96" borderId="26" applyNumberFormat="0" applyFont="0" applyAlignment="0">
      <alignment vertical="center"/>
    </xf>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97" borderId="0">
      <alignment horizontal="right"/>
    </xf>
    <xf numFmtId="0" fontId="181" fillId="0" borderId="0">
      <alignment horizontal="left"/>
    </xf>
    <xf numFmtId="3" fontId="182" fillId="0" borderId="0" applyFill="0" applyBorder="0" applyAlignment="0" applyProtection="0"/>
    <xf numFmtId="185" fontId="183" fillId="12" borderId="43" applyNumberFormat="0" applyBorder="0" applyAlignment="0">
      <alignment horizontal="center"/>
      <protection hidden="1"/>
    </xf>
    <xf numFmtId="185" fontId="184" fillId="0" borderId="43" applyNumberFormat="0" applyBorder="0" applyAlignment="0">
      <alignment horizontal="center"/>
      <protection locked="0"/>
    </xf>
    <xf numFmtId="2" fontId="185" fillId="50" borderId="11">
      <alignment horizontal="left"/>
    </xf>
    <xf numFmtId="0" fontId="186" fillId="78" borderId="4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1" fillId="0" borderId="0" applyNumberFormat="0" applyFont="0" applyFill="0" applyBorder="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1" fillId="0" borderId="0" applyNumberFormat="0" applyFont="0" applyFill="0" applyBorder="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1" fillId="0" borderId="0" applyNumberFormat="0" applyFont="0" applyFill="0" applyBorder="0" applyAlignment="0" applyProtection="0"/>
    <xf numFmtId="0" fontId="186" fillId="61" borderId="44" applyNumberFormat="0" applyAlignment="0" applyProtection="0"/>
    <xf numFmtId="0" fontId="11" fillId="0" borderId="0" applyNumberFormat="0" applyFont="0" applyFill="0" applyBorder="0" applyAlignment="0" applyProtection="0"/>
    <xf numFmtId="0" fontId="186" fillId="78" borderId="4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194" fontId="187" fillId="61" borderId="44" applyNumberFormat="0" applyAlignment="0" applyProtection="0"/>
    <xf numFmtId="194" fontId="187" fillId="61" borderId="44" applyNumberFormat="0" applyAlignment="0" applyProtection="0"/>
    <xf numFmtId="40" fontId="20" fillId="33" borderId="0">
      <alignment horizontal="right"/>
    </xf>
    <xf numFmtId="185" fontId="188" fillId="98" borderId="0">
      <alignment horizontal="center"/>
    </xf>
    <xf numFmtId="185" fontId="189" fillId="99" borderId="0"/>
    <xf numFmtId="185" fontId="190" fillId="33" borderId="0" applyBorder="0">
      <alignment horizontal="centerContinuous"/>
    </xf>
    <xf numFmtId="185" fontId="191" fillId="99" borderId="0" applyBorder="0">
      <alignment horizontal="centerContinuous"/>
    </xf>
    <xf numFmtId="320" fontId="11" fillId="0" borderId="0"/>
    <xf numFmtId="320" fontId="11" fillId="0" borderId="0"/>
    <xf numFmtId="320" fontId="11" fillId="0" borderId="0"/>
    <xf numFmtId="320" fontId="11" fillId="0" borderId="0"/>
    <xf numFmtId="176" fontId="11" fillId="0" borderId="0"/>
    <xf numFmtId="176" fontId="11" fillId="0" borderId="0"/>
    <xf numFmtId="176" fontId="11" fillId="0" borderId="0"/>
    <xf numFmtId="176" fontId="11" fillId="0" borderId="0"/>
    <xf numFmtId="176" fontId="11" fillId="0" borderId="0"/>
    <xf numFmtId="320" fontId="11" fillId="0" borderId="0"/>
    <xf numFmtId="185" fontId="43" fillId="100" borderId="0" applyNumberFormat="0" applyFont="0" applyBorder="0" applyAlignment="0"/>
    <xf numFmtId="1" fontId="192" fillId="0" borderId="0" applyProtection="0">
      <alignment horizontal="right" vertical="center"/>
    </xf>
    <xf numFmtId="197" fontId="193" fillId="0" borderId="0">
      <alignment horizontal="left"/>
    </xf>
    <xf numFmtId="321" fontId="46" fillId="0" borderId="0"/>
    <xf numFmtId="322" fontId="46" fillId="0" borderId="0"/>
    <xf numFmtId="166" fontId="11" fillId="0" borderId="0" applyFont="0" applyFill="0" applyBorder="0" applyAlignment="0" applyProtection="0"/>
    <xf numFmtId="168" fontId="11" fillId="0" borderId="0" applyFont="0" applyFill="0" applyBorder="0" applyAlignment="0" applyProtection="0"/>
    <xf numFmtId="175" fontId="47" fillId="0" borderId="0" applyFont="0" applyFill="0" applyBorder="0" applyAlignment="0" applyProtection="0">
      <protection locked="0"/>
    </xf>
    <xf numFmtId="10" fontId="47" fillId="0" borderId="0" applyFont="0" applyFill="0" applyBorder="0" applyAlignment="0" applyProtection="0">
      <protection locked="0"/>
    </xf>
    <xf numFmtId="10" fontId="11"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23" fontId="59" fillId="0" borderId="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0"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324" fontId="66" fillId="80" borderId="0" applyBorder="0" applyAlignment="0">
      <protection locked="0"/>
    </xf>
    <xf numFmtId="9" fontId="59" fillId="0" borderId="0"/>
    <xf numFmtId="175" fontId="59" fillId="0" borderId="0"/>
    <xf numFmtId="10" fontId="59" fillId="0" borderId="0"/>
    <xf numFmtId="325" fontId="11" fillId="0" borderId="0" applyFont="0" applyFill="0" applyBorder="0" applyAlignment="0" applyProtection="0"/>
    <xf numFmtId="326" fontId="57" fillId="0" borderId="0"/>
    <xf numFmtId="327" fontId="57" fillId="0" borderId="0"/>
    <xf numFmtId="327" fontId="59" fillId="0" borderId="0"/>
    <xf numFmtId="328" fontId="11" fillId="0" borderId="0" applyBorder="0">
      <alignment horizontal="right"/>
    </xf>
    <xf numFmtId="329" fontId="55" fillId="0" borderId="0" applyBorder="0"/>
    <xf numFmtId="10" fontId="11" fillId="50" borderId="0"/>
    <xf numFmtId="185" fontId="11" fillId="0" borderId="0">
      <protection locked="0"/>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330" fontId="9" fillId="101" borderId="6">
      <alignment vertical="center"/>
    </xf>
    <xf numFmtId="0"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172"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0" fontId="11" fillId="32" borderId="3" applyNumberFormat="0" applyProtection="0">
      <alignment horizontal="left" vertical="center" indent="1"/>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2"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2"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101" borderId="6">
      <alignment vertical="center"/>
    </xf>
    <xf numFmtId="331" fontId="26"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101" borderId="6">
      <alignment vertical="center"/>
    </xf>
    <xf numFmtId="331" fontId="26"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332" fontId="46" fillId="0" borderId="0">
      <alignment horizontal="right"/>
    </xf>
    <xf numFmtId="40" fontId="11" fillId="0" borderId="0"/>
    <xf numFmtId="1" fontId="194" fillId="46" borderId="0">
      <alignment horizontal="center"/>
    </xf>
    <xf numFmtId="185" fontId="51" fillId="0" borderId="0" applyNumberFormat="0" applyFont="0" applyFill="0" applyBorder="0" applyAlignment="0" applyProtection="0">
      <alignment horizontal="left"/>
    </xf>
    <xf numFmtId="15" fontId="51" fillId="0" borderId="0" applyFont="0" applyFill="0" applyBorder="0" applyAlignment="0" applyProtection="0"/>
    <xf numFmtId="4" fontId="51" fillId="0" borderId="0" applyFont="0" applyFill="0" applyBorder="0" applyAlignment="0" applyProtection="0"/>
    <xf numFmtId="185" fontId="195" fillId="0" borderId="17">
      <alignment horizontal="center"/>
    </xf>
    <xf numFmtId="3" fontId="51" fillId="0" borderId="0" applyFont="0" applyFill="0" applyBorder="0" applyAlignment="0" applyProtection="0"/>
    <xf numFmtId="185" fontId="51" fillId="102" borderId="0" applyNumberFormat="0" applyFont="0" applyBorder="0" applyAlignment="0" applyProtection="0"/>
    <xf numFmtId="333" fontId="46" fillId="46" borderId="0"/>
    <xf numFmtId="334" fontId="22" fillId="46" borderId="0" applyFill="0"/>
    <xf numFmtId="185" fontId="196" fillId="0" borderId="0">
      <alignment horizontal="left" indent="7"/>
    </xf>
    <xf numFmtId="185" fontId="22" fillId="0" borderId="0" applyFill="0">
      <alignment horizontal="left" indent="7"/>
    </xf>
    <xf numFmtId="334" fontId="66" fillId="0" borderId="28">
      <alignment horizontal="right"/>
    </xf>
    <xf numFmtId="185" fontId="66" fillId="0" borderId="26" applyNumberFormat="0" applyFont="0" applyBorder="0">
      <alignment horizontal="right"/>
    </xf>
    <xf numFmtId="185" fontId="197" fillId="0" borderId="0" applyFill="0"/>
    <xf numFmtId="185" fontId="66" fillId="0" borderId="0" applyFill="0"/>
    <xf numFmtId="334" fontId="19" fillId="0" borderId="28" applyFill="0"/>
    <xf numFmtId="185" fontId="11" fillId="0" borderId="0" applyNumberFormat="0" applyFont="0" applyBorder="0" applyAlignment="0"/>
    <xf numFmtId="185" fontId="198" fillId="0" borderId="0" applyFill="0">
      <alignment horizontal="left" indent="1"/>
    </xf>
    <xf numFmtId="185" fontId="19" fillId="0" borderId="0">
      <alignment horizontal="left" indent="1"/>
    </xf>
    <xf numFmtId="334" fontId="66" fillId="0" borderId="28" applyFill="0"/>
    <xf numFmtId="185" fontId="11" fillId="0" borderId="0" applyNumberFormat="0" applyFont="0" applyFill="0" applyBorder="0" applyAlignment="0"/>
    <xf numFmtId="185" fontId="197" fillId="0" borderId="0" applyFill="0">
      <alignment horizontal="left" indent="2"/>
    </xf>
    <xf numFmtId="185" fontId="66" fillId="0" borderId="0" applyFill="0">
      <alignment horizontal="left" indent="2"/>
    </xf>
    <xf numFmtId="334" fontId="19" fillId="0" borderId="28" applyFill="0"/>
    <xf numFmtId="185" fontId="11" fillId="0" borderId="0" applyNumberFormat="0" applyFont="0" applyBorder="0" applyAlignment="0"/>
    <xf numFmtId="185" fontId="198" fillId="0" borderId="0">
      <alignment horizontal="left" indent="3"/>
    </xf>
    <xf numFmtId="185" fontId="19" fillId="0" borderId="0" applyFill="0">
      <alignment horizontal="left" indent="3"/>
    </xf>
    <xf numFmtId="334" fontId="66" fillId="0" borderId="28" applyFill="0"/>
    <xf numFmtId="185" fontId="11" fillId="0" borderId="0" applyNumberFormat="0" applyFont="0" applyBorder="0" applyAlignment="0"/>
    <xf numFmtId="185" fontId="197" fillId="0" borderId="0">
      <alignment horizontal="left" indent="4"/>
    </xf>
    <xf numFmtId="185" fontId="66" fillId="0" borderId="0" applyFill="0">
      <alignment horizontal="left" indent="4"/>
    </xf>
    <xf numFmtId="334" fontId="19" fillId="0" borderId="28" applyFill="0"/>
    <xf numFmtId="185" fontId="11" fillId="0" borderId="0" applyNumberFormat="0" applyFont="0" applyBorder="0" applyAlignment="0"/>
    <xf numFmtId="185" fontId="198" fillId="0" borderId="0">
      <alignment horizontal="left" indent="5"/>
    </xf>
    <xf numFmtId="185" fontId="19" fillId="0" borderId="0" applyFill="0">
      <alignment horizontal="left" indent="5"/>
    </xf>
    <xf numFmtId="334" fontId="66" fillId="0" borderId="28" applyFill="0"/>
    <xf numFmtId="185" fontId="11" fillId="0" borderId="0" applyNumberFormat="0" applyFont="0" applyFill="0" applyBorder="0" applyAlignment="0"/>
    <xf numFmtId="185" fontId="66" fillId="0" borderId="0" applyFill="0">
      <alignment horizontal="left" indent="6"/>
    </xf>
    <xf numFmtId="335" fontId="46" fillId="46" borderId="11">
      <alignment horizontal="right"/>
    </xf>
    <xf numFmtId="0" fontId="199" fillId="0" borderId="0"/>
    <xf numFmtId="14" fontId="200" fillId="0" borderId="0" applyNumberFormat="0" applyFill="0" applyBorder="0" applyAlignment="0" applyProtection="0">
      <alignment horizontal="left"/>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2"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4"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172" fontId="26" fillId="43" borderId="26">
      <alignment vertical="center"/>
    </xf>
    <xf numFmtId="337" fontId="9" fillId="43" borderId="26">
      <alignment vertical="center"/>
    </xf>
    <xf numFmtId="172" fontId="26" fillId="43" borderId="26">
      <alignment vertical="center"/>
    </xf>
    <xf numFmtId="337" fontId="9" fillId="43" borderId="26">
      <alignment vertical="center"/>
    </xf>
    <xf numFmtId="172" fontId="26" fillId="43" borderId="26">
      <alignment vertical="center"/>
    </xf>
    <xf numFmtId="337"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43" borderId="26">
      <alignment vertical="center"/>
    </xf>
    <xf numFmtId="331" fontId="26"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43" borderId="26">
      <alignment vertical="center"/>
    </xf>
    <xf numFmtId="331" fontId="26"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176" fontId="26" fillId="38" borderId="26">
      <alignment vertical="center"/>
    </xf>
    <xf numFmtId="337" fontId="9" fillId="43" borderId="26">
      <alignment vertical="center"/>
    </xf>
    <xf numFmtId="176"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44" borderId="26">
      <alignment horizontal="right" vertical="center"/>
      <protection locked="0"/>
    </xf>
    <xf numFmtId="331" fontId="26"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44" borderId="26">
      <alignment horizontal="right" vertical="center"/>
      <protection locked="0"/>
    </xf>
    <xf numFmtId="331" fontId="26"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336" fontId="26" fillId="0" borderId="0">
      <protection locked="0"/>
    </xf>
    <xf numFmtId="338" fontId="201" fillId="0" borderId="0"/>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0"/>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3" fillId="0" borderId="46">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1" fillId="45" borderId="3" applyNumberFormat="0" applyProtection="0">
      <alignment vertical="center"/>
    </xf>
    <xf numFmtId="4" fontId="21"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1" fillId="45"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204" fillId="45" borderId="3" applyNumberFormat="0" applyProtection="0">
      <alignment vertical="center"/>
    </xf>
    <xf numFmtId="4" fontId="204" fillId="45"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204" fillId="45" borderId="3" applyNumberFormat="0" applyProtection="0">
      <alignment vertical="center"/>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205" fillId="45" borderId="3" applyNumberFormat="0" applyProtection="0">
      <alignment horizontal="left" vertical="center" indent="1"/>
    </xf>
    <xf numFmtId="4" fontId="205" fillId="45"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205" fillId="45" borderId="3" applyNumberFormat="0" applyProtection="0">
      <alignment horizontal="left" vertical="center"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4" fontId="205" fillId="103" borderId="0" applyNumberFormat="0" applyProtection="0">
      <alignment horizontal="left" vertical="center" indent="1"/>
    </xf>
    <xf numFmtId="4" fontId="205" fillId="103" borderId="0" applyNumberFormat="0" applyProtection="0">
      <alignment horizontal="left" vertical="center" indent="1"/>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5" fillId="104" borderId="3" applyNumberFormat="0" applyProtection="0">
      <alignment horizontal="right" vertical="center"/>
    </xf>
    <xf numFmtId="4" fontId="205" fillId="104"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5" fillId="104"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5" fillId="89" borderId="3" applyNumberFormat="0" applyProtection="0">
      <alignment horizontal="right" vertical="center"/>
    </xf>
    <xf numFmtId="4" fontId="205" fillId="89"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5" fillId="89"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5" fillId="86" borderId="3" applyNumberFormat="0" applyProtection="0">
      <alignment horizontal="right" vertical="center"/>
    </xf>
    <xf numFmtId="4" fontId="205" fillId="86"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5" fillId="86"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5" fillId="38" borderId="3" applyNumberFormat="0" applyProtection="0">
      <alignment horizontal="right" vertical="center"/>
    </xf>
    <xf numFmtId="4" fontId="205" fillId="38"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5" fillId="38"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5" fillId="90" borderId="3" applyNumberFormat="0" applyProtection="0">
      <alignment horizontal="right" vertical="center"/>
    </xf>
    <xf numFmtId="4" fontId="205" fillId="90"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5" fillId="90"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5" fillId="37" borderId="3" applyNumberFormat="0" applyProtection="0">
      <alignment horizontal="right" vertical="center"/>
    </xf>
    <xf numFmtId="4" fontId="205" fillId="37"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5" fillId="37"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5" fillId="91" borderId="3" applyNumberFormat="0" applyProtection="0">
      <alignment horizontal="right" vertical="center"/>
    </xf>
    <xf numFmtId="4" fontId="205" fillId="91"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5" fillId="91"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5" fillId="105" borderId="3" applyNumberFormat="0" applyProtection="0">
      <alignment horizontal="right" vertical="center"/>
    </xf>
    <xf numFmtId="4" fontId="205" fillId="105"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5" fillId="105"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5" fillId="97" borderId="3" applyNumberFormat="0" applyProtection="0">
      <alignment horizontal="right" vertical="center"/>
    </xf>
    <xf numFmtId="4" fontId="205" fillId="97"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5" fillId="97" borderId="3" applyNumberFormat="0" applyProtection="0">
      <alignment horizontal="right" vertical="center"/>
    </xf>
    <xf numFmtId="4" fontId="21" fillId="106" borderId="4" applyNumberFormat="0" applyProtection="0">
      <alignment horizontal="left" vertical="center" indent="1"/>
    </xf>
    <xf numFmtId="4" fontId="21" fillId="106" borderId="4" applyNumberFormat="0" applyProtection="0">
      <alignment horizontal="left" vertical="center" indent="1"/>
    </xf>
    <xf numFmtId="4" fontId="21" fillId="40" borderId="0" applyNumberFormat="0" applyProtection="0">
      <alignment horizontal="left" vertical="center" indent="1"/>
    </xf>
    <xf numFmtId="4" fontId="21" fillId="40" borderId="0" applyNumberFormat="0" applyProtection="0">
      <alignment horizontal="left" vertical="center" indent="1"/>
    </xf>
    <xf numFmtId="4" fontId="21" fillId="103" borderId="0" applyNumberFormat="0" applyProtection="0">
      <alignment horizontal="left" vertical="center" indent="1"/>
    </xf>
    <xf numFmtId="4" fontId="21" fillId="103" borderId="0" applyNumberFormat="0" applyProtection="0">
      <alignment horizontal="left" vertical="center" indent="1"/>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5" fillId="40" borderId="3" applyNumberFormat="0" applyProtection="0">
      <alignment horizontal="right" vertical="center"/>
    </xf>
    <xf numFmtId="4" fontId="205" fillId="40"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5" fillId="40" borderId="3" applyNumberFormat="0" applyProtection="0">
      <alignment horizontal="right" vertical="center"/>
    </xf>
    <xf numFmtId="4" fontId="20" fillId="30" borderId="0" applyNumberFormat="0" applyProtection="0">
      <alignment horizontal="left" vertical="center" indent="1"/>
    </xf>
    <xf numFmtId="4" fontId="55" fillId="30" borderId="47" applyNumberFormat="0" applyProtection="0">
      <alignment horizontal="left" vertical="center" indent="1"/>
    </xf>
    <xf numFmtId="4" fontId="20" fillId="19" borderId="0" applyNumberFormat="0" applyProtection="0">
      <alignment horizontal="left" vertical="center" indent="1"/>
    </xf>
    <xf numFmtId="4" fontId="55" fillId="19" borderId="47"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55" fillId="61" borderId="48" applyNumberFormat="0" applyProtection="0">
      <alignment horizontal="left" vertical="center"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55" fillId="31" borderId="3" applyNumberFormat="0" applyProtection="0">
      <alignment horizontal="left" vertical="top"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55" fillId="83" borderId="48" applyNumberFormat="0" applyProtection="0">
      <alignment horizontal="left" vertical="center"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55" fillId="19" borderId="3" applyNumberFormat="0" applyProtection="0">
      <alignment horizontal="left" vertical="top"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55" fillId="32" borderId="48" applyNumberFormat="0" applyProtection="0">
      <alignment horizontal="left" vertical="center"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55" fillId="32" borderId="3" applyNumberFormat="0" applyProtection="0">
      <alignment horizontal="left" vertical="top"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55" fillId="30" borderId="48" applyNumberFormat="0" applyProtection="0">
      <alignment horizontal="left" vertical="center"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55" fillId="30" borderId="3" applyNumberFormat="0" applyProtection="0">
      <alignment horizontal="left" vertical="top" indent="1"/>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55" fillId="33" borderId="49" applyNumberFormat="0">
      <protection locked="0"/>
    </xf>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5" fillId="107" borderId="3" applyNumberFormat="0" applyProtection="0">
      <alignment vertical="center"/>
    </xf>
    <xf numFmtId="4" fontId="205"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5" fillId="107"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06" fillId="107" borderId="3" applyNumberFormat="0" applyProtection="0">
      <alignment vertical="center"/>
    </xf>
    <xf numFmtId="4" fontId="206" fillId="107"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06" fillId="107" borderId="3" applyNumberFormat="0" applyProtection="0">
      <alignment vertical="center"/>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1" fillId="40" borderId="51" applyNumberFormat="0" applyProtection="0">
      <alignment horizontal="left" vertical="center" indent="1"/>
    </xf>
    <xf numFmtId="4" fontId="21" fillId="40" borderId="51"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1" fillId="40" borderId="51" applyNumberFormat="0" applyProtection="0">
      <alignment horizontal="left" vertical="center"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5" fillId="107" borderId="3" applyNumberFormat="0" applyProtection="0">
      <alignment horizontal="right" vertical="center"/>
    </xf>
    <xf numFmtId="4" fontId="205"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5" fillId="107"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6" fillId="107" borderId="3" applyNumberFormat="0" applyProtection="0">
      <alignment horizontal="right" vertical="center"/>
    </xf>
    <xf numFmtId="4" fontId="206" fillId="107"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6" fillId="107" borderId="3" applyNumberFormat="0" applyProtection="0">
      <alignment horizontal="right" vertical="center"/>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1" fillId="40" borderId="3" applyNumberFormat="0" applyProtection="0">
      <alignment horizontal="left" vertical="center" indent="1"/>
    </xf>
    <xf numFmtId="4" fontId="21" fillId="40"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1" fillId="40" borderId="3" applyNumberFormat="0" applyProtection="0">
      <alignment horizontal="left" vertical="center"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4" fontId="23" fillId="108" borderId="51" applyNumberFormat="0" applyProtection="0">
      <alignment horizontal="left" vertical="center" indent="1"/>
    </xf>
    <xf numFmtId="4" fontId="23" fillId="108" borderId="51" applyNumberFormat="0" applyProtection="0">
      <alignment horizontal="left" vertical="center" indent="1"/>
    </xf>
    <xf numFmtId="4" fontId="23" fillId="108" borderId="51" applyNumberFormat="0" applyProtection="0">
      <alignment horizontal="left" vertical="center" indent="1"/>
    </xf>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185" fontId="55" fillId="109" borderId="6"/>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07" fillId="107" borderId="3" applyNumberFormat="0" applyProtection="0">
      <alignment horizontal="right" vertical="center"/>
    </xf>
    <xf numFmtId="38" fontId="208" fillId="0" borderId="52">
      <alignment horizontal="center"/>
    </xf>
    <xf numFmtId="185" fontId="209" fillId="110" borderId="0"/>
    <xf numFmtId="185" fontId="80" fillId="0" borderId="0"/>
    <xf numFmtId="38" fontId="51" fillId="0" borderId="0" applyFont="0" applyFill="0" applyBorder="0" applyAlignment="0" applyProtection="0"/>
    <xf numFmtId="40" fontId="148" fillId="0" borderId="0" applyFont="0" applyFill="0" applyBorder="0" applyAlignment="0" applyProtection="0"/>
    <xf numFmtId="318" fontId="57" fillId="111" borderId="0" applyFont="0"/>
    <xf numFmtId="185" fontId="210" fillId="0" borderId="0"/>
    <xf numFmtId="0" fontId="11" fillId="0" borderId="0" applyNumberFormat="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1" fillId="0" borderId="0" applyNumberFormat="0" applyFont="0" applyFill="0" applyBorder="0" applyAlignment="0" applyProtection="0"/>
    <xf numFmtId="0" fontId="2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 fontId="11" fillId="0" borderId="0"/>
    <xf numFmtId="185" fontId="51" fillId="0" borderId="0">
      <alignment textRotation="90"/>
    </xf>
    <xf numFmtId="0" fontId="100" fillId="81" borderId="0" applyAlignment="0" applyProtection="0">
      <alignment horizontal="right" vertical="center"/>
    </xf>
    <xf numFmtId="195" fontId="60" fillId="0" borderId="0">
      <alignment vertical="center"/>
    </xf>
    <xf numFmtId="0" fontId="11" fillId="112" borderId="0"/>
    <xf numFmtId="339" fontId="20" fillId="0" borderId="0" applyFill="0" applyBorder="0" applyAlignment="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85" fontId="11" fillId="0" borderId="0" applyFont="0" applyFill="0" applyBorder="0" applyAlignment="0" applyProtection="0"/>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38" fontId="11" fillId="0" borderId="0" applyFont="0" applyFill="0" applyBorder="0" applyAlignment="0" applyProtection="0"/>
    <xf numFmtId="185" fontId="11" fillId="0" borderId="0">
      <alignment vertical="top"/>
    </xf>
    <xf numFmtId="185" fontId="212" fillId="50" borderId="0" applyNumberFormat="0" applyProtection="0">
      <alignment horizontal="center" vertical="center"/>
    </xf>
    <xf numFmtId="4" fontId="20" fillId="50" borderId="0" applyProtection="0">
      <alignment horizontal="center" vertical="center"/>
    </xf>
    <xf numFmtId="185" fontId="213" fillId="50" borderId="0" applyNumberFormat="0" applyProtection="0">
      <alignment horizontal="center" vertical="center"/>
    </xf>
    <xf numFmtId="4" fontId="22" fillId="50" borderId="0" applyProtection="0">
      <alignment horizontal="center" vertical="center"/>
    </xf>
    <xf numFmtId="185" fontId="214" fillId="113" borderId="0" applyNumberFormat="0" applyProtection="0">
      <alignment horizontal="center" vertical="center"/>
    </xf>
    <xf numFmtId="4" fontId="24" fillId="113" borderId="0" applyProtection="0">
      <alignment horizontal="center" vertical="center"/>
    </xf>
    <xf numFmtId="185" fontId="211" fillId="50" borderId="0" applyNumberFormat="0" applyProtection="0">
      <alignment horizontal="center" vertical="center"/>
    </xf>
    <xf numFmtId="4" fontId="215" fillId="50" borderId="0" applyProtection="0">
      <alignment horizontal="center" vertical="center"/>
    </xf>
    <xf numFmtId="185" fontId="216" fillId="114" borderId="0" applyNumberFormat="0" applyProtection="0">
      <alignment horizontal="center" vertical="center"/>
    </xf>
    <xf numFmtId="4" fontId="63" fillId="114" borderId="0" applyProtection="0">
      <alignment horizontal="center" vertical="center"/>
    </xf>
    <xf numFmtId="185" fontId="18" fillId="50" borderId="0" applyNumberFormat="0" applyProtection="0">
      <alignment horizontal="center" vertical="center" wrapText="1"/>
    </xf>
    <xf numFmtId="185" fontId="19" fillId="50" borderId="0" applyNumberFormat="0" applyProtection="0">
      <alignment horizontal="center" vertical="center" wrapText="1"/>
    </xf>
    <xf numFmtId="185" fontId="143" fillId="113" borderId="0" applyNumberFormat="0" applyProtection="0">
      <alignment horizontal="center" vertical="center" wrapText="1"/>
    </xf>
    <xf numFmtId="185" fontId="217" fillId="50" borderId="0" applyNumberFormat="0" applyProtection="0">
      <alignment horizontal="center" vertical="center" wrapText="1"/>
    </xf>
    <xf numFmtId="185" fontId="18" fillId="50" borderId="0" applyNumberFormat="0" applyProtection="0">
      <alignment horizontal="center" vertical="center" wrapText="1"/>
    </xf>
    <xf numFmtId="4" fontId="218" fillId="50" borderId="0" applyProtection="0">
      <alignment horizontal="center" vertical="top" wrapText="1"/>
    </xf>
    <xf numFmtId="185" fontId="19" fillId="50" borderId="0" applyNumberFormat="0" applyProtection="0">
      <alignment horizontal="center" vertical="center" wrapText="1"/>
    </xf>
    <xf numFmtId="4" fontId="219" fillId="50" borderId="0" applyProtection="0">
      <alignment horizontal="center" vertical="top" wrapText="1"/>
    </xf>
    <xf numFmtId="185" fontId="143" fillId="113" borderId="0" applyNumberFormat="0" applyProtection="0">
      <alignment horizontal="center" vertical="center" wrapText="1"/>
    </xf>
    <xf numFmtId="4" fontId="220" fillId="113" borderId="0" applyProtection="0">
      <alignment horizontal="center" vertical="top" wrapText="1"/>
    </xf>
    <xf numFmtId="185" fontId="217" fillId="50" borderId="0" applyNumberFormat="0" applyProtection="0">
      <alignment horizontal="center" vertical="center" wrapText="1"/>
    </xf>
    <xf numFmtId="4" fontId="221" fillId="50" borderId="0" applyProtection="0">
      <alignment horizontal="center" vertical="top" wrapText="1"/>
    </xf>
    <xf numFmtId="185" fontId="189" fillId="114" borderId="0" applyNumberFormat="0" applyProtection="0">
      <alignment horizontal="center" vertical="center" wrapText="1"/>
    </xf>
    <xf numFmtId="4" fontId="222" fillId="114" borderId="0" applyProtection="0">
      <alignment horizontal="center" vertical="top" wrapText="1"/>
    </xf>
    <xf numFmtId="185" fontId="18" fillId="104" borderId="0" applyNumberFormat="0" applyProtection="0">
      <alignment horizontal="center" vertical="center" wrapText="1"/>
    </xf>
    <xf numFmtId="4" fontId="218" fillId="104" borderId="0" applyProtection="0">
      <alignment horizontal="center" vertical="top" wrapText="1"/>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85" fontId="223" fillId="0" borderId="0"/>
    <xf numFmtId="185" fontId="224" fillId="40" borderId="0"/>
    <xf numFmtId="185" fontId="225" fillId="0" borderId="0">
      <alignment horizontal="left" vertical="center"/>
    </xf>
    <xf numFmtId="256" fontId="80" fillId="0" borderId="0"/>
    <xf numFmtId="185" fontId="109" fillId="0" borderId="0"/>
    <xf numFmtId="185" fontId="80" fillId="0" borderId="0">
      <alignment horizontal="center"/>
    </xf>
    <xf numFmtId="37" fontId="66" fillId="0" borderId="53" applyNumberFormat="0"/>
    <xf numFmtId="40" fontId="11" fillId="0" borderId="0" applyBorder="0">
      <alignment horizontal="right"/>
    </xf>
    <xf numFmtId="37" fontId="66" fillId="0" borderId="53" applyNumberFormat="0"/>
    <xf numFmtId="40" fontId="226" fillId="0" borderId="0" applyBorder="0">
      <alignment horizontal="right"/>
    </xf>
    <xf numFmtId="0" fontId="227" fillId="0" borderId="5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18" fillId="46" borderId="6">
      <protection locked="0"/>
    </xf>
    <xf numFmtId="0" fontId="218" fillId="46" borderId="6">
      <protection locked="0"/>
    </xf>
    <xf numFmtId="185" fontId="228" fillId="0" borderId="0" applyBorder="0" applyProtection="0">
      <alignment vertical="center"/>
    </xf>
    <xf numFmtId="185" fontId="228" fillId="0" borderId="9" applyBorder="0" applyProtection="0">
      <alignment horizontal="right" vertical="center"/>
    </xf>
    <xf numFmtId="185" fontId="229" fillId="115" borderId="0" applyBorder="0" applyProtection="0">
      <alignment horizontal="centerContinuous" vertical="center"/>
    </xf>
    <xf numFmtId="185" fontId="229" fillId="114" borderId="9" applyBorder="0" applyProtection="0">
      <alignment horizontal="centerContinuous" vertical="center"/>
    </xf>
    <xf numFmtId="185" fontId="230" fillId="0" borderId="0"/>
    <xf numFmtId="185" fontId="171" fillId="0" borderId="0"/>
    <xf numFmtId="185" fontId="231" fillId="0" borderId="0" applyFill="0" applyBorder="0" applyProtection="0">
      <alignment horizontal="left"/>
    </xf>
    <xf numFmtId="185" fontId="116" fillId="0" borderId="10" applyFill="0" applyBorder="0" applyProtection="0">
      <alignment horizontal="left" vertical="top"/>
    </xf>
    <xf numFmtId="185" fontId="232" fillId="0" borderId="0">
      <alignment horizontal="centerContinuous"/>
    </xf>
    <xf numFmtId="49" fontId="233" fillId="0" borderId="0"/>
    <xf numFmtId="49" fontId="43" fillId="0" borderId="0" applyFont="0" applyFill="0" applyBorder="0" applyAlignment="0" applyProtection="0"/>
    <xf numFmtId="185" fontId="234" fillId="0" borderId="0"/>
    <xf numFmtId="49" fontId="43" fillId="0" borderId="0" applyFont="0" applyFill="0" applyBorder="0" applyAlignment="0" applyProtection="0"/>
    <xf numFmtId="185" fontId="235" fillId="0" borderId="0"/>
    <xf numFmtId="0" fontId="95" fillId="83" borderId="0" applyAlignment="0" applyProtection="0"/>
    <xf numFmtId="0" fontId="55" fillId="83" borderId="0" applyAlignment="0" applyProtection="0">
      <alignment horizontal="left"/>
    </xf>
    <xf numFmtId="0" fontId="55" fillId="83" borderId="0" applyAlignment="0" applyProtection="0">
      <alignment horizontal="left" indent="1"/>
    </xf>
    <xf numFmtId="0" fontId="55" fillId="83" borderId="0" applyAlignment="0" applyProtection="0">
      <alignment horizontal="left" vertical="center" indent="2"/>
    </xf>
    <xf numFmtId="340" fontId="80" fillId="0" borderId="0" applyFont="0" applyFill="0" applyBorder="0" applyAlignment="0" applyProtection="0"/>
    <xf numFmtId="0" fontId="236" fillId="0" borderId="0">
      <alignment horizontal="center"/>
    </xf>
    <xf numFmtId="15" fontId="236" fillId="0" borderId="0">
      <alignment horizontal="center"/>
    </xf>
    <xf numFmtId="0" fontId="2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37"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237" fillId="0" borderId="0" applyNumberFormat="0" applyFill="0" applyBorder="0" applyAlignment="0" applyProtection="0"/>
    <xf numFmtId="0" fontId="11" fillId="0" borderId="0" applyNumberFormat="0" applyFont="0" applyFill="0" applyBorder="0" applyAlignment="0" applyProtection="0"/>
    <xf numFmtId="185" fontId="238" fillId="36" borderId="0">
      <alignment horizontal="right"/>
    </xf>
    <xf numFmtId="178" fontId="184" fillId="0" borderId="0"/>
    <xf numFmtId="185" fontId="239" fillId="0" borderId="0"/>
    <xf numFmtId="341" fontId="240" fillId="0" borderId="0"/>
    <xf numFmtId="197" fontId="11" fillId="0" borderId="53" applyNumberFormat="0" applyFont="0" applyFill="0" applyAlignment="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6"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241" fillId="0" borderId="56" applyNumberFormat="0" applyFill="0" applyAlignment="0" applyProtection="0"/>
    <xf numFmtId="194" fontId="241" fillId="0" borderId="56" applyNumberFormat="0" applyFill="0" applyAlignment="0" applyProtection="0"/>
    <xf numFmtId="0" fontId="11" fillId="0" borderId="0" applyNumberFormat="0" applyFont="0" applyFill="0" applyBorder="0" applyAlignment="0" applyProtection="0"/>
    <xf numFmtId="37" fontId="66" fillId="0" borderId="57" applyNumberFormat="0" applyFill="0"/>
    <xf numFmtId="316" fontId="94" fillId="0" borderId="58" applyAlignment="0"/>
    <xf numFmtId="317" fontId="94" fillId="0" borderId="58" applyAlignment="0"/>
    <xf numFmtId="178" fontId="53" fillId="0" borderId="58"/>
    <xf numFmtId="342" fontId="56" fillId="0" borderId="0" applyFont="0" applyFill="0" applyBorder="0" applyAlignment="0" applyProtection="0">
      <alignment horizontal="right"/>
    </xf>
    <xf numFmtId="185" fontId="242" fillId="0" borderId="0">
      <alignment horizontal="fill"/>
    </xf>
    <xf numFmtId="37" fontId="55" fillId="45" borderId="0" applyNumberFormat="0" applyBorder="0" applyAlignment="0" applyProtection="0"/>
    <xf numFmtId="37" fontId="55" fillId="0" borderId="0"/>
    <xf numFmtId="37" fontId="55" fillId="46" borderId="0" applyNumberFormat="0" applyBorder="0" applyAlignment="0" applyProtection="0"/>
    <xf numFmtId="3" fontId="134" fillId="0" borderId="33" applyProtection="0"/>
    <xf numFmtId="4" fontId="53" fillId="0" borderId="0">
      <protection locked="0"/>
    </xf>
    <xf numFmtId="343" fontId="194" fillId="46" borderId="10" applyBorder="0">
      <alignment horizontal="right" vertical="center"/>
      <protection locked="0"/>
    </xf>
    <xf numFmtId="185" fontId="11" fillId="0" borderId="0">
      <alignment vertical="top"/>
    </xf>
    <xf numFmtId="185" fontId="243" fillId="0" borderId="0" applyFont="0" applyFill="0" applyBorder="0" applyAlignment="0" applyProtection="0"/>
    <xf numFmtId="249" fontId="119" fillId="0" borderId="0" applyFont="0" applyFill="0" applyBorder="0" applyAlignment="0" applyProtection="0"/>
    <xf numFmtId="344" fontId="119" fillId="0" borderId="0" applyFont="0" applyFill="0" applyBorder="0" applyAlignment="0" applyProtection="0"/>
    <xf numFmtId="345" fontId="119" fillId="0" borderId="0" applyFont="0" applyFill="0" applyBorder="0" applyAlignment="0" applyProtection="0"/>
    <xf numFmtId="208" fontId="55" fillId="0" borderId="0"/>
    <xf numFmtId="185" fontId="244" fillId="0" borderId="0"/>
    <xf numFmtId="346" fontId="11" fillId="0" borderId="0" applyFont="0" applyFill="0" applyBorder="0" applyAlignment="0" applyProtection="0"/>
    <xf numFmtId="257" fontId="11" fillId="0" borderId="0" applyFont="0" applyFill="0" applyBorder="0" applyAlignment="0" applyProtection="0"/>
    <xf numFmtId="0" fontId="24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45" fillId="0" borderId="0" applyNumberFormat="0" applyFill="0" applyBorder="0" applyAlignment="0" applyProtection="0"/>
    <xf numFmtId="0" fontId="11" fillId="34" borderId="0" applyNumberFormat="0" applyFont="0" applyBorder="0" applyAlignment="0" applyProtection="0"/>
    <xf numFmtId="172" fontId="9" fillId="43" borderId="26">
      <alignment vertical="center"/>
    </xf>
    <xf numFmtId="172" fontId="9" fillId="3" borderId="26">
      <alignment vertical="center"/>
      <protection locked="0"/>
    </xf>
    <xf numFmtId="0" fontId="14" fillId="0" borderId="0"/>
    <xf numFmtId="0" fontId="30" fillId="0" borderId="0"/>
    <xf numFmtId="173" fontId="251" fillId="0" borderId="0" applyFill="0" applyBorder="0">
      <alignment vertical="center"/>
    </xf>
    <xf numFmtId="10" fontId="38" fillId="0" borderId="0" applyFont="0" applyFill="0" applyBorder="0" applyAlignment="0" applyProtection="0">
      <alignment vertical="center"/>
    </xf>
    <xf numFmtId="169" fontId="9" fillId="0" borderId="0" applyFont="0" applyFill="0" applyBorder="0" applyAlignment="0" applyProtection="0"/>
    <xf numFmtId="169" fontId="8" fillId="0" borderId="0" applyFont="0" applyFill="0" applyBorder="0" applyAlignment="0" applyProtection="0"/>
    <xf numFmtId="176" fontId="9" fillId="101" borderId="26">
      <alignment vertical="center"/>
    </xf>
    <xf numFmtId="10" fontId="38" fillId="0" borderId="0" applyFont="0" applyFill="0" applyBorder="0" applyAlignment="0" applyProtection="0">
      <alignment vertical="center"/>
    </xf>
    <xf numFmtId="349" fontId="11" fillId="0" borderId="0"/>
    <xf numFmtId="349" fontId="11" fillId="0" borderId="0"/>
    <xf numFmtId="349" fontId="14" fillId="0" borderId="0"/>
    <xf numFmtId="349" fontId="11"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4" fillId="0" borderId="0"/>
    <xf numFmtId="349" fontId="14" fillId="0" borderId="0"/>
    <xf numFmtId="349" fontId="14" fillId="0" borderId="0"/>
    <xf numFmtId="349" fontId="11" fillId="0" borderId="0"/>
    <xf numFmtId="349" fontId="14" fillId="0" borderId="0"/>
    <xf numFmtId="349" fontId="11" fillId="0" borderId="0"/>
    <xf numFmtId="349" fontId="14"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50"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50" fillId="0" borderId="0"/>
    <xf numFmtId="349" fontId="11" fillId="0" borderId="0" applyFont="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lignment vertical="center"/>
    </xf>
    <xf numFmtId="349" fontId="14" fillId="0" borderId="0"/>
    <xf numFmtId="349" fontId="14" fillId="0" borderId="0"/>
    <xf numFmtId="349" fontId="14" fillId="0" borderId="0"/>
    <xf numFmtId="349" fontId="14" fillId="0" borderId="0"/>
    <xf numFmtId="349" fontId="11" fillId="0" borderId="0">
      <alignment vertical="center"/>
    </xf>
    <xf numFmtId="349" fontId="11" fillId="0" borderId="0">
      <alignment vertical="center"/>
    </xf>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4" fillId="0" borderId="0">
      <alignment vertical="justify"/>
    </xf>
    <xf numFmtId="349" fontId="20" fillId="30" borderId="0" applyNumberFormat="0" applyBorder="0" applyAlignment="0" applyProtection="0"/>
    <xf numFmtId="349" fontId="20" fillId="30" borderId="0" applyNumberFormat="0" applyBorder="0" applyAlignment="0" applyProtection="0"/>
    <xf numFmtId="349" fontId="20" fillId="19" borderId="0" applyNumberFormat="0" applyBorder="0" applyAlignment="0" applyProtection="0"/>
    <xf numFmtId="349" fontId="20" fillId="19" borderId="0" applyNumberFormat="0" applyBorder="0" applyAlignment="0" applyProtection="0"/>
    <xf numFmtId="349" fontId="20" fillId="27" borderId="0" applyNumberFormat="0" applyBorder="0" applyAlignment="0" applyProtection="0"/>
    <xf numFmtId="349" fontId="20" fillId="27" borderId="0" applyNumberFormat="0" applyBorder="0" applyAlignment="0" applyProtection="0"/>
    <xf numFmtId="349" fontId="20" fillId="118" borderId="0" applyNumberFormat="0" applyBorder="0" applyAlignment="0" applyProtection="0"/>
    <xf numFmtId="349" fontId="20" fillId="118" borderId="0" applyNumberFormat="0" applyBorder="0" applyAlignment="0" applyProtection="0"/>
    <xf numFmtId="349" fontId="20" fillId="30" borderId="0" applyNumberFormat="0" applyBorder="0" applyAlignment="0" applyProtection="0"/>
    <xf numFmtId="349" fontId="20" fillId="30" borderId="0" applyNumberFormat="0" applyBorder="0" applyAlignment="0" applyProtection="0"/>
    <xf numFmtId="349" fontId="20" fillId="60" borderId="0" applyNumberFormat="0" applyBorder="0" applyAlignment="0" applyProtection="0"/>
    <xf numFmtId="349" fontId="20" fillId="60" borderId="0" applyNumberFormat="0" applyBorder="0" applyAlignment="0" applyProtection="0"/>
    <xf numFmtId="349" fontId="20" fillId="61" borderId="0" applyNumberFormat="0" applyBorder="0" applyAlignment="0" applyProtection="0"/>
    <xf numFmtId="349" fontId="20" fillId="61" borderId="0" applyNumberFormat="0" applyBorder="0" applyAlignment="0" applyProtection="0"/>
    <xf numFmtId="349" fontId="20" fillId="19" borderId="0" applyNumberFormat="0" applyBorder="0" applyAlignment="0" applyProtection="0"/>
    <xf numFmtId="349" fontId="20" fillId="19" borderId="0" applyNumberFormat="0" applyBorder="0" applyAlignment="0" applyProtection="0"/>
    <xf numFmtId="349" fontId="20" fillId="26" borderId="0" applyNumberFormat="0" applyBorder="0" applyAlignment="0" applyProtection="0"/>
    <xf numFmtId="349" fontId="20" fillId="26" borderId="0" applyNumberFormat="0" applyBorder="0" applyAlignment="0" applyProtection="0"/>
    <xf numFmtId="349" fontId="20" fillId="119" borderId="0" applyNumberFormat="0" applyBorder="0" applyAlignment="0" applyProtection="0"/>
    <xf numFmtId="349" fontId="20" fillId="119" borderId="0" applyNumberFormat="0" applyBorder="0" applyAlignment="0" applyProtection="0"/>
    <xf numFmtId="349" fontId="20" fillId="31" borderId="0" applyNumberFormat="0" applyBorder="0" applyAlignment="0" applyProtection="0"/>
    <xf numFmtId="349" fontId="20" fillId="31" borderId="0" applyNumberFormat="0" applyBorder="0" applyAlignment="0" applyProtection="0"/>
    <xf numFmtId="349" fontId="20" fillId="60" borderId="0" applyNumberFormat="0" applyBorder="0" applyAlignment="0" applyProtection="0"/>
    <xf numFmtId="349" fontId="20" fillId="60" borderId="0" applyNumberFormat="0" applyBorder="0" applyAlignment="0" applyProtection="0"/>
    <xf numFmtId="349" fontId="63" fillId="120" borderId="0" applyNumberFormat="0" applyBorder="0" applyAlignment="0" applyProtection="0"/>
    <xf numFmtId="349" fontId="63" fillId="120" borderId="0" applyNumberFormat="0" applyBorder="0" applyAlignment="0" applyProtection="0"/>
    <xf numFmtId="349" fontId="63" fillId="19" borderId="0" applyNumberFormat="0" applyBorder="0" applyAlignment="0" applyProtection="0"/>
    <xf numFmtId="349" fontId="63" fillId="19" borderId="0" applyNumberFormat="0" applyBorder="0" applyAlignment="0" applyProtection="0"/>
    <xf numFmtId="349" fontId="63" fillId="26" borderId="0" applyNumberFormat="0" applyBorder="0" applyAlignment="0" applyProtection="0"/>
    <xf numFmtId="349" fontId="63" fillId="26" borderId="0" applyNumberFormat="0" applyBorder="0" applyAlignment="0" applyProtection="0"/>
    <xf numFmtId="349" fontId="63" fillId="119" borderId="0" applyNumberFormat="0" applyBorder="0" applyAlignment="0" applyProtection="0"/>
    <xf numFmtId="349" fontId="63" fillId="119" borderId="0" applyNumberFormat="0" applyBorder="0" applyAlignment="0" applyProtection="0"/>
    <xf numFmtId="349" fontId="63" fillId="120" borderId="0" applyNumberFormat="0" applyBorder="0" applyAlignment="0" applyProtection="0"/>
    <xf numFmtId="349" fontId="63" fillId="120" borderId="0" applyNumberFormat="0" applyBorder="0" applyAlignment="0" applyProtection="0"/>
    <xf numFmtId="349" fontId="63" fillId="23" borderId="0" applyNumberFormat="0" applyBorder="0" applyAlignment="0" applyProtection="0"/>
    <xf numFmtId="349" fontId="63" fillId="23" borderId="0" applyNumberFormat="0" applyBorder="0" applyAlignment="0" applyProtection="0"/>
    <xf numFmtId="349" fontId="15" fillId="65" borderId="0" applyNumberFormat="0" applyBorder="0" applyAlignment="0" applyProtection="0"/>
    <xf numFmtId="349" fontId="15" fillId="12" borderId="0" applyNumberFormat="0" applyBorder="0" applyAlignment="0" applyProtection="0"/>
    <xf numFmtId="349" fontId="16" fillId="121" borderId="0" applyNumberFormat="0" applyBorder="0" applyAlignment="0" applyProtection="0"/>
    <xf numFmtId="349" fontId="16" fillId="66" borderId="0" applyNumberFormat="0" applyBorder="0" applyAlignment="0" applyProtection="0"/>
    <xf numFmtId="349" fontId="16" fillId="66" borderId="0" applyNumberFormat="0" applyBorder="0" applyAlignment="0" applyProtection="0"/>
    <xf numFmtId="349" fontId="15" fillId="68" borderId="0" applyNumberFormat="0" applyBorder="0" applyAlignment="0" applyProtection="0"/>
    <xf numFmtId="349" fontId="15" fillId="11" borderId="0" applyNumberFormat="0" applyBorder="0" applyAlignment="0" applyProtection="0"/>
    <xf numFmtId="349" fontId="16" fillId="8" borderId="0" applyNumberFormat="0" applyBorder="0" applyAlignment="0" applyProtection="0"/>
    <xf numFmtId="349" fontId="16" fillId="69" borderId="0" applyNumberFormat="0" applyBorder="0" applyAlignment="0" applyProtection="0"/>
    <xf numFmtId="349" fontId="16" fillId="69" borderId="0" applyNumberFormat="0" applyBorder="0" applyAlignment="0" applyProtection="0"/>
    <xf numFmtId="349" fontId="15" fillId="70" borderId="0" applyNumberFormat="0" applyBorder="0" applyAlignment="0" applyProtection="0"/>
    <xf numFmtId="349" fontId="15" fillId="71" borderId="0" applyNumberFormat="0" applyBorder="0" applyAlignment="0" applyProtection="0"/>
    <xf numFmtId="349" fontId="16" fillId="122" borderId="0" applyNumberFormat="0" applyBorder="0" applyAlignment="0" applyProtection="0"/>
    <xf numFmtId="349" fontId="16" fillId="123" borderId="0" applyNumberFormat="0" applyBorder="0" applyAlignment="0" applyProtection="0"/>
    <xf numFmtId="349" fontId="16" fillId="123" borderId="0" applyNumberFormat="0" applyBorder="0" applyAlignment="0" applyProtection="0"/>
    <xf numFmtId="349" fontId="15" fillId="68" borderId="0" applyNumberFormat="0" applyBorder="0" applyAlignment="0" applyProtection="0"/>
    <xf numFmtId="349" fontId="15" fillId="9" borderId="0" applyNumberFormat="0" applyBorder="0" applyAlignment="0" applyProtection="0"/>
    <xf numFmtId="349" fontId="16" fillId="11" borderId="0" applyNumberFormat="0" applyBorder="0" applyAlignment="0" applyProtection="0"/>
    <xf numFmtId="349" fontId="16" fillId="124" borderId="0" applyNumberFormat="0" applyBorder="0" applyAlignment="0" applyProtection="0"/>
    <xf numFmtId="349" fontId="16" fillId="124" borderId="0" applyNumberFormat="0" applyBorder="0" applyAlignment="0" applyProtection="0"/>
    <xf numFmtId="349" fontId="15" fillId="10" borderId="0" applyNumberFormat="0" applyBorder="0" applyAlignment="0" applyProtection="0"/>
    <xf numFmtId="349" fontId="15" fillId="5" borderId="0" applyNumberFormat="0" applyBorder="0" applyAlignment="0" applyProtection="0"/>
    <xf numFmtId="349" fontId="16" fillId="121" borderId="0" applyNumberFormat="0" applyBorder="0" applyAlignment="0" applyProtection="0"/>
    <xf numFmtId="349" fontId="16" fillId="121" borderId="0" applyNumberFormat="0" applyBorder="0" applyAlignment="0" applyProtection="0"/>
    <xf numFmtId="349" fontId="16" fillId="121" borderId="0" applyNumberFormat="0" applyBorder="0" applyAlignment="0" applyProtection="0"/>
    <xf numFmtId="349" fontId="15" fillId="13" borderId="0" applyNumberFormat="0" applyBorder="0" applyAlignment="0" applyProtection="0"/>
    <xf numFmtId="349" fontId="15" fillId="14" borderId="0" applyNumberFormat="0" applyBorder="0" applyAlignment="0" applyProtection="0"/>
    <xf numFmtId="349" fontId="16" fillId="125" borderId="0" applyNumberFormat="0" applyBorder="0" applyAlignment="0" applyProtection="0"/>
    <xf numFmtId="349" fontId="16" fillId="126" borderId="0" applyNumberFormat="0" applyBorder="0" applyAlignment="0" applyProtection="0"/>
    <xf numFmtId="349" fontId="16" fillId="126" borderId="0" applyNumberFormat="0" applyBorder="0" applyAlignment="0" applyProtection="0"/>
    <xf numFmtId="349" fontId="252" fillId="13" borderId="0" applyNumberFormat="0" applyBorder="0" applyAlignment="0" applyProtection="0"/>
    <xf numFmtId="349" fontId="252" fillId="13" borderId="0" applyNumberFormat="0" applyBorder="0" applyAlignment="0" applyProtection="0"/>
    <xf numFmtId="349" fontId="253" fillId="127" borderId="109" applyNumberFormat="0" applyAlignment="0" applyProtection="0"/>
    <xf numFmtId="349" fontId="253" fillId="127" borderId="109" applyNumberFormat="0" applyAlignment="0" applyProtection="0"/>
    <xf numFmtId="349" fontId="92" fillId="124" borderId="15" applyNumberFormat="0" applyAlignment="0" applyProtection="0"/>
    <xf numFmtId="349" fontId="92" fillId="124" borderId="15" applyNumberFormat="0" applyAlignment="0" applyProtection="0"/>
    <xf numFmtId="37" fontId="66" fillId="0" borderId="88">
      <alignment horizontal="center"/>
    </xf>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349" fontId="17" fillId="128" borderId="0" applyNumberFormat="0" applyBorder="0" applyAlignment="0" applyProtection="0"/>
    <xf numFmtId="349" fontId="17" fillId="129" borderId="0" applyNumberFormat="0" applyBorder="0" applyAlignment="0" applyProtection="0"/>
    <xf numFmtId="349" fontId="17" fillId="17" borderId="0" applyNumberFormat="0" applyBorder="0" applyAlignment="0" applyProtection="0"/>
    <xf numFmtId="349" fontId="51" fillId="0" borderId="0" applyFont="0" applyFill="0" applyBorder="0" applyAlignment="0" applyProtection="0"/>
    <xf numFmtId="349" fontId="254" fillId="0" borderId="0" applyNumberFormat="0" applyFill="0" applyBorder="0" applyAlignment="0" applyProtection="0"/>
    <xf numFmtId="349" fontId="254" fillId="0" borderId="0" applyNumberFormat="0" applyFill="0" applyBorder="0" applyAlignment="0" applyProtection="0"/>
    <xf numFmtId="349" fontId="15" fillId="71" borderId="0" applyNumberFormat="0" applyBorder="0" applyAlignment="0" applyProtection="0"/>
    <xf numFmtId="349" fontId="15" fillId="71" borderId="0" applyNumberForma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24" fillId="0" borderId="29" applyNumberFormat="0" applyFill="0" applyAlignment="0" applyProtection="0"/>
    <xf numFmtId="349" fontId="124" fillId="0" borderId="29" applyNumberFormat="0" applyFill="0" applyAlignment="0" applyProtection="0"/>
    <xf numFmtId="349" fontId="127" fillId="0" borderId="110" applyNumberFormat="0" applyFill="0" applyAlignment="0" applyProtection="0"/>
    <xf numFmtId="349" fontId="127" fillId="0" borderId="110" applyNumberFormat="0" applyFill="0" applyAlignment="0" applyProtection="0"/>
    <xf numFmtId="349" fontId="130" fillId="0" borderId="111" applyNumberFormat="0" applyFill="0" applyAlignment="0" applyProtection="0"/>
    <xf numFmtId="349" fontId="130" fillId="0" borderId="111" applyNumberFormat="0" applyFill="0" applyAlignment="0" applyProtection="0"/>
    <xf numFmtId="349" fontId="130" fillId="0" borderId="0" applyNumberFormat="0" applyFill="0" applyBorder="0" applyAlignment="0" applyProtection="0"/>
    <xf numFmtId="349" fontId="130" fillId="0" borderId="0" applyNumberFormat="0" applyFill="0" applyBorder="0" applyAlignment="0" applyProtection="0"/>
    <xf numFmtId="349" fontId="144" fillId="14" borderId="109" applyNumberFormat="0" applyAlignment="0" applyProtection="0"/>
    <xf numFmtId="349" fontId="144" fillId="14" borderId="109" applyNumberFormat="0" applyAlignment="0" applyProtection="0"/>
    <xf numFmtId="349" fontId="147" fillId="34" borderId="0"/>
    <xf numFmtId="349" fontId="120" fillId="0" borderId="112" applyNumberFormat="0" applyFill="0" applyAlignment="0" applyProtection="0"/>
    <xf numFmtId="349" fontId="120" fillId="0" borderId="112" applyNumberFormat="0" applyFill="0" applyAlignment="0" applyProtection="0"/>
    <xf numFmtId="349" fontId="120" fillId="14" borderId="0" applyNumberFormat="0" applyBorder="0" applyAlignment="0" applyProtection="0"/>
    <xf numFmtId="349" fontId="120" fillId="14" borderId="0" applyNumberFormat="0" applyBorder="0" applyAlignment="0" applyProtection="0"/>
    <xf numFmtId="349" fontId="26" fillId="0" borderId="0"/>
    <xf numFmtId="349" fontId="26" fillId="0" borderId="0"/>
    <xf numFmtId="349" fontId="26" fillId="0" borderId="0"/>
    <xf numFmtId="349" fontId="26" fillId="0" borderId="0"/>
    <xf numFmtId="349" fontId="26" fillId="0" borderId="0"/>
    <xf numFmtId="349" fontId="11" fillId="0" borderId="0"/>
    <xf numFmtId="349" fontId="11" fillId="0" borderId="0"/>
    <xf numFmtId="349" fontId="11" fillId="0" borderId="0"/>
    <xf numFmtId="349" fontId="11" fillId="0" borderId="0"/>
    <xf numFmtId="0" fontId="9" fillId="0" borderId="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5" fillId="0" borderId="0"/>
    <xf numFmtId="349" fontId="15" fillId="0" borderId="0" applyFill="0" applyBorder="0" applyAlignment="0" applyProtection="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9"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30" fillId="0" borderId="0"/>
    <xf numFmtId="349" fontId="8" fillId="0" borderId="0"/>
    <xf numFmtId="349" fontId="11"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8" fillId="0" borderId="0"/>
    <xf numFmtId="349" fontId="8" fillId="0" borderId="0"/>
    <xf numFmtId="349" fontId="8" fillId="0" borderId="0"/>
    <xf numFmtId="349" fontId="8" fillId="0" borderId="0"/>
    <xf numFmtId="349" fontId="8" fillId="0" borderId="0"/>
    <xf numFmtId="349" fontId="8"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8" fillId="0" borderId="0"/>
    <xf numFmtId="349" fontId="8"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5" fillId="0" borderId="0" applyFill="0" applyBorder="0" applyAlignment="0" applyProtection="0"/>
    <xf numFmtId="349" fontId="26"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4" fillId="0" borderId="0">
      <alignment vertical="top"/>
    </xf>
    <xf numFmtId="349" fontId="108" fillId="0" borderId="0" applyFill="0" applyBorder="0">
      <protection locked="0"/>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330" fontId="26" fillId="90" borderId="26">
      <alignment vertical="center"/>
    </xf>
    <xf numFmtId="172" fontId="26" fillId="90" borderId="26">
      <alignment vertical="center"/>
    </xf>
    <xf numFmtId="172" fontId="26" fillId="90" borderId="26">
      <alignment vertical="center"/>
    </xf>
    <xf numFmtId="349" fontId="26" fillId="90" borderId="26">
      <alignment vertical="center"/>
    </xf>
    <xf numFmtId="349" fontId="26" fillId="90" borderId="26">
      <alignment vertical="center"/>
    </xf>
    <xf numFmtId="349" fontId="26" fillId="90" borderId="26">
      <alignment vertical="center"/>
    </xf>
    <xf numFmtId="349" fontId="26" fillId="90" borderId="26">
      <alignment vertical="center"/>
    </xf>
    <xf numFmtId="176" fontId="26" fillId="90" borderId="26">
      <alignment vertical="center"/>
    </xf>
    <xf numFmtId="176" fontId="26" fillId="90" borderId="26">
      <alignment vertical="center"/>
    </xf>
    <xf numFmtId="330" fontId="26" fillId="90" borderId="26">
      <alignment vertical="center"/>
    </xf>
    <xf numFmtId="349" fontId="199" fillId="0" borderId="0"/>
    <xf numFmtId="349" fontId="26" fillId="36" borderId="26">
      <alignment vertical="center"/>
      <protection locked="0"/>
    </xf>
    <xf numFmtId="349" fontId="26" fillId="36" borderId="26">
      <alignment vertical="center"/>
      <protection locked="0"/>
    </xf>
    <xf numFmtId="349" fontId="26" fillId="36" borderId="26">
      <alignment vertical="center"/>
      <protection locked="0"/>
    </xf>
    <xf numFmtId="349" fontId="26" fillId="36" borderId="26">
      <alignment vertical="center"/>
      <protection locked="0"/>
    </xf>
    <xf numFmtId="330" fontId="26" fillId="38" borderId="26">
      <alignment vertical="center"/>
    </xf>
    <xf numFmtId="349" fontId="26" fillId="38" borderId="26">
      <alignment vertical="center"/>
    </xf>
    <xf numFmtId="349" fontId="26" fillId="38" borderId="26">
      <alignment vertical="center"/>
    </xf>
    <xf numFmtId="349" fontId="26" fillId="38" borderId="26">
      <alignment vertical="center"/>
    </xf>
    <xf numFmtId="349" fontId="26" fillId="38" borderId="26">
      <alignment vertical="center"/>
    </xf>
    <xf numFmtId="349" fontId="26" fillId="39" borderId="26">
      <alignment horizontal="right" vertical="center"/>
      <protection locked="0"/>
    </xf>
    <xf numFmtId="349" fontId="26" fillId="39" borderId="26">
      <alignment horizontal="right" vertical="center"/>
      <protection locked="0"/>
    </xf>
    <xf numFmtId="330" fontId="26" fillId="39" borderId="26">
      <alignment horizontal="right" vertical="center"/>
      <protection locked="0"/>
    </xf>
    <xf numFmtId="330" fontId="26" fillId="39" borderId="26">
      <alignment horizontal="right" vertical="center"/>
      <protection locked="0"/>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3" borderId="49" applyNumberFormat="0">
      <protection locked="0"/>
    </xf>
    <xf numFmtId="349" fontId="11" fillId="33" borderId="26"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95" fillId="31" borderId="116" applyBorder="0"/>
    <xf numFmtId="4" fontId="257" fillId="34" borderId="114" applyNumberFormat="0" applyProtection="0">
      <alignment vertical="center"/>
    </xf>
    <xf numFmtId="4" fontId="255" fillId="36" borderId="26"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349" fontId="55" fillId="109" borderId="26"/>
    <xf numFmtId="4" fontId="259" fillId="33" borderId="109" applyNumberFormat="0" applyProtection="0">
      <alignment horizontal="right" vertical="center"/>
    </xf>
    <xf numFmtId="349" fontId="25" fillId="0" borderId="0" applyNumberFormat="0" applyFill="0" applyBorder="0" applyAlignment="0" applyProtection="0"/>
    <xf numFmtId="349" fontId="11" fillId="0" borderId="0" applyFont="0" applyFill="0" applyBorder="0" applyAlignment="0" applyProtection="0"/>
    <xf numFmtId="37" fontId="66" fillId="0" borderId="117" applyNumberFormat="0"/>
    <xf numFmtId="349" fontId="227" fillId="0" borderId="54" applyNumberFormat="0" applyAlignment="0" applyProtection="0"/>
    <xf numFmtId="349" fontId="25" fillId="0" borderId="0" applyNumberFormat="0" applyFill="0" applyBorder="0" applyAlignment="0" applyProtection="0"/>
    <xf numFmtId="349" fontId="25" fillId="0" borderId="0" applyNumberFormat="0" applyFill="0" applyBorder="0" applyAlignment="0" applyProtection="0"/>
    <xf numFmtId="214" fontId="66" fillId="0" borderId="28" applyFill="0"/>
    <xf numFmtId="349" fontId="17" fillId="0" borderId="118" applyNumberFormat="0" applyFill="0" applyAlignment="0" applyProtection="0"/>
    <xf numFmtId="349" fontId="17" fillId="0" borderId="118" applyNumberFormat="0" applyFill="0" applyAlignment="0" applyProtection="0"/>
    <xf numFmtId="349" fontId="260" fillId="0" borderId="0" applyNumberFormat="0" applyFill="0" applyBorder="0" applyAlignment="0" applyProtection="0"/>
    <xf numFmtId="349" fontId="260" fillId="0" borderId="0" applyNumberFormat="0" applyFill="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0" fontId="14"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2" fontId="9" fillId="101" borderId="26">
      <alignment vertical="center"/>
    </xf>
    <xf numFmtId="176" fontId="9" fillId="101" borderId="26">
      <alignment vertical="center"/>
    </xf>
    <xf numFmtId="330" fontId="9" fillId="101" borderId="26">
      <alignment vertical="center"/>
    </xf>
    <xf numFmtId="330" fontId="9" fillId="43" borderId="26">
      <alignment vertical="center"/>
    </xf>
    <xf numFmtId="330" fontId="9" fillId="44" borderId="26">
      <alignment horizontal="right" vertical="center"/>
      <protection locked="0"/>
    </xf>
    <xf numFmtId="0" fontId="14" fillId="0" borderId="0"/>
    <xf numFmtId="0" fontId="14" fillId="0" borderId="0"/>
    <xf numFmtId="0" fontId="14" fillId="0" borderId="0"/>
    <xf numFmtId="0" fontId="14" fillId="0" borderId="0"/>
    <xf numFmtId="0" fontId="14" fillId="0" borderId="0"/>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214" fontId="66" fillId="0" borderId="28" applyFill="0"/>
    <xf numFmtId="0" fontId="14" fillId="0" borderId="0"/>
    <xf numFmtId="0" fontId="14" fillId="0" borderId="0"/>
    <xf numFmtId="169" fontId="9" fillId="0" borderId="0" applyFont="0" applyFill="0" applyBorder="0" applyAlignment="0" applyProtection="0"/>
    <xf numFmtId="0" fontId="14" fillId="0" borderId="0"/>
    <xf numFmtId="349" fontId="55" fillId="30" borderId="114" applyNumberFormat="0" applyProtection="0">
      <alignment horizontal="left" vertical="top"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5"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253" fillId="127" borderId="109" applyNumberFormat="0" applyAlignment="0" applyProtection="0"/>
    <xf numFmtId="4" fontId="55" fillId="23" borderId="109" applyNumberFormat="0" applyProtection="0">
      <alignment horizontal="right" vertical="center"/>
    </xf>
    <xf numFmtId="4" fontId="55" fillId="24" borderId="109" applyNumberFormat="0" applyProtection="0">
      <alignment horizontal="right" vertical="center"/>
    </xf>
    <xf numFmtId="349" fontId="55" fillId="83" borderId="109" applyNumberFormat="0" applyProtection="0">
      <alignment horizontal="left" vertical="center" indent="1"/>
    </xf>
    <xf numFmtId="214" fontId="66" fillId="0" borderId="28" applyFill="0"/>
    <xf numFmtId="4" fontId="55" fillId="26" borderId="109" applyNumberFormat="0" applyProtection="0">
      <alignment horizontal="right" vertical="center"/>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214" fontId="66" fillId="0" borderId="28" applyFill="0"/>
    <xf numFmtId="349" fontId="30" fillId="0" borderId="0"/>
    <xf numFmtId="349" fontId="55" fillId="30" borderId="114" applyNumberFormat="0" applyProtection="0">
      <alignment horizontal="left" vertical="top"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5"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253" fillId="127" borderId="109" applyNumberFormat="0" applyAlignment="0" applyProtection="0"/>
    <xf numFmtId="4" fontId="55" fillId="23" borderId="109" applyNumberFormat="0" applyProtection="0">
      <alignment horizontal="right" vertical="center"/>
    </xf>
    <xf numFmtId="4" fontId="55" fillId="24" borderId="109" applyNumberFormat="0" applyProtection="0">
      <alignment horizontal="right" vertical="center"/>
    </xf>
    <xf numFmtId="349" fontId="55" fillId="83" borderId="109" applyNumberFormat="0" applyProtection="0">
      <alignment horizontal="left" vertical="center" indent="1"/>
    </xf>
    <xf numFmtId="214" fontId="66" fillId="0" borderId="28" applyFill="0"/>
    <xf numFmtId="4" fontId="55" fillId="26" borderId="109" applyNumberFormat="0" applyProtection="0">
      <alignment horizontal="right" vertical="center"/>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55" fillId="32"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11" fillId="32" borderId="114" applyNumberFormat="0" applyProtection="0">
      <alignment horizontal="left" vertical="top" indent="1"/>
    </xf>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30" fillId="0" borderId="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349" fontId="95" fillId="31" borderId="116" applyBorder="0"/>
    <xf numFmtId="349" fontId="55" fillId="13" borderId="109" applyNumberFormat="0" applyFont="0" applyAlignment="0" applyProtection="0"/>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257" fillId="19" borderId="114" applyNumberFormat="0" applyProtection="0">
      <alignment horizontal="left" vertical="top" indent="1"/>
    </xf>
    <xf numFmtId="349" fontId="55" fillId="30" borderId="109" applyNumberFormat="0" applyProtection="0">
      <alignment horizontal="left" vertical="center" indent="1"/>
    </xf>
    <xf numFmtId="214" fontId="66" fillId="0" borderId="28" applyFill="0"/>
    <xf numFmtId="349" fontId="253" fillId="127" borderId="109" applyNumberFormat="0" applyAlignment="0" applyProtection="0"/>
    <xf numFmtId="349" fontId="253" fillId="127" borderId="109" applyNumberForma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169" fontId="9" fillId="0" borderId="0" applyFont="0" applyFill="0" applyBorder="0" applyAlignment="0" applyProtection="0"/>
    <xf numFmtId="349" fontId="55" fillId="30" borderId="114" applyNumberFormat="0" applyProtection="0">
      <alignment horizontal="left" vertical="top" indent="1"/>
    </xf>
    <xf numFmtId="169" fontId="8" fillId="0" borderId="0" applyFont="0" applyFill="0" applyBorder="0" applyAlignment="0" applyProtection="0"/>
    <xf numFmtId="349" fontId="95" fillId="31" borderId="116" applyBorder="0"/>
    <xf numFmtId="4" fontId="55" fillId="24" borderId="109" applyNumberFormat="0" applyProtection="0">
      <alignment horizontal="right" vertical="center"/>
    </xf>
    <xf numFmtId="349" fontId="55" fillId="13" borderId="109" applyNumberFormat="0" applyFont="0" applyAlignment="0" applyProtection="0"/>
    <xf numFmtId="4" fontId="55" fillId="19" borderId="115" applyNumberFormat="0" applyProtection="0">
      <alignment horizontal="left" vertical="center" indent="1"/>
    </xf>
    <xf numFmtId="4" fontId="55" fillId="25" borderId="109" applyNumberFormat="0" applyProtection="0">
      <alignment horizontal="right" vertical="center"/>
    </xf>
    <xf numFmtId="349" fontId="55" fillId="61" borderId="109" applyNumberFormat="0" applyProtection="0">
      <alignment horizontal="left" vertical="center" indent="1"/>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34" borderId="114" applyNumberFormat="0" applyProtection="0">
      <alignment vertical="center"/>
    </xf>
    <xf numFmtId="349" fontId="95" fillId="31" borderId="116" applyBorder="0"/>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214" fontId="66" fillId="0" borderId="28" applyFill="0"/>
    <xf numFmtId="349" fontId="55" fillId="83" borderId="109" applyNumberFormat="0" applyProtection="0">
      <alignment horizontal="left" vertical="center" indent="1"/>
    </xf>
    <xf numFmtId="4" fontId="55" fillId="23" borderId="109" applyNumberFormat="0" applyProtection="0">
      <alignment horizontal="right" vertical="center"/>
    </xf>
    <xf numFmtId="349" fontId="253" fillId="127" borderId="109" applyNumberForma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257" fillId="19"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169" fontId="15" fillId="0" borderId="0" applyFont="0" applyFill="0" applyBorder="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169" fontId="15"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31" borderId="114" applyNumberFormat="0" applyProtection="0">
      <alignment horizontal="left" vertical="top" indent="1"/>
    </xf>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4" fontId="55" fillId="0" borderId="109" applyNumberFormat="0" applyProtection="0">
      <alignment horizontal="right" vertical="center"/>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4" fontId="55" fillId="26" borderId="109" applyNumberFormat="0" applyProtection="0">
      <alignment horizontal="right" vertical="center"/>
    </xf>
    <xf numFmtId="214" fontId="66" fillId="0" borderId="28" applyFill="0"/>
    <xf numFmtId="349" fontId="55" fillId="83" borderId="109" applyNumberFormat="0" applyProtection="0">
      <alignment horizontal="left" vertical="center" indent="1"/>
    </xf>
    <xf numFmtId="4" fontId="55" fillId="24" borderId="109" applyNumberFormat="0" applyProtection="0">
      <alignment horizontal="right" vertical="center"/>
    </xf>
    <xf numFmtId="4" fontId="55" fillId="23" borderId="109" applyNumberFormat="0" applyProtection="0">
      <alignment horizontal="right" vertical="center"/>
    </xf>
    <xf numFmtId="349" fontId="253" fillId="127" borderId="109" applyNumberFormat="0" applyAlignment="0" applyProtection="0"/>
    <xf numFmtId="349" fontId="253" fillId="127" borderId="109" applyNumberForma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55" fillId="61" borderId="109" applyNumberFormat="0" applyProtection="0">
      <alignment horizontal="left" vertical="center" indent="1"/>
    </xf>
    <xf numFmtId="4" fontId="55" fillId="19" borderId="109" applyNumberFormat="0" applyProtection="0">
      <alignment horizontal="right" vertical="center"/>
    </xf>
    <xf numFmtId="4" fontId="55" fillId="28" borderId="109" applyNumberFormat="0" applyProtection="0">
      <alignment horizontal="right" vertical="center"/>
    </xf>
    <xf numFmtId="4" fontId="55" fillId="27" borderId="109" applyNumberFormat="0" applyProtection="0">
      <alignment horizontal="right" vertical="center"/>
    </xf>
    <xf numFmtId="4" fontId="55" fillId="25" borderId="109"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4" fontId="257" fillId="61" borderId="114" applyNumberFormat="0" applyProtection="0">
      <alignment horizontal="left" vertical="center" indent="1"/>
    </xf>
    <xf numFmtId="214" fontId="66" fillId="0" borderId="28" applyFill="0"/>
    <xf numFmtId="349" fontId="55" fillId="30" borderId="114" applyNumberFormat="0" applyProtection="0">
      <alignment horizontal="left" vertical="top" indent="1"/>
    </xf>
    <xf numFmtId="349" fontId="257" fillId="19" borderId="114" applyNumberFormat="0" applyProtection="0">
      <alignment horizontal="left" vertical="top"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7" borderId="109" applyNumberFormat="0" applyProtection="0">
      <alignment horizontal="right" vertical="center"/>
    </xf>
    <xf numFmtId="349" fontId="55" fillId="19" borderId="114" applyNumberFormat="0" applyProtection="0">
      <alignment horizontal="left" vertical="top" indent="1"/>
    </xf>
    <xf numFmtId="169" fontId="14" fillId="0" borderId="0" applyFont="0" applyFill="0" applyBorder="0" applyAlignment="0" applyProtection="0"/>
    <xf numFmtId="349" fontId="55" fillId="19"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4" fontId="55" fillId="64" borderId="109" applyNumberFormat="0" applyProtection="0">
      <alignment horizontal="left" vertical="center" indent="1"/>
    </xf>
    <xf numFmtId="349" fontId="55" fillId="32" borderId="114" applyNumberFormat="0" applyProtection="0">
      <alignment horizontal="left" vertical="top" indent="1"/>
    </xf>
    <xf numFmtId="349" fontId="17" fillId="0" borderId="118" applyNumberFormat="0" applyFill="0" applyAlignment="0" applyProtection="0"/>
    <xf numFmtId="349" fontId="17" fillId="0" borderId="118" applyNumberFormat="0" applyFill="0" applyAlignment="0" applyProtection="0"/>
    <xf numFmtId="4" fontId="55" fillId="28" borderId="109" applyNumberFormat="0" applyProtection="0">
      <alignment horizontal="right" vertical="center"/>
    </xf>
    <xf numFmtId="349" fontId="55" fillId="30" borderId="114" applyNumberFormat="0" applyProtection="0">
      <alignment horizontal="left" vertical="top" indent="1"/>
    </xf>
    <xf numFmtId="37" fontId="66" fillId="0" borderId="117" applyNumberFormat="0"/>
    <xf numFmtId="349" fontId="55" fillId="19" borderId="114" applyNumberFormat="0" applyProtection="0">
      <alignment horizontal="left" vertical="top" indent="1"/>
    </xf>
    <xf numFmtId="349" fontId="256" fillId="18" borderId="114" applyNumberFormat="0" applyProtection="0">
      <alignment horizontal="left" vertical="top" indent="1"/>
    </xf>
    <xf numFmtId="349" fontId="55" fillId="13" borderId="109" applyNumberFormat="0" applyFont="0" applyAlignment="0" applyProtection="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4" fontId="55" fillId="25" borderId="109" applyNumberFormat="0" applyProtection="0">
      <alignment horizontal="righ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4" fontId="55" fillId="27" borderId="109" applyNumberFormat="0" applyProtection="0">
      <alignment horizontal="right" vertical="center"/>
    </xf>
    <xf numFmtId="4" fontId="55" fillId="25" borderId="109" applyNumberFormat="0" applyProtection="0">
      <alignment horizontal="right" vertical="center"/>
    </xf>
    <xf numFmtId="349" fontId="186" fillId="127" borderId="113" applyNumberFormat="0" applyAlignment="0" applyProtection="0"/>
    <xf numFmtId="349" fontId="55" fillId="61" borderId="109" applyNumberFormat="0" applyProtection="0">
      <alignment horizontal="left" vertical="center" indent="1"/>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130" borderId="109" applyNumberFormat="0" applyProtection="0">
      <alignment horizontal="right" vertical="center"/>
    </xf>
    <xf numFmtId="349" fontId="55" fillId="13" borderId="109" applyNumberFormat="0" applyFont="0" applyAlignment="0" applyProtection="0"/>
    <xf numFmtId="4" fontId="55" fillId="22" borderId="115"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4" fontId="55" fillId="20" borderId="109" applyNumberFormat="0" applyProtection="0">
      <alignment horizontal="right" vertical="center"/>
    </xf>
    <xf numFmtId="4" fontId="55" fillId="18" borderId="109" applyNumberFormat="0" applyProtection="0">
      <alignment vertical="center"/>
    </xf>
    <xf numFmtId="4" fontId="55" fillId="24" borderId="109" applyNumberFormat="0" applyProtection="0">
      <alignment horizontal="right" vertical="center"/>
    </xf>
    <xf numFmtId="4" fontId="255" fillId="45" borderId="109" applyNumberFormat="0" applyProtection="0">
      <alignment vertical="center"/>
    </xf>
    <xf numFmtId="169" fontId="14" fillId="0" borderId="0" applyFont="0" applyFill="0" applyBorder="0" applyAlignment="0" applyProtection="0"/>
    <xf numFmtId="349" fontId="144" fillId="14" borderId="109" applyNumberFormat="0" applyAlignment="0" applyProtection="0"/>
    <xf numFmtId="349" fontId="55" fillId="61" borderId="109" applyNumberFormat="0" applyProtection="0">
      <alignment horizontal="left" vertical="center" indent="1"/>
    </xf>
    <xf numFmtId="349" fontId="55" fillId="13" borderId="109" applyNumberFormat="0" applyFont="0" applyAlignment="0" applyProtection="0"/>
    <xf numFmtId="349" fontId="144" fillId="14" borderId="109" applyNumberFormat="0" applyAlignment="0" applyProtection="0"/>
    <xf numFmtId="4" fontId="255" fillId="45" borderId="109" applyNumberFormat="0" applyProtection="0">
      <alignment vertical="center"/>
    </xf>
    <xf numFmtId="169" fontId="14" fillId="0" borderId="0" applyFont="0" applyFill="0" applyBorder="0" applyAlignment="0" applyProtection="0"/>
    <xf numFmtId="4" fontId="55" fillId="19" borderId="109" applyNumberFormat="0" applyProtection="0">
      <alignment horizontal="right" vertical="center"/>
    </xf>
    <xf numFmtId="4" fontId="55" fillId="18" borderId="109" applyNumberFormat="0" applyProtection="0">
      <alignment vertical="center"/>
    </xf>
    <xf numFmtId="4" fontId="55" fillId="18" borderId="109" applyNumberFormat="0" applyProtection="0">
      <alignment vertical="center"/>
    </xf>
    <xf numFmtId="4" fontId="55" fillId="19" borderId="109" applyNumberFormat="0" applyProtection="0">
      <alignment horizontal="right" vertical="center"/>
    </xf>
    <xf numFmtId="4" fontId="55" fillId="23"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4" fontId="55" fillId="130" borderId="109" applyNumberFormat="0" applyProtection="0">
      <alignment horizontal="right" vertical="center"/>
    </xf>
    <xf numFmtId="4" fontId="55" fillId="45" borderId="109" applyNumberFormat="0" applyProtection="0">
      <alignment horizontal="left" vertical="center" indent="1"/>
    </xf>
    <xf numFmtId="349" fontId="55" fillId="32" borderId="109" applyNumberFormat="0" applyProtection="0">
      <alignment horizontal="left" vertical="center" indent="1"/>
    </xf>
    <xf numFmtId="349" fontId="55" fillId="13" borderId="109" applyNumberFormat="0" applyFont="0" applyAlignment="0" applyProtection="0"/>
    <xf numFmtId="349" fontId="95" fillId="31" borderId="116" applyBorder="0"/>
    <xf numFmtId="349" fontId="17" fillId="0" borderId="118" applyNumberFormat="0" applyFill="0" applyAlignment="0" applyProtection="0"/>
    <xf numFmtId="169" fontId="14" fillId="0" borderId="0" applyFont="0" applyFill="0" applyBorder="0" applyAlignment="0" applyProtection="0"/>
    <xf numFmtId="349" fontId="253" fillId="127" borderId="109" applyNumberFormat="0" applyAlignment="0" applyProtection="0"/>
    <xf numFmtId="4" fontId="55" fillId="24" borderId="109" applyNumberFormat="0" applyProtection="0">
      <alignment horizontal="right" vertical="center"/>
    </xf>
    <xf numFmtId="349" fontId="55" fillId="13" borderId="109" applyNumberFormat="0" applyFon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257" fillId="19"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4" fontId="255" fillId="45" borderId="109" applyNumberFormat="0" applyProtection="0">
      <alignment vertical="center"/>
    </xf>
    <xf numFmtId="349" fontId="55" fillId="83" borderId="109" applyNumberFormat="0" applyProtection="0">
      <alignment horizontal="left" vertical="center" indent="1"/>
    </xf>
    <xf numFmtId="37" fontId="66" fillId="0" borderId="117" applyNumberFormat="0"/>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55" fillId="61" borderId="109" applyNumberFormat="0" applyProtection="0">
      <alignment horizontal="left" vertical="center" indent="1"/>
    </xf>
    <xf numFmtId="4" fontId="55" fillId="28" borderId="109" applyNumberFormat="0" applyProtection="0">
      <alignment horizontal="right" vertical="center"/>
    </xf>
    <xf numFmtId="4" fontId="55" fillId="130" borderId="109" applyNumberFormat="0" applyProtection="0">
      <alignment horizontal="right" vertical="center"/>
    </xf>
    <xf numFmtId="4" fontId="55" fillId="64" borderId="109" applyNumberFormat="0" applyProtection="0">
      <alignment horizontal="left" vertical="center" indent="1"/>
    </xf>
    <xf numFmtId="4" fontId="255" fillId="45" borderId="109" applyNumberFormat="0" applyProtection="0">
      <alignment vertical="center"/>
    </xf>
    <xf numFmtId="4" fontId="259" fillId="33" borderId="109" applyNumberFormat="0" applyProtection="0">
      <alignment horizontal="righ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169" fontId="14" fillId="0" borderId="0" applyFont="0" applyFill="0" applyBorder="0" applyAlignment="0" applyProtection="0"/>
    <xf numFmtId="4" fontId="55" fillId="64" borderId="109" applyNumberFormat="0" applyProtection="0">
      <alignment horizontal="left" vertical="center" indent="1"/>
    </xf>
    <xf numFmtId="4" fontId="257" fillId="61" borderId="114" applyNumberFormat="0" applyProtection="0">
      <alignment horizontal="left" vertical="center" indent="1"/>
    </xf>
    <xf numFmtId="4" fontId="55" fillId="26" borderId="109" applyNumberFormat="0" applyProtection="0">
      <alignment horizontal="right" vertical="center"/>
    </xf>
    <xf numFmtId="4" fontId="55" fillId="24" borderId="109" applyNumberFormat="0" applyProtection="0">
      <alignment horizontal="right" vertical="center"/>
    </xf>
    <xf numFmtId="349" fontId="253" fillId="127" borderId="109" applyNumberFormat="0" applyAlignment="0" applyProtection="0"/>
    <xf numFmtId="169" fontId="14" fillId="0" borderId="0" applyFont="0" applyFill="0" applyBorder="0" applyAlignment="0" applyProtection="0"/>
    <xf numFmtId="169" fontId="14" fillId="0" borderId="0" applyFont="0" applyFill="0" applyBorder="0" applyAlignment="0" applyProtection="0"/>
    <xf numFmtId="349" fontId="55" fillId="30" borderId="114" applyNumberFormat="0" applyProtection="0">
      <alignment horizontal="left" vertical="top" indent="1"/>
    </xf>
    <xf numFmtId="4" fontId="255" fillId="45" borderId="109" applyNumberFormat="0" applyProtection="0">
      <alignment vertical="center"/>
    </xf>
    <xf numFmtId="4" fontId="55" fillId="20" borderId="109" applyNumberFormat="0" applyProtection="0">
      <alignment horizontal="right" vertical="center"/>
    </xf>
    <xf numFmtId="349" fontId="55" fillId="61" borderId="109" applyNumberFormat="0" applyProtection="0">
      <alignment horizontal="left" vertical="center" indent="1"/>
    </xf>
    <xf numFmtId="4" fontId="55" fillId="28" borderId="109" applyNumberFormat="0" applyProtection="0">
      <alignment horizontal="right" vertical="center"/>
    </xf>
    <xf numFmtId="4" fontId="55" fillId="25" borderId="109" applyNumberFormat="0" applyProtection="0">
      <alignment horizontal="right" vertical="center"/>
    </xf>
    <xf numFmtId="4" fontId="55" fillId="130" borderId="109" applyNumberFormat="0" applyProtection="0">
      <alignment horizontal="right" vertical="center"/>
    </xf>
    <xf numFmtId="4" fontId="55" fillId="27" borderId="109" applyNumberFormat="0" applyProtection="0">
      <alignment horizontal="right" vertical="center"/>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09" applyNumberFormat="0" applyProtection="0">
      <alignment horizontal="left" vertical="center"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86" fillId="127" borderId="113" applyNumberFormat="0" applyAlignment="0" applyProtection="0"/>
    <xf numFmtId="4" fontId="55" fillId="19" borderId="109" applyNumberFormat="0" applyProtection="0">
      <alignment horizontal="right" vertical="center"/>
    </xf>
    <xf numFmtId="169" fontId="9" fillId="0" borderId="0" applyFont="0" applyFill="0" applyBorder="0" applyAlignment="0" applyProtection="0"/>
    <xf numFmtId="4" fontId="55" fillId="23" borderId="109" applyNumberFormat="0" applyProtection="0">
      <alignment horizontal="right" vertical="center"/>
    </xf>
    <xf numFmtId="349" fontId="11" fillId="19" borderId="114" applyNumberFormat="0" applyProtection="0">
      <alignment horizontal="left" vertical="top" indent="1"/>
    </xf>
    <xf numFmtId="349" fontId="144" fillId="14" borderId="109" applyNumberFormat="0" applyAlignment="0" applyProtection="0"/>
    <xf numFmtId="349" fontId="17" fillId="0" borderId="118" applyNumberFormat="0" applyFill="0" applyAlignment="0" applyProtection="0"/>
    <xf numFmtId="349" fontId="11" fillId="30" borderId="114" applyNumberFormat="0" applyProtection="0">
      <alignment horizontal="left" vertical="top" indent="1"/>
    </xf>
    <xf numFmtId="4" fontId="255" fillId="50" borderId="109" applyNumberFormat="0" applyProtection="0">
      <alignment horizontal="right" vertical="center"/>
    </xf>
    <xf numFmtId="4" fontId="55" fillId="45" borderId="109" applyNumberFormat="0" applyProtection="0">
      <alignment horizontal="left" vertical="center"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144" fillId="14" borderId="109" applyNumberFormat="0" applyAlignment="0" applyProtection="0"/>
    <xf numFmtId="349" fontId="55" fillId="13" borderId="109" applyNumberFormat="0" applyFont="0" applyAlignment="0" applyProtection="0"/>
    <xf numFmtId="349" fontId="186" fillId="127" borderId="113" applyNumberFormat="0" applyAlignment="0" applyProtection="0"/>
    <xf numFmtId="4" fontId="257" fillId="34" borderId="114" applyNumberFormat="0" applyProtection="0">
      <alignment vertical="center"/>
    </xf>
    <xf numFmtId="349" fontId="55" fillId="32" borderId="114" applyNumberFormat="0" applyProtection="0">
      <alignment horizontal="left" vertical="top" indent="1"/>
    </xf>
    <xf numFmtId="349" fontId="253" fillId="127" borderId="109" applyNumberFormat="0" applyAlignment="0" applyProtection="0"/>
    <xf numFmtId="349" fontId="55" fillId="13" borderId="109" applyNumberFormat="0" applyFont="0" applyAlignment="0" applyProtection="0"/>
    <xf numFmtId="4" fontId="55" fillId="0" borderId="109" applyNumberFormat="0" applyProtection="0">
      <alignment horizontal="right" vertical="center"/>
    </xf>
    <xf numFmtId="349" fontId="55" fillId="31"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144" fillId="14" borderId="109" applyNumberFormat="0" applyAlignment="0" applyProtection="0"/>
    <xf numFmtId="349" fontId="55" fillId="19" borderId="114" applyNumberFormat="0" applyProtection="0">
      <alignment horizontal="left" vertical="top" indent="1"/>
    </xf>
    <xf numFmtId="349" fontId="55" fillId="30" borderId="114" applyNumberFormat="0" applyProtection="0">
      <alignment horizontal="left" vertical="top" indent="1"/>
    </xf>
    <xf numFmtId="349" fontId="55" fillId="30" borderId="109" applyNumberFormat="0" applyProtection="0">
      <alignment horizontal="left" vertical="center" indent="1"/>
    </xf>
    <xf numFmtId="4" fontId="55" fillId="20" borderId="109" applyNumberFormat="0" applyProtection="0">
      <alignment horizontal="right" vertical="center"/>
    </xf>
    <xf numFmtId="4" fontId="55" fillId="0" borderId="109" applyNumberFormat="0" applyProtection="0">
      <alignment horizontal="right" vertical="center"/>
    </xf>
    <xf numFmtId="214" fontId="66" fillId="0" borderId="28" applyFill="0"/>
    <xf numFmtId="349" fontId="55" fillId="13" borderId="109" applyNumberFormat="0" applyFont="0" applyAlignment="0" applyProtection="0"/>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3" borderId="109" applyNumberFormat="0" applyFont="0" applyAlignment="0" applyProtection="0"/>
    <xf numFmtId="4" fontId="55" fillId="24" borderId="109" applyNumberFormat="0" applyProtection="0">
      <alignment horizontal="right" vertical="center"/>
    </xf>
    <xf numFmtId="349" fontId="55" fillId="32" borderId="114" applyNumberFormat="0" applyProtection="0">
      <alignment horizontal="left" vertical="top" indent="1"/>
    </xf>
    <xf numFmtId="4" fontId="55" fillId="64" borderId="109" applyNumberFormat="0" applyProtection="0">
      <alignment horizontal="left" vertical="center" indent="1"/>
    </xf>
    <xf numFmtId="349" fontId="55" fillId="31" borderId="114" applyNumberFormat="0" applyProtection="0">
      <alignment horizontal="left" vertical="top" indent="1"/>
    </xf>
    <xf numFmtId="349" fontId="253" fillId="127" borderId="109" applyNumberFormat="0" applyAlignment="0" applyProtection="0"/>
    <xf numFmtId="4" fontId="257" fillId="61" borderId="114" applyNumberFormat="0" applyProtection="0">
      <alignment horizontal="left" vertical="center" indent="1"/>
    </xf>
    <xf numFmtId="349" fontId="17" fillId="0" borderId="118" applyNumberFormat="0" applyFill="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4" fontId="55" fillId="64" borderId="109" applyNumberFormat="0" applyProtection="0">
      <alignment horizontal="left" vertical="center" indent="1"/>
    </xf>
    <xf numFmtId="349" fontId="253" fillId="127" borderId="109" applyNumberFormat="0" applyAlignment="0" applyProtection="0"/>
    <xf numFmtId="4" fontId="259" fillId="33" borderId="109" applyNumberFormat="0" applyProtection="0">
      <alignment horizontal="right" vertical="center"/>
    </xf>
    <xf numFmtId="349" fontId="95" fillId="31" borderId="116" applyBorder="0"/>
    <xf numFmtId="349" fontId="55" fillId="13" borderId="109" applyNumberFormat="0" applyFont="0" applyAlignment="0" applyProtection="0"/>
    <xf numFmtId="4" fontId="55" fillId="64" borderId="109" applyNumberFormat="0" applyProtection="0">
      <alignment horizontal="left" vertical="center"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3" borderId="109" applyNumberFormat="0" applyFont="0" applyAlignment="0" applyProtection="0"/>
    <xf numFmtId="349" fontId="186" fillId="127" borderId="113" applyNumberFormat="0" applyAlignment="0" applyProtection="0"/>
    <xf numFmtId="4" fontId="55" fillId="20" borderId="109" applyNumberFormat="0" applyProtection="0">
      <alignment horizontal="right" vertical="center"/>
    </xf>
    <xf numFmtId="349" fontId="55" fillId="31" borderId="114" applyNumberFormat="0" applyProtection="0">
      <alignment horizontal="left" vertical="top" indent="1"/>
    </xf>
    <xf numFmtId="349" fontId="95" fillId="31" borderId="116" applyBorder="0"/>
    <xf numFmtId="4" fontId="55" fillId="28" borderId="109" applyNumberFormat="0" applyProtection="0">
      <alignment horizontal="right" vertical="center"/>
    </xf>
    <xf numFmtId="349" fontId="55" fillId="31" borderId="114" applyNumberFormat="0" applyProtection="0">
      <alignment horizontal="left" vertical="top" indent="1"/>
    </xf>
    <xf numFmtId="349" fontId="55" fillId="30" borderId="114" applyNumberFormat="0" applyProtection="0">
      <alignment horizontal="left" vertical="top" indent="1"/>
    </xf>
    <xf numFmtId="4" fontId="55" fillId="26" borderId="109" applyNumberFormat="0" applyProtection="0">
      <alignment horizontal="right" vertical="center"/>
    </xf>
    <xf numFmtId="349" fontId="55" fillId="32" borderId="114" applyNumberFormat="0" applyProtection="0">
      <alignment horizontal="left" vertical="top" indent="1"/>
    </xf>
    <xf numFmtId="349" fontId="11" fillId="32" borderId="114" applyNumberFormat="0" applyProtection="0">
      <alignment horizontal="left" vertical="center" indent="1"/>
    </xf>
    <xf numFmtId="4" fontId="55" fillId="0" borderId="109" applyNumberFormat="0" applyProtection="0">
      <alignment horizontal="right" vertical="center"/>
    </xf>
    <xf numFmtId="349" fontId="55" fillId="19" borderId="114" applyNumberFormat="0" applyProtection="0">
      <alignment horizontal="left" vertical="top" indent="1"/>
    </xf>
    <xf numFmtId="349" fontId="253" fillId="127" borderId="109" applyNumberFormat="0" applyAlignment="0" applyProtection="0"/>
    <xf numFmtId="349" fontId="144" fillId="14" borderId="109" applyNumberFormat="0" applyAlignment="0" applyProtection="0"/>
    <xf numFmtId="4" fontId="55" fillId="45" borderId="109" applyNumberFormat="0" applyProtection="0">
      <alignment horizontal="left" vertical="center" indent="1"/>
    </xf>
    <xf numFmtId="4" fontId="257" fillId="61" borderId="114" applyNumberFormat="0" applyProtection="0">
      <alignment horizontal="left" vertical="center" indent="1"/>
    </xf>
    <xf numFmtId="4" fontId="55" fillId="28" borderId="109" applyNumberFormat="0" applyProtection="0">
      <alignment horizontal="right" vertical="center"/>
    </xf>
    <xf numFmtId="4" fontId="255" fillId="50" borderId="109" applyNumberFormat="0" applyProtection="0">
      <alignment horizontal="right" vertical="center"/>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259" fillId="33" borderId="109" applyNumberFormat="0" applyProtection="0">
      <alignment horizontal="right" vertical="center"/>
    </xf>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0" borderId="109" applyNumberFormat="0" applyProtection="0">
      <alignment horizontal="right" vertical="center"/>
    </xf>
    <xf numFmtId="169" fontId="14" fillId="0" borderId="0" applyFont="0" applyFill="0" applyBorder="0" applyAlignment="0" applyProtection="0"/>
    <xf numFmtId="349" fontId="55" fillId="13" borderId="109" applyNumberFormat="0" applyFont="0" applyAlignment="0" applyProtection="0"/>
    <xf numFmtId="349" fontId="253" fillId="127" borderId="109" applyNumberFormat="0" applyAlignment="0" applyProtection="0"/>
    <xf numFmtId="349" fontId="257" fillId="34" borderId="114" applyNumberFormat="0" applyProtection="0">
      <alignment horizontal="left" vertical="top" indent="1"/>
    </xf>
    <xf numFmtId="349" fontId="11" fillId="30" borderId="114" applyNumberFormat="0" applyProtection="0">
      <alignment horizontal="left" vertical="center" indent="1"/>
    </xf>
    <xf numFmtId="4" fontId="259" fillId="33" borderId="109" applyNumberFormat="0" applyProtection="0">
      <alignment horizontal="right" vertical="center"/>
    </xf>
    <xf numFmtId="349" fontId="55" fillId="30" borderId="109" applyNumberFormat="0" applyProtection="0">
      <alignment horizontal="left" vertical="center" indent="1"/>
    </xf>
    <xf numFmtId="349" fontId="55" fillId="83" borderId="109" applyNumberFormat="0" applyProtection="0">
      <alignment horizontal="left" vertical="center" indent="1"/>
    </xf>
    <xf numFmtId="4" fontId="55" fillId="20" borderId="109" applyNumberFormat="0" applyProtection="0">
      <alignment horizontal="right" vertical="center"/>
    </xf>
    <xf numFmtId="349" fontId="55" fillId="19" borderId="114" applyNumberFormat="0" applyProtection="0">
      <alignment horizontal="left" vertical="top" indent="1"/>
    </xf>
    <xf numFmtId="349" fontId="55" fillId="83" borderId="109" applyNumberFormat="0" applyProtection="0">
      <alignment horizontal="left" vertical="center" indent="1"/>
    </xf>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49" fontId="55" fillId="13" borderId="109" applyNumberFormat="0" applyFont="0" applyAlignment="0" applyProtection="0"/>
    <xf numFmtId="4" fontId="55" fillId="23" borderId="109" applyNumberFormat="0" applyProtection="0">
      <alignment horizontal="right" vertical="center"/>
    </xf>
    <xf numFmtId="349" fontId="55" fillId="32" borderId="109" applyNumberFormat="0" applyProtection="0">
      <alignment horizontal="left" vertical="center" indent="1"/>
    </xf>
    <xf numFmtId="349" fontId="55" fillId="30" borderId="114" applyNumberFormat="0" applyProtection="0">
      <alignment horizontal="left" vertical="top" indent="1"/>
    </xf>
    <xf numFmtId="4" fontId="55" fillId="19" borderId="109" applyNumberFormat="0" applyProtection="0">
      <alignment horizontal="right" vertical="center"/>
    </xf>
    <xf numFmtId="349" fontId="257" fillId="34"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7" fontId="66" fillId="0" borderId="117" applyNumberFormat="0"/>
    <xf numFmtId="349" fontId="55" fillId="19"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253" fillId="127" borderId="109" applyNumberFormat="0" applyAlignment="0" applyProtection="0"/>
    <xf numFmtId="349" fontId="55" fillId="31" borderId="114" applyNumberFormat="0" applyProtection="0">
      <alignment horizontal="left" vertical="top" indent="1"/>
    </xf>
    <xf numFmtId="349" fontId="55" fillId="32" borderId="114" applyNumberFormat="0" applyProtection="0">
      <alignment horizontal="left" vertical="top" indent="1"/>
    </xf>
    <xf numFmtId="4" fontId="257" fillId="34" borderId="114" applyNumberFormat="0" applyProtection="0">
      <alignment vertical="center"/>
    </xf>
    <xf numFmtId="37" fontId="66" fillId="0" borderId="117" applyNumberFormat="0"/>
    <xf numFmtId="349" fontId="55" fillId="13" borderId="109" applyNumberFormat="0" applyFont="0" applyAlignment="0" applyProtection="0"/>
    <xf numFmtId="349" fontId="55" fillId="31" borderId="114" applyNumberFormat="0" applyProtection="0">
      <alignment horizontal="left" vertical="top" indent="1"/>
    </xf>
    <xf numFmtId="4" fontId="55" fillId="20" borderId="109" applyNumberFormat="0" applyProtection="0">
      <alignment horizontal="right" vertical="center"/>
    </xf>
    <xf numFmtId="349" fontId="144" fillId="14" borderId="109" applyNumberFormat="0" applyAlignment="0" applyProtection="0"/>
    <xf numFmtId="4" fontId="255" fillId="50" borderId="109" applyNumberFormat="0" applyProtection="0">
      <alignment horizontal="right" vertical="center"/>
    </xf>
    <xf numFmtId="349" fontId="55" fillId="31" borderId="114" applyNumberFormat="0" applyProtection="0">
      <alignment horizontal="left" vertical="top" indent="1"/>
    </xf>
    <xf numFmtId="4" fontId="258" fillId="35" borderId="115"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4" fontId="55" fillId="30" borderId="115" applyNumberFormat="0" applyProtection="0">
      <alignment horizontal="left" vertical="center" indent="1"/>
    </xf>
    <xf numFmtId="349" fontId="257" fillId="34" borderId="114" applyNumberFormat="0" applyProtection="0">
      <alignment horizontal="left" vertical="top" indent="1"/>
    </xf>
    <xf numFmtId="349" fontId="55" fillId="31" borderId="114" applyNumberFormat="0" applyProtection="0">
      <alignment horizontal="left" vertical="top" indent="1"/>
    </xf>
    <xf numFmtId="4" fontId="55" fillId="18" borderId="109" applyNumberFormat="0" applyProtection="0">
      <alignment vertical="center"/>
    </xf>
    <xf numFmtId="4" fontId="55" fillId="64" borderId="109" applyNumberFormat="0" applyProtection="0">
      <alignment horizontal="left" vertical="center" indent="1"/>
    </xf>
    <xf numFmtId="4" fontId="11" fillId="31" borderId="115" applyNumberFormat="0" applyProtection="0">
      <alignment horizontal="left" vertical="center" indent="1"/>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0" borderId="114" applyNumberFormat="0" applyProtection="0">
      <alignment horizontal="left" vertical="top" indent="1"/>
    </xf>
    <xf numFmtId="4" fontId="257" fillId="61" borderId="114" applyNumberFormat="0" applyProtection="0">
      <alignment horizontal="left" vertical="center" indent="1"/>
    </xf>
    <xf numFmtId="4" fontId="255" fillId="50" borderId="109" applyNumberFormat="0" applyProtection="0">
      <alignment horizontal="right" vertical="center"/>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55" fillId="32"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11" fillId="32" borderId="114" applyNumberFormat="0" applyProtection="0">
      <alignment horizontal="left" vertical="top" indent="1"/>
    </xf>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349" fontId="95" fillId="31" borderId="116" applyBorder="0"/>
    <xf numFmtId="349" fontId="55" fillId="13" borderId="109" applyNumberFormat="0" applyFont="0" applyAlignment="0" applyProtection="0"/>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top" indent="1"/>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37" fontId="66" fillId="0" borderId="117" applyNumberFormat="0"/>
    <xf numFmtId="349" fontId="17" fillId="0" borderId="118" applyNumberFormat="0" applyFill="0" applyAlignment="0" applyProtection="0"/>
    <xf numFmtId="349" fontId="55" fillId="32" borderId="114" applyNumberFormat="0" applyProtection="0">
      <alignment horizontal="left" vertical="top" indent="1"/>
    </xf>
    <xf numFmtId="349" fontId="55" fillId="19" borderId="114" applyNumberFormat="0" applyProtection="0">
      <alignment horizontal="left" vertical="top" indent="1"/>
    </xf>
    <xf numFmtId="4" fontId="55" fillId="23" borderId="109" applyNumberFormat="0" applyProtection="0">
      <alignment horizontal="right" vertical="center"/>
    </xf>
    <xf numFmtId="349" fontId="55" fillId="83"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55" fillId="30" borderId="109" applyNumberFormat="0" applyProtection="0">
      <alignment horizontal="left" vertical="center" indent="1"/>
    </xf>
    <xf numFmtId="214" fontId="66" fillId="0" borderId="28" applyFill="0"/>
    <xf numFmtId="4" fontId="257" fillId="34" borderId="114" applyNumberFormat="0" applyProtection="0">
      <alignment vertical="center"/>
    </xf>
    <xf numFmtId="349" fontId="17" fillId="0" borderId="118" applyNumberFormat="0" applyFill="0" applyAlignment="0" applyProtection="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18" borderId="109" applyNumberFormat="0" applyProtection="0">
      <alignmen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1" fillId="30" borderId="114" applyNumberFormat="0" applyProtection="0">
      <alignment horizontal="left" vertical="center" indent="1"/>
    </xf>
    <xf numFmtId="349" fontId="253" fillId="127" borderId="109" applyNumberFormat="0" applyAlignment="0" applyProtection="0"/>
    <xf numFmtId="349" fontId="55" fillId="30" borderId="109" applyNumberFormat="0" applyProtection="0">
      <alignment horizontal="left" vertical="center" indent="1"/>
    </xf>
    <xf numFmtId="349" fontId="55" fillId="32" borderId="114" applyNumberFormat="0" applyProtection="0">
      <alignment horizontal="left" vertical="top" indent="1"/>
    </xf>
    <xf numFmtId="37" fontId="66" fillId="0" borderId="117" applyNumberFormat="0"/>
    <xf numFmtId="349" fontId="55" fillId="13" borderId="109" applyNumberFormat="0" applyFont="0" applyAlignment="0" applyProtection="0"/>
    <xf numFmtId="4" fontId="258" fillId="35" borderId="115" applyNumberFormat="0" applyProtection="0">
      <alignment horizontal="left" vertical="center" indent="1"/>
    </xf>
    <xf numFmtId="169" fontId="14" fillId="0" borderId="0" applyFont="0" applyFill="0" applyBorder="0" applyAlignment="0" applyProtection="0"/>
    <xf numFmtId="349" fontId="55" fillId="13" borderId="109" applyNumberFormat="0" applyFont="0" applyAlignment="0" applyProtection="0"/>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4" fontId="257" fillId="34" borderId="114" applyNumberFormat="0" applyProtection="0">
      <alignment vertical="center"/>
    </xf>
    <xf numFmtId="4" fontId="259" fillId="33" borderId="109" applyNumberFormat="0" applyProtection="0">
      <alignment horizontal="right" vertical="center"/>
    </xf>
    <xf numFmtId="349" fontId="17" fillId="0" borderId="118" applyNumberFormat="0" applyFill="0" applyAlignment="0" applyProtection="0"/>
    <xf numFmtId="349" fontId="11" fillId="30" borderId="114" applyNumberFormat="0" applyProtection="0">
      <alignment horizontal="left" vertical="top" indent="1"/>
    </xf>
    <xf numFmtId="4" fontId="55" fillId="26" borderId="109" applyNumberFormat="0" applyProtection="0">
      <alignment horizontal="right" vertical="center"/>
    </xf>
    <xf numFmtId="4" fontId="259" fillId="33" borderId="109" applyNumberFormat="0" applyProtection="0">
      <alignment horizontal="right" vertical="center"/>
    </xf>
    <xf numFmtId="349" fontId="17" fillId="0" borderId="118" applyNumberFormat="0" applyFill="0" applyAlignment="0" applyProtection="0"/>
    <xf numFmtId="349" fontId="11" fillId="30" borderId="114" applyNumberFormat="0" applyProtection="0">
      <alignment horizontal="left" vertical="center" indent="1"/>
    </xf>
    <xf numFmtId="349" fontId="55" fillId="19" borderId="114" applyNumberFormat="0" applyProtection="0">
      <alignment horizontal="left" vertical="top" indent="1"/>
    </xf>
    <xf numFmtId="349" fontId="253" fillId="127" borderId="109" applyNumberFormat="0" applyAlignment="0" applyProtection="0"/>
    <xf numFmtId="4" fontId="55" fillId="24" borderId="109" applyNumberFormat="0" applyProtection="0">
      <alignment horizontal="right" vertical="center"/>
    </xf>
    <xf numFmtId="214" fontId="66" fillId="0" borderId="28" applyFill="0"/>
    <xf numFmtId="349" fontId="55" fillId="13" borderId="109" applyNumberFormat="0" applyFont="0" applyAlignment="0" applyProtection="0"/>
    <xf numFmtId="349" fontId="257" fillId="34" borderId="114" applyNumberFormat="0" applyProtection="0">
      <alignment horizontal="left" vertical="top" indent="1"/>
    </xf>
    <xf numFmtId="4" fontId="257" fillId="34" borderId="114" applyNumberFormat="0" applyProtection="0">
      <alignment vertical="center"/>
    </xf>
    <xf numFmtId="349" fontId="55" fillId="13" borderId="109" applyNumberFormat="0" applyFont="0" applyAlignment="0" applyProtection="0"/>
    <xf numFmtId="349" fontId="55" fillId="13" borderId="109" applyNumberFormat="0" applyFont="0" applyAlignment="0" applyProtection="0"/>
    <xf numFmtId="349" fontId="256" fillId="18" borderId="114" applyNumberFormat="0" applyProtection="0">
      <alignment horizontal="left" vertical="top" indent="1"/>
    </xf>
    <xf numFmtId="4" fontId="55" fillId="25" borderId="109" applyNumberFormat="0" applyProtection="0">
      <alignment horizontal="right" vertical="center"/>
    </xf>
    <xf numFmtId="4" fontId="55" fillId="19" borderId="109" applyNumberFormat="0" applyProtection="0">
      <alignment horizontal="right" vertical="center"/>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144" fillId="14" borderId="109" applyNumberFormat="0" applyAlignment="0" applyProtection="0"/>
    <xf numFmtId="37" fontId="66" fillId="0" borderId="117" applyNumberFormat="0"/>
    <xf numFmtId="349" fontId="55" fillId="30" borderId="109"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4" fontId="55" fillId="29" borderId="115" applyNumberFormat="0" applyProtection="0">
      <alignment horizontal="left" vertical="center" indent="1"/>
    </xf>
    <xf numFmtId="349" fontId="144" fillId="14" borderId="109" applyNumberFormat="0" applyAlignment="0" applyProtection="0"/>
    <xf numFmtId="4" fontId="255" fillId="50" borderId="109" applyNumberFormat="0" applyProtection="0">
      <alignment horizontal="right" vertical="center"/>
    </xf>
    <xf numFmtId="4" fontId="257" fillId="34" borderId="114" applyNumberFormat="0" applyProtection="0">
      <alignment vertical="center"/>
    </xf>
    <xf numFmtId="349" fontId="55" fillId="30" borderId="114" applyNumberFormat="0" applyProtection="0">
      <alignment horizontal="left" vertical="top" indent="1"/>
    </xf>
    <xf numFmtId="4" fontId="257" fillId="61" borderId="114" applyNumberFormat="0" applyProtection="0">
      <alignment horizontal="left" vertical="center" indent="1"/>
    </xf>
    <xf numFmtId="349" fontId="11" fillId="30" borderId="114" applyNumberFormat="0" applyProtection="0">
      <alignment horizontal="left" vertical="center" indent="1"/>
    </xf>
    <xf numFmtId="4" fontId="55" fillId="64" borderId="109" applyNumberFormat="0" applyProtection="0">
      <alignment horizontal="left" vertical="center" indent="1"/>
    </xf>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4" fontId="55" fillId="27" borderId="109" applyNumberFormat="0" applyProtection="0">
      <alignment horizontal="right" vertical="center"/>
    </xf>
    <xf numFmtId="4" fontId="55" fillId="30" borderId="115" applyNumberFormat="0" applyProtection="0">
      <alignment horizontal="left" vertical="center" indent="1"/>
    </xf>
    <xf numFmtId="4" fontId="55" fillId="64" borderId="109" applyNumberFormat="0" applyProtection="0">
      <alignment horizontal="left" vertical="center" indent="1"/>
    </xf>
    <xf numFmtId="4" fontId="55" fillId="27" borderId="109" applyNumberFormat="0" applyProtection="0">
      <alignment horizontal="right" vertical="center"/>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25" borderId="109" applyNumberFormat="0" applyProtection="0">
      <alignment horizontal="right" vertical="center"/>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169" fontId="14" fillId="0" borderId="0" applyFont="0" applyFill="0" applyBorder="0" applyAlignment="0" applyProtection="0"/>
    <xf numFmtId="4" fontId="55" fillId="23" borderId="109" applyNumberFormat="0" applyProtection="0">
      <alignment horizontal="right" vertical="center"/>
    </xf>
    <xf numFmtId="169" fontId="14" fillId="0" borderId="0" applyFont="0" applyFill="0" applyBorder="0" applyAlignment="0" applyProtection="0"/>
    <xf numFmtId="349" fontId="55" fillId="13" borderId="109" applyNumberFormat="0" applyFont="0" applyAlignment="0" applyProtection="0"/>
    <xf numFmtId="4" fontId="55" fillId="18" borderId="109" applyNumberFormat="0" applyProtection="0">
      <alignment vertical="center"/>
    </xf>
    <xf numFmtId="4" fontId="255" fillId="45" borderId="109" applyNumberFormat="0" applyProtection="0">
      <alignment vertical="center"/>
    </xf>
    <xf numFmtId="4" fontId="55" fillId="25" borderId="109" applyNumberFormat="0" applyProtection="0">
      <alignment horizontal="right" vertical="center"/>
    </xf>
    <xf numFmtId="4" fontId="55" fillId="29" borderId="115" applyNumberFormat="0" applyProtection="0">
      <alignment horizontal="left" vertical="center" indent="1"/>
    </xf>
    <xf numFmtId="4" fontId="55" fillId="130"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214" fontId="66" fillId="0" borderId="28" applyFill="0"/>
    <xf numFmtId="349" fontId="55" fillId="32" borderId="114" applyNumberFormat="0" applyProtection="0">
      <alignment horizontal="left" vertical="top" indent="1"/>
    </xf>
    <xf numFmtId="4" fontId="55" fillId="19"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186" fillId="127" borderId="113" applyNumberFormat="0" applyAlignment="0" applyProtection="0"/>
    <xf numFmtId="349" fontId="55" fillId="61" borderId="109"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4" fontId="55" fillId="27" borderId="109" applyNumberFormat="0" applyProtection="0">
      <alignment horizontal="right" vertical="center"/>
    </xf>
    <xf numFmtId="349" fontId="256" fillId="18" borderId="114" applyNumberFormat="0" applyProtection="0">
      <alignment horizontal="left" vertical="top" indent="1"/>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130" borderId="109" applyNumberFormat="0" applyProtection="0">
      <alignment horizontal="right" vertical="center"/>
    </xf>
    <xf numFmtId="4" fontId="55" fillId="45" borderId="109" applyNumberFormat="0" applyProtection="0">
      <alignment horizontal="left" vertical="center" indent="1"/>
    </xf>
    <xf numFmtId="4" fontId="11" fillId="31" borderId="115" applyNumberFormat="0" applyProtection="0">
      <alignment horizontal="left" vertical="center" indent="1"/>
    </xf>
    <xf numFmtId="4" fontId="55" fillId="25" borderId="109" applyNumberFormat="0" applyProtection="0">
      <alignment horizontal="right" vertical="center"/>
    </xf>
    <xf numFmtId="4" fontId="55" fillId="23" borderId="109" applyNumberFormat="0" applyProtection="0">
      <alignment horizontal="right" vertical="center"/>
    </xf>
    <xf numFmtId="349" fontId="55" fillId="31"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4" fontId="55" fillId="0" borderId="109" applyNumberFormat="0" applyProtection="0">
      <alignment horizontal="right" vertical="center"/>
    </xf>
    <xf numFmtId="349" fontId="17" fillId="0" borderId="118" applyNumberFormat="0" applyFill="0" applyAlignment="0" applyProtection="0"/>
    <xf numFmtId="349" fontId="95" fillId="31" borderId="116" applyBorder="0"/>
    <xf numFmtId="349" fontId="55" fillId="30" borderId="114" applyNumberFormat="0" applyProtection="0">
      <alignment horizontal="left" vertical="top" indent="1"/>
    </xf>
    <xf numFmtId="349" fontId="55" fillId="30" borderId="114" applyNumberFormat="0" applyProtection="0">
      <alignment horizontal="left" vertical="top" indent="1"/>
    </xf>
    <xf numFmtId="214" fontId="66" fillId="0" borderId="28" applyFill="0"/>
    <xf numFmtId="349" fontId="55" fillId="30" borderId="114" applyNumberFormat="0" applyProtection="0">
      <alignment horizontal="left" vertical="top" indent="1"/>
    </xf>
    <xf numFmtId="4" fontId="55" fillId="27" borderId="109" applyNumberFormat="0" applyProtection="0">
      <alignment horizontal="right" vertical="center"/>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144" fillId="14" borderId="109" applyNumberFormat="0" applyAlignment="0" applyProtection="0"/>
    <xf numFmtId="349" fontId="11" fillId="32" borderId="114" applyNumberFormat="0" applyProtection="0">
      <alignment horizontal="left" vertical="top" indent="1"/>
    </xf>
    <xf numFmtId="349" fontId="144" fillId="14" borderId="109" applyNumberFormat="0" applyAlignment="0" applyProtection="0"/>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55" fillId="19" borderId="115" applyNumberFormat="0" applyProtection="0">
      <alignment horizontal="left" vertical="center" indent="1"/>
    </xf>
    <xf numFmtId="4" fontId="55" fillId="27" borderId="109" applyNumberFormat="0" applyProtection="0">
      <alignment horizontal="right" vertical="center"/>
    </xf>
    <xf numFmtId="4" fontId="55" fillId="20"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2" borderId="109" applyNumberFormat="0" applyProtection="0">
      <alignment horizontal="left" vertical="center" indent="1"/>
    </xf>
    <xf numFmtId="4" fontId="55" fillId="130" borderId="109" applyNumberFormat="0" applyProtection="0">
      <alignment horizontal="right" vertical="center"/>
    </xf>
    <xf numFmtId="349" fontId="55" fillId="30" borderId="114" applyNumberFormat="0" applyProtection="0">
      <alignment horizontal="left" vertical="top" indent="1"/>
    </xf>
    <xf numFmtId="4" fontId="55" fillId="30" borderId="115" applyNumberFormat="0" applyProtection="0">
      <alignment horizontal="left" vertical="center"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257" fillId="19" borderId="114" applyNumberFormat="0" applyProtection="0">
      <alignment horizontal="left" vertical="top" indent="1"/>
    </xf>
    <xf numFmtId="4" fontId="55" fillId="0" borderId="109" applyNumberFormat="0" applyProtection="0">
      <alignment horizontal="right" vertical="center"/>
    </xf>
    <xf numFmtId="349" fontId="11" fillId="32" borderId="114" applyNumberFormat="0" applyProtection="0">
      <alignment horizontal="left" vertical="top" indent="1"/>
    </xf>
    <xf numFmtId="37" fontId="66" fillId="0" borderId="117" applyNumberFormat="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19" borderId="115" applyNumberFormat="0" applyProtection="0">
      <alignment horizontal="left" vertical="center" indent="1"/>
    </xf>
    <xf numFmtId="4" fontId="55" fillId="22" borderId="115" applyNumberFormat="0" applyProtection="0">
      <alignment horizontal="right" vertical="center"/>
    </xf>
    <xf numFmtId="349" fontId="253" fillId="127" borderId="109" applyNumberFormat="0" applyAlignment="0" applyProtection="0"/>
    <xf numFmtId="349" fontId="55" fillId="32"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19" borderId="114" applyNumberFormat="0" applyProtection="0">
      <alignment horizontal="left" vertical="top" indent="1"/>
    </xf>
    <xf numFmtId="349" fontId="11" fillId="31" borderId="114" applyNumberFormat="0" applyProtection="0">
      <alignment horizontal="left" vertical="center"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4" fontId="55" fillId="0" borderId="109" applyNumberFormat="0" applyProtection="0">
      <alignment horizontal="right" vertical="center"/>
    </xf>
    <xf numFmtId="349" fontId="55" fillId="13" borderId="109" applyNumberFormat="0" applyFont="0" applyAlignment="0" applyProtection="0"/>
    <xf numFmtId="4" fontId="55" fillId="23" borderId="109" applyNumberFormat="0" applyProtection="0">
      <alignment horizontal="right" vertical="center"/>
    </xf>
    <xf numFmtId="4" fontId="55" fillId="23" borderId="109" applyNumberFormat="0" applyProtection="0">
      <alignment horizontal="right" vertical="center"/>
    </xf>
    <xf numFmtId="4" fontId="55" fillId="28" borderId="109" applyNumberFormat="0" applyProtection="0">
      <alignment horizontal="right" vertical="center"/>
    </xf>
    <xf numFmtId="349" fontId="55" fillId="61"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9" fillId="33" borderId="109" applyNumberFormat="0" applyProtection="0">
      <alignment horizontal="right" vertical="center"/>
    </xf>
    <xf numFmtId="4" fontId="55" fillId="64" borderId="109" applyNumberFormat="0" applyProtection="0">
      <alignment horizontal="left" vertical="center"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19" borderId="109" applyNumberFormat="0" applyProtection="0">
      <alignment horizontal="right" vertical="center"/>
    </xf>
    <xf numFmtId="4" fontId="55" fillId="20" borderId="109" applyNumberFormat="0" applyProtection="0">
      <alignment horizontal="right" vertical="center"/>
    </xf>
    <xf numFmtId="349" fontId="55" fillId="30" borderId="114" applyNumberFormat="0" applyProtection="0">
      <alignment horizontal="left" vertical="top" indent="1"/>
    </xf>
    <xf numFmtId="349" fontId="55" fillId="31"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4" fontId="55" fillId="64" borderId="109" applyNumberFormat="0" applyProtection="0">
      <alignment horizontal="left" vertical="center" indent="1"/>
    </xf>
    <xf numFmtId="349" fontId="55" fillId="30" borderId="114" applyNumberFormat="0" applyProtection="0">
      <alignment horizontal="left" vertical="top" indent="1"/>
    </xf>
    <xf numFmtId="349" fontId="55" fillId="19" borderId="114" applyNumberFormat="0" applyProtection="0">
      <alignment horizontal="left" vertical="top" indent="1"/>
    </xf>
    <xf numFmtId="4" fontId="11" fillId="31" borderId="115" applyNumberFormat="0" applyProtection="0">
      <alignment horizontal="left" vertical="center" indent="1"/>
    </xf>
    <xf numFmtId="349" fontId="186" fillId="127" borderId="113" applyNumberFormat="0" applyAlignment="0" applyProtection="0"/>
    <xf numFmtId="169" fontId="14" fillId="0" borderId="0" applyFont="0" applyFill="0" applyBorder="0" applyAlignment="0" applyProtection="0"/>
    <xf numFmtId="349" fontId="256" fillId="18" borderId="114" applyNumberFormat="0" applyProtection="0">
      <alignment horizontal="left" vertical="top" indent="1"/>
    </xf>
    <xf numFmtId="4" fontId="55" fillId="27" borderId="109" applyNumberFormat="0" applyProtection="0">
      <alignment horizontal="right" vertical="center"/>
    </xf>
    <xf numFmtId="4" fontId="55" fillId="19" borderId="115" applyNumberFormat="0" applyProtection="0">
      <alignment horizontal="left" vertical="center" indent="1"/>
    </xf>
    <xf numFmtId="349" fontId="11" fillId="31" borderId="114" applyNumberFormat="0" applyProtection="0">
      <alignment horizontal="left" vertical="top" indent="1"/>
    </xf>
    <xf numFmtId="349" fontId="55" fillId="32" borderId="114" applyNumberFormat="0" applyProtection="0">
      <alignment horizontal="left" vertical="top" indent="1"/>
    </xf>
    <xf numFmtId="349" fontId="55" fillId="32" borderId="109" applyNumberFormat="0" applyProtection="0">
      <alignment horizontal="left" vertical="center"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130" borderId="109" applyNumberFormat="0" applyProtection="0">
      <alignment horizontal="right" vertical="center"/>
    </xf>
    <xf numFmtId="349" fontId="55" fillId="13" borderId="109" applyNumberFormat="0" applyFont="0" applyAlignment="0" applyProtection="0"/>
    <xf numFmtId="349" fontId="253" fillId="127" borderId="109" applyNumberForma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19" borderId="109" applyNumberFormat="0" applyProtection="0">
      <alignment horizontal="right" vertical="center"/>
    </xf>
    <xf numFmtId="4" fontId="55" fillId="130" borderId="109" applyNumberFormat="0" applyProtection="0">
      <alignment horizontal="right" vertical="center"/>
    </xf>
    <xf numFmtId="349" fontId="55" fillId="31" borderId="114" applyNumberFormat="0" applyProtection="0">
      <alignment horizontal="left" vertical="top" indent="1"/>
    </xf>
    <xf numFmtId="4" fontId="55" fillId="29" borderId="115" applyNumberFormat="0" applyProtection="0">
      <alignment horizontal="left" vertical="center" indent="1"/>
    </xf>
    <xf numFmtId="4" fontId="55" fillId="26" borderId="109" applyNumberFormat="0" applyProtection="0">
      <alignment horizontal="right" vertical="center"/>
    </xf>
    <xf numFmtId="349" fontId="55" fillId="31"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4" fontId="257" fillId="34" borderId="114" applyNumberFormat="0" applyProtection="0">
      <alignment vertical="center"/>
    </xf>
    <xf numFmtId="4" fontId="258" fillId="35" borderId="115" applyNumberFormat="0" applyProtection="0">
      <alignment horizontal="left" vertical="center" indent="1"/>
    </xf>
    <xf numFmtId="349" fontId="55" fillId="19" borderId="114" applyNumberFormat="0" applyProtection="0">
      <alignment horizontal="left" vertical="top" indent="1"/>
    </xf>
    <xf numFmtId="4" fontId="55" fillId="64" borderId="109" applyNumberFormat="0" applyProtection="0">
      <alignment horizontal="left" vertical="center" indent="1"/>
    </xf>
    <xf numFmtId="349" fontId="55" fillId="30" borderId="114" applyNumberFormat="0" applyProtection="0">
      <alignment horizontal="left" vertical="top" indent="1"/>
    </xf>
    <xf numFmtId="4" fontId="55" fillId="0" borderId="109" applyNumberFormat="0" applyProtection="0">
      <alignment horizontal="right" vertical="center"/>
    </xf>
    <xf numFmtId="349" fontId="253" fillId="127" borderId="109" applyNumberFormat="0" applyAlignment="0" applyProtection="0"/>
    <xf numFmtId="349" fontId="55" fillId="13" borderId="109" applyNumberFormat="0" applyFont="0" applyAlignment="0" applyProtection="0"/>
    <xf numFmtId="4" fontId="11" fillId="31" borderId="115" applyNumberFormat="0" applyProtection="0">
      <alignment horizontal="left" vertical="center"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23" borderId="109" applyNumberFormat="0" applyProtection="0">
      <alignment horizontal="right" vertical="center"/>
    </xf>
    <xf numFmtId="4" fontId="255" fillId="45" borderId="109" applyNumberFormat="0" applyProtection="0">
      <alignment vertical="center"/>
    </xf>
    <xf numFmtId="349" fontId="55" fillId="13" borderId="109" applyNumberFormat="0" applyFont="0" applyAlignment="0" applyProtection="0"/>
    <xf numFmtId="349" fontId="253" fillId="127" borderId="109" applyNumberFormat="0" applyAlignment="0" applyProtection="0"/>
    <xf numFmtId="4" fontId="55" fillId="130" borderId="109" applyNumberFormat="0" applyProtection="0">
      <alignment horizontal="right" vertical="center"/>
    </xf>
    <xf numFmtId="349" fontId="55" fillId="13" borderId="109" applyNumberFormat="0" applyFont="0" applyAlignment="0" applyProtection="0"/>
    <xf numFmtId="349" fontId="257" fillId="34" borderId="114" applyNumberFormat="0" applyProtection="0">
      <alignment horizontal="left" vertical="top" indent="1"/>
    </xf>
    <xf numFmtId="4" fontId="55" fillId="25" borderId="109" applyNumberFormat="0" applyProtection="0">
      <alignment horizontal="right" vertical="center"/>
    </xf>
    <xf numFmtId="4" fontId="11" fillId="31" borderId="115"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7" fillId="0" borderId="118" applyNumberFormat="0" applyFill="0" applyAlignment="0" applyProtection="0"/>
    <xf numFmtId="349" fontId="55" fillId="32" borderId="114" applyNumberFormat="0" applyProtection="0">
      <alignment horizontal="left" vertical="top" indent="1"/>
    </xf>
    <xf numFmtId="349" fontId="253" fillId="127" borderId="109" applyNumberFormat="0" applyAlignment="0" applyProtection="0"/>
    <xf numFmtId="4" fontId="55" fillId="0" borderId="109" applyNumberFormat="0" applyProtection="0">
      <alignment horizontal="right" vertical="center"/>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83" borderId="109" applyNumberFormat="0" applyProtection="0">
      <alignment horizontal="left" vertical="center" indent="1"/>
    </xf>
    <xf numFmtId="349" fontId="11" fillId="31" borderId="114" applyNumberFormat="0" applyProtection="0">
      <alignment horizontal="left" vertical="top" indent="1"/>
    </xf>
    <xf numFmtId="4" fontId="55" fillId="28" borderId="109" applyNumberFormat="0" applyProtection="0">
      <alignment horizontal="right" vertical="center"/>
    </xf>
    <xf numFmtId="349" fontId="256" fillId="18" borderId="114" applyNumberFormat="0" applyProtection="0">
      <alignment horizontal="left" vertical="top" indent="1"/>
    </xf>
    <xf numFmtId="349" fontId="95" fillId="31" borderId="116" applyBorder="0"/>
    <xf numFmtId="349" fontId="55" fillId="32" borderId="109" applyNumberFormat="0" applyProtection="0">
      <alignment horizontal="left" vertical="center" indent="1"/>
    </xf>
    <xf numFmtId="349" fontId="144" fillId="14" borderId="109" applyNumberFormat="0" applyAlignment="0" applyProtection="0"/>
    <xf numFmtId="4" fontId="257" fillId="61" borderId="114" applyNumberFormat="0" applyProtection="0">
      <alignment horizontal="left" vertical="center" indent="1"/>
    </xf>
    <xf numFmtId="349" fontId="55" fillId="13" borderId="109" applyNumberFormat="0" applyFont="0" applyAlignment="0" applyProtection="0"/>
    <xf numFmtId="349" fontId="253" fillId="127" borderId="109" applyNumberFormat="0" applyAlignment="0" applyProtection="0"/>
    <xf numFmtId="4" fontId="55" fillId="45" borderId="109" applyNumberFormat="0" applyProtection="0">
      <alignment horizontal="left" vertical="center" indent="1"/>
    </xf>
    <xf numFmtId="4" fontId="55" fillId="24" borderId="109" applyNumberFormat="0" applyProtection="0">
      <alignment horizontal="right" vertical="center"/>
    </xf>
    <xf numFmtId="4" fontId="11" fillId="31" borderId="115" applyNumberFormat="0" applyProtection="0">
      <alignment horizontal="left" vertical="center"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7" fillId="0" borderId="118" applyNumberFormat="0" applyFill="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64" borderId="109" applyNumberFormat="0" applyProtection="0">
      <alignment horizontal="left" vertical="center" indent="1"/>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257" fillId="34" borderId="114" applyNumberFormat="0" applyProtection="0">
      <alignment horizontal="left" vertical="top" indent="1"/>
    </xf>
    <xf numFmtId="349" fontId="55" fillId="32" borderId="114" applyNumberFormat="0" applyProtection="0">
      <alignment horizontal="left" vertical="top" indent="1"/>
    </xf>
    <xf numFmtId="349" fontId="257" fillId="19" borderId="114" applyNumberFormat="0" applyProtection="0">
      <alignment horizontal="left" vertical="top" indent="1"/>
    </xf>
    <xf numFmtId="349" fontId="95" fillId="31" borderId="116" applyBorder="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214" fontId="66" fillId="0" borderId="28" applyFill="0"/>
    <xf numFmtId="4" fontId="55" fillId="28" borderId="109" applyNumberFormat="0" applyProtection="0">
      <alignment horizontal="right" vertical="center"/>
    </xf>
    <xf numFmtId="4" fontId="55" fillId="19" borderId="115" applyNumberFormat="0" applyProtection="0">
      <alignment horizontal="left" vertical="center" indent="1"/>
    </xf>
    <xf numFmtId="4" fontId="55" fillId="20" borderId="109" applyNumberFormat="0" applyProtection="0">
      <alignment horizontal="right" vertical="center"/>
    </xf>
    <xf numFmtId="4" fontId="55" fillId="28"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55" fillId="18" borderId="109" applyNumberFormat="0" applyProtection="0">
      <alignment vertical="center"/>
    </xf>
    <xf numFmtId="4" fontId="55" fillId="24" borderId="109" applyNumberFormat="0" applyProtection="0">
      <alignment horizontal="right" vertical="center"/>
    </xf>
    <xf numFmtId="4" fontId="55" fillId="30" borderId="115"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4" borderId="109" applyNumberFormat="0" applyProtection="0">
      <alignment horizontal="right" vertical="center"/>
    </xf>
    <xf numFmtId="4" fontId="55" fillId="18" borderId="109" applyNumberFormat="0" applyProtection="0">
      <alignmen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55" fillId="26" borderId="109" applyNumberFormat="0" applyProtection="0">
      <alignment horizontal="right" vertical="center"/>
    </xf>
    <xf numFmtId="4" fontId="11" fillId="31" borderId="115" applyNumberFormat="0" applyProtection="0">
      <alignment horizontal="left" vertical="center" indent="1"/>
    </xf>
    <xf numFmtId="4" fontId="55" fillId="22" borderId="115" applyNumberFormat="0" applyProtection="0">
      <alignment horizontal="right" vertical="center"/>
    </xf>
    <xf numFmtId="4" fontId="55" fillId="30" borderId="115" applyNumberFormat="0" applyProtection="0">
      <alignment horizontal="left" vertical="center" indent="1"/>
    </xf>
    <xf numFmtId="349" fontId="11" fillId="31" borderId="114" applyNumberFormat="0" applyProtection="0">
      <alignment horizontal="left" vertical="center" indent="1"/>
    </xf>
    <xf numFmtId="349" fontId="55" fillId="32" borderId="114" applyNumberFormat="0" applyProtection="0">
      <alignment horizontal="left" vertical="top" indent="1"/>
    </xf>
    <xf numFmtId="4" fontId="11" fillId="31" borderId="115" applyNumberFormat="0" applyProtection="0">
      <alignment horizontal="left" vertical="center" indent="1"/>
    </xf>
    <xf numFmtId="349" fontId="186" fillId="127" borderId="113" applyNumberFormat="0" applyAlignment="0" applyProtection="0"/>
    <xf numFmtId="349" fontId="55" fillId="13" borderId="109" applyNumberFormat="0" applyFont="0" applyAlignment="0" applyProtection="0"/>
    <xf numFmtId="4" fontId="55" fillId="18" borderId="109" applyNumberFormat="0" applyProtection="0">
      <alignment vertical="center"/>
    </xf>
    <xf numFmtId="349" fontId="11" fillId="31" borderId="114" applyNumberFormat="0" applyProtection="0">
      <alignment horizontal="left" vertical="center" indent="1"/>
    </xf>
    <xf numFmtId="349" fontId="55" fillId="30"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61" borderId="109" applyNumberFormat="0" applyProtection="0">
      <alignment horizontal="left" vertical="center" indent="1"/>
    </xf>
    <xf numFmtId="4" fontId="55" fillId="26" borderId="109" applyNumberFormat="0" applyProtection="0">
      <alignment horizontal="right" vertical="center"/>
    </xf>
    <xf numFmtId="4" fontId="55" fillId="45" borderId="109" applyNumberFormat="0" applyProtection="0">
      <alignment horizontal="left" vertical="center" indent="1"/>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25" borderId="109" applyNumberFormat="0" applyProtection="0">
      <alignment horizontal="right" vertical="center"/>
    </xf>
    <xf numFmtId="349" fontId="256" fillId="18" borderId="114" applyNumberFormat="0" applyProtection="0">
      <alignment horizontal="left" vertical="top" indent="1"/>
    </xf>
    <xf numFmtId="4" fontId="55" fillId="19" borderId="109" applyNumberFormat="0" applyProtection="0">
      <alignment horizontal="right" vertical="center"/>
    </xf>
    <xf numFmtId="4" fontId="55" fillId="26" borderId="109" applyNumberFormat="0" applyProtection="0">
      <alignment horizontal="right" vertical="center"/>
    </xf>
    <xf numFmtId="4" fontId="55" fillId="24" borderId="109" applyNumberFormat="0" applyProtection="0">
      <alignment horizontal="right" vertical="center"/>
    </xf>
    <xf numFmtId="349" fontId="55" fillId="31"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5" fillId="50" borderId="109" applyNumberFormat="0" applyProtection="0">
      <alignment horizontal="right" vertical="center"/>
    </xf>
    <xf numFmtId="349" fontId="17" fillId="0" borderId="118" applyNumberFormat="0" applyFill="0" applyAlignment="0" applyProtection="0"/>
    <xf numFmtId="4" fontId="257" fillId="34" borderId="114" applyNumberFormat="0" applyProtection="0">
      <alignment vertical="center"/>
    </xf>
    <xf numFmtId="349" fontId="55" fillId="30" borderId="114" applyNumberFormat="0" applyProtection="0">
      <alignment horizontal="left" vertical="top" indent="1"/>
    </xf>
    <xf numFmtId="349" fontId="95" fillId="31" borderId="116" applyBorder="0"/>
    <xf numFmtId="4" fontId="55" fillId="0" borderId="109" applyNumberFormat="0" applyProtection="0">
      <alignment horizontal="right" vertical="center"/>
    </xf>
    <xf numFmtId="349" fontId="55" fillId="30" borderId="114" applyNumberFormat="0" applyProtection="0">
      <alignment horizontal="left" vertical="top" indent="1"/>
    </xf>
    <xf numFmtId="4" fontId="55" fillId="28" borderId="109" applyNumberFormat="0" applyProtection="0">
      <alignment horizontal="right" vertical="center"/>
    </xf>
    <xf numFmtId="349" fontId="55" fillId="61"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9" fillId="33" borderId="109" applyNumberFormat="0" applyProtection="0">
      <alignment horizontal="right" vertical="center"/>
    </xf>
    <xf numFmtId="349" fontId="144" fillId="14" borderId="109" applyNumberFormat="0" applyAlignment="0" applyProtection="0"/>
    <xf numFmtId="349" fontId="55" fillId="32" borderId="114" applyNumberFormat="0" applyProtection="0">
      <alignment horizontal="left" vertical="top" indent="1"/>
    </xf>
    <xf numFmtId="349" fontId="144" fillId="14" borderId="109" applyNumberFormat="0" applyAlignment="0" applyProtection="0"/>
    <xf numFmtId="349" fontId="55" fillId="83" borderId="109" applyNumberFormat="0" applyProtection="0">
      <alignment horizontal="left" vertical="center" indent="1"/>
    </xf>
    <xf numFmtId="349" fontId="55" fillId="31" borderId="114" applyNumberFormat="0" applyProtection="0">
      <alignment horizontal="left" vertical="top" indent="1"/>
    </xf>
    <xf numFmtId="4" fontId="55" fillId="30" borderId="115" applyNumberFormat="0" applyProtection="0">
      <alignment horizontal="left" vertical="center" indent="1"/>
    </xf>
    <xf numFmtId="4" fontId="55" fillId="26" borderId="109" applyNumberFormat="0" applyProtection="0">
      <alignment horizontal="right" vertical="center"/>
    </xf>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95" fillId="31" borderId="116" applyBorder="0"/>
    <xf numFmtId="4" fontId="55" fillId="22" borderId="115" applyNumberFormat="0" applyProtection="0">
      <alignment horizontal="right" vertical="center"/>
    </xf>
    <xf numFmtId="349" fontId="55" fillId="30" borderId="114" applyNumberFormat="0" applyProtection="0">
      <alignment horizontal="left" vertical="top" indent="1"/>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4" fontId="255" fillId="50" borderId="109" applyNumberFormat="0" applyProtection="0">
      <alignment horizontal="right" vertical="center"/>
    </xf>
    <xf numFmtId="349" fontId="55" fillId="13" borderId="109" applyNumberFormat="0" applyFont="0" applyAlignment="0" applyProtection="0"/>
    <xf numFmtId="4" fontId="259" fillId="33" borderId="109" applyNumberFormat="0" applyProtection="0">
      <alignment horizontal="right" vertical="center"/>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30" borderId="115" applyNumberFormat="0" applyProtection="0">
      <alignment horizontal="left" vertical="center" indent="1"/>
    </xf>
    <xf numFmtId="4" fontId="55" fillId="130" borderId="109" applyNumberFormat="0" applyProtection="0">
      <alignment horizontal="right" vertical="center"/>
    </xf>
    <xf numFmtId="349" fontId="55" fillId="32"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255" fillId="50" borderId="109" applyNumberFormat="0" applyProtection="0">
      <alignment horizontal="right" vertical="center"/>
    </xf>
    <xf numFmtId="349" fontId="55" fillId="13" borderId="109" applyNumberFormat="0" applyFont="0" applyAlignment="0" applyProtection="0"/>
    <xf numFmtId="4" fontId="55" fillId="22" borderId="115" applyNumberFormat="0" applyProtection="0">
      <alignment horizontal="right" vertical="center"/>
    </xf>
    <xf numFmtId="4" fontId="55" fillId="24" borderId="109" applyNumberFormat="0" applyProtection="0">
      <alignment horizontal="right" vertical="center"/>
    </xf>
    <xf numFmtId="4" fontId="55" fillId="29" borderId="115"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7" fontId="66" fillId="0" borderId="117" applyNumberFormat="0"/>
    <xf numFmtId="4" fontId="259" fillId="33" borderId="109" applyNumberFormat="0" applyProtection="0">
      <alignment horizontal="right" vertical="center"/>
    </xf>
    <xf numFmtId="349" fontId="55" fillId="19" borderId="114" applyNumberFormat="0" applyProtection="0">
      <alignment horizontal="left" vertical="top" indent="1"/>
    </xf>
    <xf numFmtId="349" fontId="257" fillId="19" borderId="114" applyNumberFormat="0" applyProtection="0">
      <alignment horizontal="left" vertical="top" indent="1"/>
    </xf>
    <xf numFmtId="349" fontId="55" fillId="30" borderId="114" applyNumberFormat="0" applyProtection="0">
      <alignment horizontal="left" vertical="top" indent="1"/>
    </xf>
    <xf numFmtId="349" fontId="11" fillId="32" borderId="114" applyNumberFormat="0" applyProtection="0">
      <alignment horizontal="left" vertical="center"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64"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4" fontId="255" fillId="50" borderId="109" applyNumberFormat="0" applyProtection="0">
      <alignment horizontal="right" vertical="center"/>
    </xf>
    <xf numFmtId="349" fontId="11" fillId="30" borderId="114" applyNumberFormat="0" applyProtection="0">
      <alignment horizontal="left" vertical="top" indent="1"/>
    </xf>
    <xf numFmtId="349" fontId="55" fillId="19" borderId="114" applyNumberFormat="0" applyProtection="0">
      <alignment horizontal="left" vertical="top" indent="1"/>
    </xf>
    <xf numFmtId="4" fontId="55" fillId="29" borderId="115" applyNumberFormat="0" applyProtection="0">
      <alignment horizontal="left" vertical="center" indent="1"/>
    </xf>
    <xf numFmtId="4" fontId="55" fillId="22" borderId="115" applyNumberFormat="0" applyProtection="0">
      <alignment horizontal="right" vertical="center"/>
    </xf>
    <xf numFmtId="4" fontId="257" fillId="61" borderId="114" applyNumberFormat="0" applyProtection="0">
      <alignment horizontal="left" vertical="center" indent="1"/>
    </xf>
    <xf numFmtId="349" fontId="17" fillId="0" borderId="118" applyNumberFormat="0" applyFill="0" applyAlignment="0" applyProtection="0"/>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253" fillId="127" borderId="109" applyNumberForma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27" borderId="109" applyNumberFormat="0" applyProtection="0">
      <alignment horizontal="right" vertical="center"/>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257" fillId="34" borderId="114" applyNumberFormat="0" applyProtection="0">
      <alignment horizontal="left" vertical="top" indent="1"/>
    </xf>
    <xf numFmtId="349" fontId="17" fillId="0" borderId="118" applyNumberFormat="0" applyFill="0" applyAlignment="0" applyProtection="0"/>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4" fontId="11" fillId="31" borderId="115" applyNumberFormat="0" applyProtection="0">
      <alignment horizontal="left" vertical="center" indent="1"/>
    </xf>
    <xf numFmtId="4" fontId="55" fillId="26" borderId="109" applyNumberFormat="0" applyProtection="0">
      <alignment horizontal="right" vertical="center"/>
    </xf>
    <xf numFmtId="349" fontId="55" fillId="13" borderId="109" applyNumberFormat="0" applyFont="0" applyAlignment="0" applyProtection="0"/>
    <xf numFmtId="4" fontId="55" fillId="18" borderId="109" applyNumberFormat="0" applyProtection="0">
      <alignment vertical="center"/>
    </xf>
    <xf numFmtId="4" fontId="55" fillId="29" borderId="115" applyNumberFormat="0" applyProtection="0">
      <alignment horizontal="left" vertical="center" indent="1"/>
    </xf>
    <xf numFmtId="349" fontId="11" fillId="31" borderId="114" applyNumberFormat="0" applyProtection="0">
      <alignment horizontal="left" vertical="center" indent="1"/>
    </xf>
    <xf numFmtId="349" fontId="11" fillId="19" borderId="114" applyNumberFormat="0" applyProtection="0">
      <alignment horizontal="left" vertical="top" indent="1"/>
    </xf>
    <xf numFmtId="349" fontId="55" fillId="13" borderId="109" applyNumberFormat="0" applyFont="0" applyAlignment="0" applyProtection="0"/>
    <xf numFmtId="214" fontId="66" fillId="0" borderId="28" applyFill="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4" fontId="55" fillId="19" borderId="109" applyNumberFormat="0" applyProtection="0">
      <alignment horizontal="right" vertical="center"/>
    </xf>
    <xf numFmtId="4" fontId="55" fillId="45" borderId="109" applyNumberFormat="0" applyProtection="0">
      <alignment horizontal="left" vertical="center" indent="1"/>
    </xf>
    <xf numFmtId="4" fontId="255" fillId="50" borderId="109" applyNumberFormat="0" applyProtection="0">
      <alignment horizontal="right" vertical="center"/>
    </xf>
    <xf numFmtId="349" fontId="55" fillId="30" borderId="114" applyNumberFormat="0" applyProtection="0">
      <alignment horizontal="left" vertical="top" indent="1"/>
    </xf>
    <xf numFmtId="349" fontId="257" fillId="19" borderId="114" applyNumberFormat="0" applyProtection="0">
      <alignment horizontal="left" vertical="top" indent="1"/>
    </xf>
    <xf numFmtId="4" fontId="259" fillId="33" borderId="109" applyNumberFormat="0" applyProtection="0">
      <alignment horizontal="right" vertical="center"/>
    </xf>
    <xf numFmtId="4" fontId="257" fillId="61" borderId="114" applyNumberFormat="0" applyProtection="0">
      <alignment horizontal="left" vertical="center"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0" borderId="114" applyNumberFormat="0" applyProtection="0">
      <alignment horizontal="left" vertical="top" indent="1"/>
    </xf>
    <xf numFmtId="4" fontId="11" fillId="31" borderId="115" applyNumberFormat="0" applyProtection="0">
      <alignment horizontal="left" vertical="center" indent="1"/>
    </xf>
    <xf numFmtId="349" fontId="11" fillId="31" borderId="114" applyNumberFormat="0" applyProtection="0">
      <alignment horizontal="left" vertical="top" indent="1"/>
    </xf>
    <xf numFmtId="4" fontId="55" fillId="22" borderId="115" applyNumberFormat="0" applyProtection="0">
      <alignment horizontal="right" vertical="center"/>
    </xf>
    <xf numFmtId="349" fontId="55" fillId="61" borderId="109" applyNumberFormat="0" applyProtection="0">
      <alignment horizontal="left" vertical="center" indent="1"/>
    </xf>
    <xf numFmtId="4" fontId="55" fillId="45"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55" fillId="13" borderId="109" applyNumberFormat="0" applyFont="0" applyAlignment="0" applyProtection="0"/>
    <xf numFmtId="4" fontId="55" fillId="20" borderId="109" applyNumberFormat="0" applyProtection="0">
      <alignment horizontal="right" vertical="center"/>
    </xf>
    <xf numFmtId="4" fontId="55" fillId="29" borderId="115" applyNumberFormat="0" applyProtection="0">
      <alignment horizontal="left" vertical="center" indent="1"/>
    </xf>
    <xf numFmtId="349" fontId="11"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8" borderId="109" applyNumberFormat="0" applyProtection="0">
      <alignment horizontal="right" vertical="center"/>
    </xf>
    <xf numFmtId="4" fontId="55" fillId="27" borderId="109" applyNumberFormat="0" applyProtection="0">
      <alignment horizontal="right" vertical="center"/>
    </xf>
    <xf numFmtId="349" fontId="55" fillId="31" borderId="114" applyNumberFormat="0" applyProtection="0">
      <alignment horizontal="left" vertical="top" indent="1"/>
    </xf>
    <xf numFmtId="349" fontId="55" fillId="32"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4" fontId="55" fillId="0" borderId="109" applyNumberFormat="0" applyProtection="0">
      <alignment horizontal="right" vertical="center"/>
    </xf>
    <xf numFmtId="349" fontId="55" fillId="13" borderId="109" applyNumberFormat="0" applyFont="0" applyAlignment="0" applyProtection="0"/>
    <xf numFmtId="349" fontId="144" fillId="14" borderId="109" applyNumberFormat="0" applyAlignment="0" applyProtection="0"/>
    <xf numFmtId="349" fontId="256" fillId="18" borderId="114" applyNumberFormat="0" applyProtection="0">
      <alignment horizontal="left" vertical="top" indent="1"/>
    </xf>
    <xf numFmtId="349" fontId="55" fillId="13" borderId="109" applyNumberFormat="0" applyFont="0" applyAlignment="0" applyProtection="0"/>
    <xf numFmtId="349" fontId="55" fillId="30" borderId="109" applyNumberFormat="0" applyProtection="0">
      <alignment horizontal="left" vertical="center" indent="1"/>
    </xf>
    <xf numFmtId="169" fontId="14" fillId="0" borderId="0" applyFont="0" applyFill="0" applyBorder="0" applyAlignment="0" applyProtection="0"/>
    <xf numFmtId="169" fontId="14" fillId="0" borderId="0" applyFont="0" applyFill="0" applyBorder="0" applyAlignment="0" applyProtection="0"/>
    <xf numFmtId="349" fontId="253" fillId="127" borderId="109" applyNumberFormat="0" applyAlignment="0" applyProtection="0"/>
    <xf numFmtId="4" fontId="255" fillId="50" borderId="109" applyNumberFormat="0" applyProtection="0">
      <alignment horizontal="right" vertical="center"/>
    </xf>
    <xf numFmtId="349" fontId="144" fillId="14" borderId="109" applyNumberFormat="0" applyAlignment="0" applyProtection="0"/>
    <xf numFmtId="169" fontId="14" fillId="0" borderId="0" applyFont="0" applyFill="0" applyBorder="0" applyAlignment="0" applyProtection="0"/>
    <xf numFmtId="349" fontId="253" fillId="127" borderId="109" applyNumberFormat="0" applyAlignment="0" applyProtection="0"/>
    <xf numFmtId="4" fontId="55" fillId="45" borderId="109" applyNumberFormat="0" applyProtection="0">
      <alignment horizontal="left" vertical="center" indent="1"/>
    </xf>
    <xf numFmtId="349" fontId="144" fillId="14" borderId="109" applyNumberFormat="0" applyAlignment="0" applyProtection="0"/>
    <xf numFmtId="4" fontId="55" fillId="64" borderId="109" applyNumberFormat="0" applyProtection="0">
      <alignment horizontal="left" vertical="center" indent="1"/>
    </xf>
    <xf numFmtId="4" fontId="55" fillId="26" borderId="109" applyNumberFormat="0" applyProtection="0">
      <alignment horizontal="right" vertical="center"/>
    </xf>
    <xf numFmtId="169" fontId="14" fillId="0" borderId="0" applyFont="0" applyFill="0" applyBorder="0" applyAlignment="0" applyProtection="0"/>
    <xf numFmtId="4" fontId="259" fillId="33" borderId="109" applyNumberFormat="0" applyProtection="0">
      <alignment horizontal="right" vertical="center"/>
    </xf>
    <xf numFmtId="4" fontId="55" fillId="23" borderId="109" applyNumberFormat="0" applyProtection="0">
      <alignment horizontal="right" vertical="center"/>
    </xf>
    <xf numFmtId="0" fontId="7" fillId="0" borderId="0"/>
    <xf numFmtId="9" fontId="7"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172" fontId="9" fillId="43" borderId="6">
      <alignment vertical="center"/>
    </xf>
    <xf numFmtId="172" fontId="9" fillId="3" borderId="6">
      <alignment vertical="center"/>
      <protection locked="0"/>
    </xf>
    <xf numFmtId="0" fontId="3" fillId="0" borderId="0"/>
    <xf numFmtId="0" fontId="9" fillId="0" borderId="0"/>
    <xf numFmtId="0" fontId="14" fillId="0" borderId="0"/>
    <xf numFmtId="0" fontId="9" fillId="0" borderId="0"/>
    <xf numFmtId="9" fontId="3" fillId="0" borderId="0" applyFont="0" applyFill="0" applyBorder="0" applyAlignment="0" applyProtection="0"/>
    <xf numFmtId="185" fontId="9" fillId="0" borderId="0"/>
    <xf numFmtId="10" fontId="38" fillId="0" borderId="0" applyFont="0" applyFill="0" applyBorder="0" applyAlignment="0" applyProtection="0">
      <alignment vertical="center"/>
    </xf>
    <xf numFmtId="169" fontId="9" fillId="0" borderId="0" applyFont="0" applyFill="0" applyBorder="0" applyAlignment="0" applyProtection="0"/>
    <xf numFmtId="9" fontId="9" fillId="0" borderId="0" applyFont="0" applyFill="0" applyBorder="0" applyAlignment="0" applyProtection="0"/>
    <xf numFmtId="0" fontId="1" fillId="0" borderId="0"/>
  </cellStyleXfs>
  <cellXfs count="945">
    <xf numFmtId="0" fontId="0" fillId="0" borderId="0" xfId="0"/>
    <xf numFmtId="0" fontId="10" fillId="0" borderId="0" xfId="0" applyFont="1"/>
    <xf numFmtId="0" fontId="12" fillId="42" borderId="0" xfId="7" applyFont="1" applyFill="1"/>
    <xf numFmtId="0" fontId="0" fillId="0" borderId="0" xfId="0" applyAlignment="1">
      <alignment horizontal="center" vertical="top" wrapText="1"/>
    </xf>
    <xf numFmtId="0" fontId="26" fillId="0" borderId="0" xfId="75" applyFont="1"/>
    <xf numFmtId="0" fontId="35" fillId="0" borderId="0" xfId="75" applyFont="1"/>
    <xf numFmtId="0" fontId="32" fillId="47" borderId="0" xfId="90" applyFont="1" applyFill="1" applyAlignment="1">
      <alignment horizontal="left"/>
    </xf>
    <xf numFmtId="0" fontId="26" fillId="0" borderId="0" xfId="93" applyFont="1"/>
    <xf numFmtId="0" fontId="33" fillId="0" borderId="0" xfId="75" applyFont="1"/>
    <xf numFmtId="0" fontId="34" fillId="0" borderId="0" xfId="75" applyFont="1"/>
    <xf numFmtId="0" fontId="0" fillId="0" borderId="0" xfId="0" applyAlignment="1">
      <alignment vertical="center"/>
    </xf>
    <xf numFmtId="0" fontId="0" fillId="0" borderId="0" xfId="0" applyAlignment="1">
      <alignment horizontal="center" wrapText="1"/>
    </xf>
    <xf numFmtId="0" fontId="28" fillId="0" borderId="0" xfId="0" applyFont="1" applyAlignment="1">
      <alignment horizontal="right" indent="1"/>
    </xf>
    <xf numFmtId="0" fontId="0" fillId="0" borderId="0" xfId="0" applyAlignment="1">
      <alignment horizontal="center" vertical="center" wrapText="1"/>
    </xf>
    <xf numFmtId="0" fontId="12" fillId="0" borderId="0" xfId="7" applyFont="1" applyAlignment="1">
      <alignment horizontal="center"/>
    </xf>
    <xf numFmtId="177" fontId="12" fillId="38" borderId="65" xfId="1" applyNumberFormat="1" applyFont="1" applyFill="1" applyBorder="1" applyProtection="1"/>
    <xf numFmtId="177" fontId="12" fillId="38" borderId="66" xfId="1" applyNumberFormat="1" applyFont="1" applyFill="1" applyBorder="1" applyProtection="1"/>
    <xf numFmtId="177" fontId="12" fillId="38" borderId="67" xfId="1" applyNumberFormat="1" applyFont="1" applyFill="1" applyBorder="1" applyProtection="1"/>
    <xf numFmtId="177" fontId="12" fillId="38" borderId="59" xfId="1" applyNumberFormat="1" applyFont="1" applyFill="1" applyBorder="1" applyProtection="1"/>
    <xf numFmtId="177" fontId="12" fillId="38" borderId="60" xfId="1" applyNumberFormat="1" applyFont="1" applyFill="1" applyBorder="1" applyProtection="1"/>
    <xf numFmtId="177" fontId="12" fillId="38" borderId="61" xfId="1" applyNumberFormat="1" applyFont="1" applyFill="1" applyBorder="1" applyProtection="1"/>
    <xf numFmtId="177" fontId="12" fillId="38" borderId="71" xfId="1" applyNumberFormat="1" applyFont="1" applyFill="1" applyBorder="1" applyProtection="1"/>
    <xf numFmtId="177" fontId="12" fillId="38" borderId="72" xfId="1" applyNumberFormat="1" applyFont="1" applyFill="1" applyBorder="1" applyProtection="1"/>
    <xf numFmtId="177" fontId="12" fillId="38" borderId="73" xfId="1" applyNumberFormat="1" applyFont="1" applyFill="1" applyBorder="1" applyProtection="1"/>
    <xf numFmtId="1" fontId="10" fillId="2" borderId="71" xfId="0" applyNumberFormat="1" applyFont="1" applyFill="1" applyBorder="1" applyAlignment="1">
      <alignment horizontal="center" vertical="center"/>
    </xf>
    <xf numFmtId="1" fontId="10" fillId="2" borderId="72" xfId="0" applyNumberFormat="1" applyFont="1" applyFill="1" applyBorder="1" applyAlignment="1">
      <alignment horizontal="center" vertical="center"/>
    </xf>
    <xf numFmtId="177" fontId="13" fillId="38" borderId="71" xfId="1" applyNumberFormat="1" applyFont="1" applyFill="1" applyBorder="1" applyProtection="1"/>
    <xf numFmtId="177" fontId="13"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5" fontId="12" fillId="38" borderId="64" xfId="77" applyNumberFormat="1" applyFont="1" applyFill="1" applyBorder="1" applyProtection="1"/>
    <xf numFmtId="177" fontId="12" fillId="39" borderId="59" xfId="1" applyNumberFormat="1" applyFont="1" applyFill="1" applyBorder="1" applyProtection="1"/>
    <xf numFmtId="177" fontId="12" fillId="39" borderId="60" xfId="1" applyNumberFormat="1" applyFont="1" applyFill="1" applyBorder="1" applyProtection="1"/>
    <xf numFmtId="175" fontId="12" fillId="38" borderId="70" xfId="77"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10"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2" fillId="39" borderId="85" xfId="1" applyNumberFormat="1" applyFont="1" applyFill="1" applyBorder="1" applyProtection="1"/>
    <xf numFmtId="177" fontId="12" fillId="39" borderId="81" xfId="1" applyNumberFormat="1" applyFont="1" applyFill="1" applyBorder="1" applyProtection="1"/>
    <xf numFmtId="177" fontId="12" fillId="39" borderId="82" xfId="1" applyNumberFormat="1" applyFont="1" applyFill="1" applyBorder="1" applyProtection="1"/>
    <xf numFmtId="177" fontId="12" fillId="39" borderId="86" xfId="1" applyNumberFormat="1" applyFont="1" applyFill="1" applyBorder="1" applyProtection="1"/>
    <xf numFmtId="177" fontId="12" fillId="39" borderId="87" xfId="1" applyNumberFormat="1" applyFont="1" applyFill="1" applyBorder="1" applyProtection="1"/>
    <xf numFmtId="0" fontId="36" fillId="0" borderId="0" xfId="92" applyAlignment="1">
      <alignment horizontal="left" indent="1"/>
    </xf>
    <xf numFmtId="0" fontId="28" fillId="0" borderId="0" xfId="0" applyFont="1" applyAlignment="1">
      <alignment horizontal="center"/>
    </xf>
    <xf numFmtId="0" fontId="0" fillId="0" borderId="63" xfId="0" applyBorder="1" applyAlignment="1">
      <alignment horizontal="center"/>
    </xf>
    <xf numFmtId="177" fontId="12" fillId="38" borderId="101" xfId="1" applyNumberFormat="1" applyFont="1" applyFill="1" applyBorder="1" applyProtection="1"/>
    <xf numFmtId="10" fontId="0" fillId="0" borderId="64" xfId="0" applyNumberFormat="1" applyBorder="1"/>
    <xf numFmtId="3" fontId="13" fillId="0" borderId="0" xfId="89" applyNumberFormat="1" applyFont="1" applyAlignment="1">
      <alignment horizontal="left" indent="1"/>
    </xf>
    <xf numFmtId="0" fontId="0" fillId="53" borderId="0" xfId="0" applyFill="1" applyAlignment="1">
      <alignment horizontal="left" indent="1"/>
    </xf>
    <xf numFmtId="0" fontId="249"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3" fillId="0" borderId="0" xfId="77" applyNumberFormat="1" applyFont="1" applyFill="1" applyBorder="1" applyAlignment="1" applyProtection="1">
      <alignment horizontal="left" indent="1"/>
    </xf>
    <xf numFmtId="0" fontId="12" fillId="0" borderId="0" xfId="77" applyNumberFormat="1" applyFont="1" applyFill="1" applyBorder="1" applyAlignment="1" applyProtection="1">
      <alignment horizontal="center"/>
    </xf>
    <xf numFmtId="175" fontId="13" fillId="0" borderId="0" xfId="77" applyNumberFormat="1" applyFont="1" applyFill="1" applyBorder="1" applyProtection="1"/>
    <xf numFmtId="175" fontId="12" fillId="38" borderId="59" xfId="77" applyNumberFormat="1" applyFont="1" applyFill="1" applyBorder="1" applyProtection="1"/>
    <xf numFmtId="175" fontId="12" fillId="38" borderId="61" xfId="77" applyNumberFormat="1" applyFont="1" applyFill="1" applyBorder="1" applyProtection="1"/>
    <xf numFmtId="177" fontId="12" fillId="38" borderId="68" xfId="1" applyNumberFormat="1" applyFont="1" applyFill="1" applyBorder="1" applyProtection="1"/>
    <xf numFmtId="177" fontId="12" fillId="38" borderId="69" xfId="1" applyNumberFormat="1" applyFont="1" applyFill="1" applyBorder="1" applyProtection="1"/>
    <xf numFmtId="0" fontId="13" fillId="53" borderId="0" xfId="77" applyNumberFormat="1" applyFont="1" applyFill="1" applyBorder="1" applyAlignment="1" applyProtection="1">
      <alignment horizontal="left" indent="1"/>
    </xf>
    <xf numFmtId="0" fontId="12" fillId="53" borderId="0" xfId="77" applyNumberFormat="1" applyFont="1" applyFill="1" applyBorder="1" applyAlignment="1" applyProtection="1">
      <alignment horizontal="center"/>
    </xf>
    <xf numFmtId="175" fontId="13" fillId="53" borderId="0" xfId="77" applyNumberFormat="1" applyFont="1" applyFill="1" applyBorder="1" applyProtection="1"/>
    <xf numFmtId="0" fontId="13" fillId="116" borderId="0" xfId="77" applyNumberFormat="1" applyFont="1" applyFill="1" applyBorder="1" applyAlignment="1" applyProtection="1">
      <alignment horizontal="left" indent="1"/>
    </xf>
    <xf numFmtId="0" fontId="12" fillId="116" borderId="0" xfId="77" applyNumberFormat="1" applyFont="1" applyFill="1" applyBorder="1" applyAlignment="1" applyProtection="1">
      <alignment horizontal="left" indent="1"/>
    </xf>
    <xf numFmtId="0" fontId="12" fillId="42" borderId="0" xfId="7" applyFont="1" applyFill="1" applyAlignment="1">
      <alignment horizontal="left" indent="1"/>
    </xf>
    <xf numFmtId="178" fontId="0" fillId="117" borderId="63" xfId="0" applyNumberFormat="1" applyFill="1" applyBorder="1" applyAlignment="1">
      <alignment horizontal="right" indent="1"/>
    </xf>
    <xf numFmtId="177" fontId="12" fillId="38" borderId="78" xfId="1" applyNumberFormat="1" applyFont="1" applyFill="1" applyBorder="1" applyProtection="1"/>
    <xf numFmtId="177" fontId="12" fillId="38" borderId="89" xfId="1" applyNumberFormat="1" applyFont="1" applyFill="1" applyBorder="1" applyProtection="1"/>
    <xf numFmtId="177" fontId="12" fillId="38" borderId="107" xfId="1" applyNumberFormat="1" applyFont="1" applyFill="1" applyBorder="1" applyProtection="1"/>
    <xf numFmtId="177" fontId="12" fillId="52" borderId="59" xfId="1" applyNumberFormat="1" applyFont="1" applyFill="1" applyBorder="1" applyProtection="1"/>
    <xf numFmtId="0" fontId="10" fillId="0" borderId="0" xfId="0" applyFont="1" applyAlignment="1" applyProtection="1">
      <alignment horizontal="left" indent="1"/>
      <protection locked="0"/>
    </xf>
    <xf numFmtId="0" fontId="10" fillId="53" borderId="0" xfId="0" applyFont="1" applyFill="1" applyAlignment="1">
      <alignment horizontal="left" vertical="top" indent="1"/>
    </xf>
    <xf numFmtId="0" fontId="0" fillId="0" borderId="0" xfId="0" applyAlignment="1" applyProtection="1">
      <alignment horizontal="left" indent="1"/>
      <protection locked="0"/>
    </xf>
    <xf numFmtId="0" fontId="10" fillId="0" borderId="0" xfId="0" applyFont="1" applyAlignment="1">
      <alignment horizontal="left" indent="1"/>
    </xf>
    <xf numFmtId="0" fontId="0" fillId="0" borderId="0" xfId="0" applyAlignment="1">
      <alignment horizontal="left" vertical="center" wrapText="1" indent="1"/>
    </xf>
    <xf numFmtId="0" fontId="249" fillId="0" borderId="0" xfId="0" applyFont="1" applyAlignment="1">
      <alignment horizontal="left" indent="1"/>
    </xf>
    <xf numFmtId="0" fontId="249" fillId="0" borderId="0" xfId="0" applyFont="1" applyAlignment="1">
      <alignment wrapText="1"/>
    </xf>
    <xf numFmtId="0" fontId="249" fillId="0" borderId="0" xfId="0" applyFont="1"/>
    <xf numFmtId="3" fontId="0" fillId="0" borderId="0" xfId="0" applyNumberFormat="1"/>
    <xf numFmtId="0" fontId="0" fillId="52" borderId="78" xfId="0" applyFill="1" applyBorder="1" applyAlignment="1">
      <alignment horizontal="left" vertical="center" wrapText="1" indent="1"/>
    </xf>
    <xf numFmtId="0" fontId="32" fillId="42" borderId="0" xfId="90" applyFont="1" applyFill="1" applyAlignment="1">
      <alignment horizontal="left"/>
    </xf>
    <xf numFmtId="0" fontId="12"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3" fillId="51" borderId="71" xfId="1" applyNumberFormat="1" applyFont="1" applyFill="1" applyBorder="1" applyProtection="1"/>
    <xf numFmtId="175" fontId="12" fillId="116" borderId="71" xfId="1" applyNumberFormat="1" applyFont="1" applyFill="1" applyBorder="1" applyProtection="1"/>
    <xf numFmtId="175" fontId="12" fillId="116" borderId="72" xfId="1" applyNumberFormat="1" applyFont="1" applyFill="1" applyBorder="1" applyProtection="1"/>
    <xf numFmtId="175" fontId="12" fillId="51" borderId="71" xfId="1" applyNumberFormat="1" applyFont="1" applyFill="1" applyBorder="1" applyProtection="1"/>
    <xf numFmtId="175" fontId="12" fillId="51" borderId="72" xfId="1" applyNumberFormat="1" applyFont="1" applyFill="1" applyBorder="1" applyProtection="1"/>
    <xf numFmtId="0" fontId="262" fillId="47" borderId="0" xfId="90" applyFont="1" applyFill="1" applyAlignment="1">
      <alignment horizontal="left"/>
    </xf>
    <xf numFmtId="0" fontId="261" fillId="47" borderId="0" xfId="0" applyFont="1" applyFill="1"/>
    <xf numFmtId="0" fontId="263" fillId="47" borderId="0" xfId="92" applyFont="1" applyFill="1" applyAlignment="1">
      <alignment wrapText="1"/>
    </xf>
    <xf numFmtId="0" fontId="261" fillId="47" borderId="0" xfId="0" applyFont="1" applyFill="1" applyAlignment="1">
      <alignment wrapText="1"/>
    </xf>
    <xf numFmtId="0" fontId="261" fillId="47" borderId="0" xfId="0" applyFont="1" applyFill="1" applyAlignment="1">
      <alignment horizontal="left" indent="1"/>
    </xf>
    <xf numFmtId="0" fontId="261" fillId="47" borderId="11" xfId="0" applyFont="1" applyFill="1" applyBorder="1" applyAlignment="1">
      <alignment wrapText="1"/>
    </xf>
    <xf numFmtId="0" fontId="261"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2" fillId="0" borderId="99" xfId="89" applyNumberFormat="1" applyFont="1" applyBorder="1" applyAlignment="1">
      <alignment horizontal="left" indent="1"/>
    </xf>
    <xf numFmtId="348" fontId="0" fillId="0" borderId="63" xfId="0" applyNumberFormat="1" applyBorder="1" applyAlignment="1">
      <alignment horizontal="right" indent="1"/>
    </xf>
    <xf numFmtId="3" fontId="12" fillId="0" borderId="97" xfId="89" applyNumberFormat="1" applyFont="1" applyBorder="1" applyAlignment="1">
      <alignment horizontal="left" indent="1"/>
    </xf>
    <xf numFmtId="183" fontId="12" fillId="0" borderId="0" xfId="7" applyNumberFormat="1" applyFont="1" applyAlignment="1">
      <alignment horizontal="center" vertical="center"/>
    </xf>
    <xf numFmtId="0" fontId="12"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2" fillId="0" borderId="0" xfId="0" applyFont="1"/>
    <xf numFmtId="350" fontId="12" fillId="0" borderId="0" xfId="0" applyNumberFormat="1" applyFont="1"/>
    <xf numFmtId="347" fontId="248"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2"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2" fillId="42" borderId="121" xfId="7" applyFont="1" applyFill="1" applyBorder="1" applyAlignment="1">
      <alignment horizontal="left" indent="1"/>
    </xf>
    <xf numFmtId="1" fontId="10" fillId="2" borderId="122" xfId="0" applyNumberFormat="1" applyFont="1" applyFill="1" applyBorder="1" applyAlignment="1">
      <alignment horizontal="center" vertical="center"/>
    </xf>
    <xf numFmtId="1" fontId="10" fillId="2" borderId="123" xfId="0" applyNumberFormat="1" applyFont="1" applyFill="1" applyBorder="1" applyAlignment="1">
      <alignment horizontal="center" vertical="center"/>
    </xf>
    <xf numFmtId="0" fontId="0" fillId="0" borderId="124" xfId="0" applyBorder="1"/>
    <xf numFmtId="177" fontId="12" fillId="38" borderId="121" xfId="1" applyNumberFormat="1" applyFont="1" applyFill="1" applyBorder="1" applyProtection="1"/>
    <xf numFmtId="177" fontId="12" fillId="38" borderId="122" xfId="1" applyNumberFormat="1" applyFont="1" applyFill="1" applyBorder="1" applyProtection="1"/>
    <xf numFmtId="177" fontId="12" fillId="38" borderId="123" xfId="1" applyNumberFormat="1" applyFont="1" applyFill="1" applyBorder="1" applyProtection="1"/>
    <xf numFmtId="3" fontId="0" fillId="0" borderId="124" xfId="0" applyNumberFormat="1" applyBorder="1" applyAlignment="1">
      <alignment horizontal="center" vertical="center" wrapText="1"/>
    </xf>
    <xf numFmtId="0" fontId="0" fillId="0" borderId="94" xfId="0" applyBorder="1" applyAlignment="1">
      <alignment horizontal="left" vertical="center" wrapText="1" indent="1"/>
    </xf>
    <xf numFmtId="177" fontId="12" fillId="38" borderId="76" xfId="1" applyNumberFormat="1" applyFont="1" applyFill="1" applyBorder="1" applyProtection="1"/>
    <xf numFmtId="177" fontId="13" fillId="38" borderId="125" xfId="1" applyNumberFormat="1" applyFont="1" applyFill="1" applyBorder="1" applyProtection="1"/>
    <xf numFmtId="177" fontId="13" fillId="38" borderId="126" xfId="1" applyNumberFormat="1" applyFont="1" applyFill="1" applyBorder="1" applyProtection="1"/>
    <xf numFmtId="177" fontId="13" fillId="38" borderId="127" xfId="1" applyNumberFormat="1" applyFont="1" applyFill="1" applyBorder="1" applyProtection="1"/>
    <xf numFmtId="0" fontId="0" fillId="0" borderId="128" xfId="0" applyBorder="1"/>
    <xf numFmtId="175" fontId="13" fillId="38" borderId="125" xfId="77" applyNumberFormat="1" applyFont="1" applyFill="1" applyBorder="1" applyProtection="1"/>
    <xf numFmtId="175" fontId="13" fillId="38" borderId="127" xfId="77" applyNumberFormat="1" applyFont="1" applyFill="1" applyBorder="1" applyProtection="1"/>
    <xf numFmtId="175" fontId="13" fillId="38" borderId="126" xfId="77" applyNumberFormat="1" applyFont="1" applyFill="1" applyBorder="1" applyProtection="1"/>
    <xf numFmtId="175" fontId="12" fillId="38" borderId="77" xfId="77" applyNumberFormat="1" applyFont="1" applyFill="1" applyBorder="1" applyProtection="1"/>
    <xf numFmtId="175" fontId="13" fillId="38" borderId="129" xfId="77" applyNumberFormat="1" applyFont="1" applyFill="1" applyBorder="1" applyProtection="1"/>
    <xf numFmtId="175" fontId="12" fillId="38" borderId="68" xfId="77" applyNumberFormat="1" applyFont="1" applyFill="1" applyBorder="1" applyProtection="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2" fillId="0" borderId="0" xfId="90" applyFont="1" applyAlignment="1">
      <alignment horizontal="left"/>
    </xf>
    <xf numFmtId="0" fontId="261" fillId="0" borderId="0" xfId="0" applyFont="1"/>
    <xf numFmtId="0" fontId="261" fillId="0" borderId="0" xfId="0" applyFont="1" applyAlignment="1">
      <alignment wrapText="1"/>
    </xf>
    <xf numFmtId="0" fontId="12" fillId="0" borderId="11" xfId="77" applyNumberFormat="1" applyFont="1" applyFill="1" applyBorder="1" applyAlignment="1" applyProtection="1">
      <alignment horizontal="center"/>
    </xf>
    <xf numFmtId="0" fontId="12" fillId="51" borderId="0" xfId="77" applyNumberFormat="1" applyFont="1" applyFill="1" applyBorder="1" applyAlignment="1" applyProtection="1">
      <alignment horizontal="left" indent="1"/>
    </xf>
    <xf numFmtId="0" fontId="13"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2" fillId="3" borderId="0" xfId="0" applyNumberFormat="1" applyFont="1" applyFill="1" applyAlignment="1" applyProtection="1">
      <alignment horizontal="left" vertical="center" indent="1"/>
      <protection locked="0"/>
    </xf>
    <xf numFmtId="10" fontId="0" fillId="0" borderId="0" xfId="0" applyNumberFormat="1"/>
    <xf numFmtId="178" fontId="0" fillId="0" borderId="128" xfId="0" applyNumberFormat="1" applyBorder="1" applyAlignment="1">
      <alignment horizontal="right" indent="1"/>
    </xf>
    <xf numFmtId="178" fontId="0" fillId="117" borderId="86" xfId="0" applyNumberFormat="1" applyFill="1" applyBorder="1" applyAlignment="1">
      <alignment horizontal="right" indent="1"/>
    </xf>
    <xf numFmtId="10" fontId="0" fillId="0" borderId="131" xfId="0" applyNumberFormat="1" applyBorder="1"/>
    <xf numFmtId="1" fontId="10" fillId="53" borderId="134" xfId="0" applyNumberFormat="1" applyFont="1" applyFill="1" applyBorder="1" applyAlignment="1">
      <alignment horizontal="center" vertical="center"/>
    </xf>
    <xf numFmtId="1" fontId="10" fillId="53" borderId="135" xfId="0" applyNumberFormat="1" applyFont="1" applyFill="1" applyBorder="1" applyAlignment="1">
      <alignment horizontal="center" vertical="center"/>
    </xf>
    <xf numFmtId="178" fontId="0" fillId="117" borderId="137" xfId="0" applyNumberFormat="1" applyFill="1" applyBorder="1" applyAlignment="1">
      <alignment horizontal="right" indent="1"/>
    </xf>
    <xf numFmtId="10" fontId="0" fillId="0" borderId="138" xfId="0" applyNumberFormat="1" applyBorder="1"/>
    <xf numFmtId="3" fontId="12" fillId="0" borderId="136" xfId="89" applyNumberFormat="1" applyFont="1" applyBorder="1" applyAlignment="1">
      <alignment horizontal="left" indent="1"/>
    </xf>
    <xf numFmtId="0" fontId="0" fillId="0" borderId="137" xfId="0" applyBorder="1" applyAlignment="1">
      <alignment horizontal="center"/>
    </xf>
    <xf numFmtId="3" fontId="12" fillId="0" borderId="130" xfId="89" applyNumberFormat="1" applyFont="1" applyBorder="1" applyAlignment="1">
      <alignment horizontal="left" indent="1"/>
    </xf>
    <xf numFmtId="3" fontId="12" fillId="0" borderId="140" xfId="89" applyNumberFormat="1" applyFont="1" applyBorder="1" applyAlignment="1">
      <alignment horizontal="left" indent="1"/>
    </xf>
    <xf numFmtId="0" fontId="0" fillId="0" borderId="132" xfId="0" applyBorder="1" applyAlignment="1">
      <alignment horizontal="center"/>
    </xf>
    <xf numFmtId="0" fontId="12" fillId="0" borderId="133" xfId="7" applyFont="1" applyBorder="1" applyAlignment="1">
      <alignment horizontal="left" indent="1"/>
    </xf>
    <xf numFmtId="10" fontId="0" fillId="0" borderId="142" xfId="0" applyNumberFormat="1" applyBorder="1"/>
    <xf numFmtId="0" fontId="0" fillId="0" borderId="135" xfId="0" applyBorder="1"/>
    <xf numFmtId="0" fontId="0" fillId="0" borderId="143" xfId="0" applyBorder="1"/>
    <xf numFmtId="0" fontId="0" fillId="0" borderId="144" xfId="0" applyBorder="1" applyAlignment="1">
      <alignment horizontal="center" vertical="center" wrapText="1"/>
    </xf>
    <xf numFmtId="0" fontId="12" fillId="0" borderId="145" xfId="7" applyFont="1" applyBorder="1" applyAlignment="1">
      <alignment horizontal="center" vertical="center" wrapText="1"/>
    </xf>
    <xf numFmtId="0" fontId="0" fillId="0" borderId="6" xfId="0" applyBorder="1" applyAlignment="1">
      <alignment horizontal="left" vertical="center"/>
    </xf>
    <xf numFmtId="0" fontId="249" fillId="0" borderId="6" xfId="0" applyFont="1" applyBorder="1" applyAlignment="1">
      <alignment horizontal="center" vertical="center"/>
    </xf>
    <xf numFmtId="0" fontId="0" fillId="0" borderId="0" xfId="0" applyAlignment="1" applyProtection="1">
      <alignment horizontal="left" vertical="center"/>
      <protection locked="0"/>
    </xf>
    <xf numFmtId="0" fontId="36" fillId="0" borderId="0" xfId="92" quotePrefix="1" applyAlignment="1">
      <alignment horizontal="left" indent="1"/>
    </xf>
    <xf numFmtId="0" fontId="0" fillId="0" borderId="128" xfId="0" applyBorder="1" applyAlignment="1" applyProtection="1">
      <alignment horizontal="center" vertical="center"/>
      <protection locked="0"/>
    </xf>
    <xf numFmtId="351" fontId="0" fillId="0" borderId="128"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2" fillId="0" borderId="6" xfId="7" applyFont="1" applyBorder="1" applyAlignment="1">
      <alignment horizontal="left" indent="1"/>
    </xf>
    <xf numFmtId="0" fontId="12" fillId="36" borderId="6" xfId="75" applyFont="1" applyFill="1" applyBorder="1" applyAlignment="1">
      <alignment horizontal="right" vertical="center"/>
    </xf>
    <xf numFmtId="0" fontId="27" fillId="36" borderId="6" xfId="75" applyFont="1" applyFill="1" applyBorder="1"/>
    <xf numFmtId="1" fontId="12" fillId="38" borderId="6" xfId="1" applyNumberFormat="1" applyFont="1" applyFill="1" applyBorder="1" applyAlignment="1" applyProtection="1">
      <alignment horizontal="right" vertical="center"/>
    </xf>
    <xf numFmtId="0" fontId="27" fillId="38" borderId="6" xfId="75" applyFont="1" applyFill="1" applyBorder="1"/>
    <xf numFmtId="0" fontId="12" fillId="0" borderId="6" xfId="7" applyFont="1" applyBorder="1" applyAlignment="1">
      <alignment horizontal="left" wrapText="1" indent="1"/>
    </xf>
    <xf numFmtId="0" fontId="12" fillId="36" borderId="6" xfId="75" applyFont="1" applyFill="1" applyBorder="1" applyAlignment="1">
      <alignment vertical="center"/>
    </xf>
    <xf numFmtId="0" fontId="27" fillId="39" borderId="6" xfId="75" applyFont="1" applyFill="1" applyBorder="1"/>
    <xf numFmtId="0" fontId="27" fillId="40" borderId="6" xfId="75" applyFont="1" applyFill="1" applyBorder="1"/>
    <xf numFmtId="180" fontId="12" fillId="36" borderId="6" xfId="75" applyNumberFormat="1" applyFont="1" applyFill="1" applyBorder="1" applyAlignment="1">
      <alignment vertical="center"/>
    </xf>
    <xf numFmtId="0" fontId="27" fillId="37" borderId="6" xfId="75" applyFont="1" applyFill="1" applyBorder="1"/>
    <xf numFmtId="0" fontId="27" fillId="41" borderId="6" xfId="75" applyFont="1" applyFill="1" applyBorder="1"/>
    <xf numFmtId="0" fontId="27" fillId="0" borderId="6" xfId="75" applyFont="1" applyBorder="1"/>
    <xf numFmtId="0" fontId="261" fillId="47" borderId="128" xfId="0" applyFont="1" applyFill="1" applyBorder="1" applyAlignment="1">
      <alignment wrapText="1"/>
    </xf>
    <xf numFmtId="175" fontId="12" fillId="38" borderId="6" xfId="77" applyNumberFormat="1" applyFont="1" applyFill="1" applyBorder="1" applyAlignment="1" applyProtection="1">
      <alignment vertical="center"/>
    </xf>
    <xf numFmtId="0" fontId="249" fillId="132" borderId="6" xfId="0" applyFont="1" applyFill="1" applyBorder="1" applyAlignment="1">
      <alignment horizontal="center" vertical="center"/>
    </xf>
    <xf numFmtId="10" fontId="12"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2" fillId="42" borderId="6" xfId="7" applyNumberFormat="1" applyFont="1" applyFill="1" applyBorder="1" applyAlignment="1">
      <alignment horizontal="center" vertical="center"/>
    </xf>
    <xf numFmtId="0" fontId="10" fillId="2" borderId="6" xfId="0" applyFont="1" applyFill="1" applyBorder="1" applyAlignment="1">
      <alignment horizontal="center" vertical="center"/>
    </xf>
    <xf numFmtId="0" fontId="13" fillId="2" borderId="6" xfId="7" applyFont="1" applyFill="1" applyBorder="1" applyAlignment="1">
      <alignment horizontal="center" vertical="center"/>
    </xf>
    <xf numFmtId="0" fontId="0" fillId="0" borderId="6" xfId="0" applyBorder="1" applyAlignment="1">
      <alignment wrapText="1"/>
    </xf>
    <xf numFmtId="0" fontId="12"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5" fillId="0" borderId="6" xfId="75" applyFont="1" applyBorder="1" applyAlignment="1">
      <alignment horizontal="center" vertical="center"/>
    </xf>
    <xf numFmtId="0" fontId="26" fillId="0" borderId="6" xfId="75" applyFont="1" applyBorder="1" applyAlignment="1">
      <alignment horizontal="center"/>
    </xf>
    <xf numFmtId="180" fontId="12" fillId="36" borderId="6" xfId="75" applyNumberFormat="1" applyFont="1" applyFill="1" applyBorder="1"/>
    <xf numFmtId="177" fontId="12" fillId="38" borderId="6" xfId="1" applyNumberFormat="1" applyFont="1" applyFill="1" applyBorder="1" applyProtection="1"/>
    <xf numFmtId="177" fontId="12" fillId="38" borderId="6" xfId="1" applyNumberFormat="1" applyFont="1" applyFill="1" applyBorder="1" applyAlignment="1" applyProtection="1">
      <alignment horizontal="right"/>
    </xf>
    <xf numFmtId="9" fontId="11"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3" fillId="51" borderId="125"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8" xfId="0" applyFill="1" applyBorder="1"/>
    <xf numFmtId="3" fontId="0" fillId="52" borderId="90" xfId="0" applyNumberFormat="1" applyFill="1" applyBorder="1"/>
    <xf numFmtId="3" fontId="12" fillId="51" borderId="0" xfId="1" applyNumberFormat="1" applyFont="1" applyFill="1" applyBorder="1" applyAlignment="1" applyProtection="1">
      <alignment horizontal="left" indent="1"/>
    </xf>
    <xf numFmtId="3" fontId="12" fillId="51" borderId="0" xfId="77" applyNumberFormat="1" applyFont="1" applyFill="1" applyBorder="1" applyAlignment="1" applyProtection="1">
      <alignment horizontal="left" indent="1"/>
    </xf>
    <xf numFmtId="0" fontId="261" fillId="47" borderId="152" xfId="0" applyFont="1" applyFill="1" applyBorder="1" applyAlignment="1">
      <alignment wrapText="1"/>
    </xf>
    <xf numFmtId="0" fontId="0" fillId="52" borderId="151" xfId="0" applyFill="1" applyBorder="1" applyAlignment="1">
      <alignment horizontal="center" wrapText="1"/>
    </xf>
    <xf numFmtId="0" fontId="0" fillId="52" borderId="152" xfId="0" applyFill="1" applyBorder="1"/>
    <xf numFmtId="0" fontId="246" fillId="46" borderId="0" xfId="48236" applyFont="1" applyFill="1" applyAlignment="1">
      <alignment horizontal="center" vertical="top" wrapText="1"/>
    </xf>
    <xf numFmtId="0" fontId="3" fillId="0" borderId="0" xfId="51695"/>
    <xf numFmtId="0" fontId="9" fillId="0" borderId="0" xfId="51695" applyFont="1"/>
    <xf numFmtId="0" fontId="0" fillId="0" borderId="157" xfId="0" applyBorder="1"/>
    <xf numFmtId="0" fontId="0" fillId="0" borderId="89" xfId="0" applyBorder="1"/>
    <xf numFmtId="0" fontId="0" fillId="0" borderId="90" xfId="0" applyBorder="1"/>
    <xf numFmtId="0" fontId="276" fillId="136" borderId="0" xfId="51695" applyFont="1" applyFill="1"/>
    <xf numFmtId="0" fontId="275" fillId="47" borderId="0" xfId="51695" applyFont="1" applyFill="1"/>
    <xf numFmtId="0" fontId="275" fillId="47" borderId="128" xfId="51695" applyFont="1" applyFill="1" applyBorder="1"/>
    <xf numFmtId="0" fontId="275" fillId="47" borderId="11" xfId="51695" applyFont="1" applyFill="1" applyBorder="1"/>
    <xf numFmtId="0" fontId="275" fillId="47" borderId="90" xfId="51695" applyFont="1" applyFill="1" applyBorder="1"/>
    <xf numFmtId="0" fontId="0" fillId="101" borderId="0" xfId="0" applyFill="1"/>
    <xf numFmtId="0" fontId="10" fillId="53" borderId="154" xfId="0" applyFont="1" applyFill="1" applyBorder="1" applyAlignment="1">
      <alignment wrapText="1"/>
    </xf>
    <xf numFmtId="0" fontId="10" fillId="53" borderId="155" xfId="0" applyFont="1" applyFill="1" applyBorder="1" applyAlignment="1">
      <alignment wrapText="1"/>
    </xf>
    <xf numFmtId="14" fontId="10" fillId="53" borderId="154" xfId="0" applyNumberFormat="1" applyFont="1" applyFill="1" applyBorder="1" applyAlignment="1">
      <alignment wrapText="1"/>
    </xf>
    <xf numFmtId="355" fontId="10" fillId="53" borderId="154" xfId="77" applyNumberFormat="1" applyFont="1" applyFill="1" applyBorder="1" applyAlignment="1">
      <alignment wrapText="1"/>
    </xf>
    <xf numFmtId="0" fontId="10" fillId="53" borderId="158" xfId="0" applyFont="1" applyFill="1" applyBorder="1" applyAlignment="1">
      <alignment wrapText="1"/>
    </xf>
    <xf numFmtId="0" fontId="0" fillId="0" borderId="6" xfId="0" applyBorder="1" applyAlignment="1">
      <alignment vertical="center" wrapText="1"/>
    </xf>
    <xf numFmtId="15" fontId="246" fillId="46" borderId="156" xfId="48236" applyNumberFormat="1" applyFont="1" applyFill="1" applyBorder="1" applyAlignment="1">
      <alignment horizontal="center" vertical="top" wrapText="1"/>
    </xf>
    <xf numFmtId="0" fontId="246" fillId="46" borderId="156" xfId="48236" applyFont="1" applyFill="1" applyBorder="1" applyAlignment="1">
      <alignment vertical="top" wrapText="1"/>
    </xf>
    <xf numFmtId="0" fontId="246" fillId="46" borderId="156"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2"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9" fillId="0" borderId="0" xfId="0" applyFont="1" applyAlignment="1">
      <alignment horizontal="center" vertical="center"/>
    </xf>
    <xf numFmtId="3" fontId="12" fillId="0" borderId="6" xfId="89" applyNumberFormat="1" applyFont="1" applyBorder="1" applyAlignment="1">
      <alignment horizontal="left" indent="1"/>
    </xf>
    <xf numFmtId="0" fontId="13" fillId="0" borderId="6" xfId="7" applyFont="1" applyBorder="1" applyAlignment="1">
      <alignment horizontal="left" indent="1"/>
    </xf>
    <xf numFmtId="178" fontId="12" fillId="38" borderId="6" xfId="1" applyNumberFormat="1" applyFont="1" applyFill="1" applyBorder="1" applyAlignment="1">
      <alignment horizontal="right" vertical="center"/>
    </xf>
    <xf numFmtId="3" fontId="12" fillId="138" borderId="6" xfId="89" applyNumberFormat="1" applyFont="1" applyFill="1" applyBorder="1" applyAlignment="1">
      <alignment horizontal="left" indent="1"/>
    </xf>
    <xf numFmtId="184" fontId="12" fillId="138"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3" fillId="0" borderId="0" xfId="0" applyFont="1"/>
    <xf numFmtId="0" fontId="273" fillId="0" borderId="0" xfId="0" applyFont="1" applyAlignment="1">
      <alignment horizontal="left" indent="1"/>
    </xf>
    <xf numFmtId="178" fontId="0" fillId="52" borderId="63" xfId="0" applyNumberFormat="1" applyFill="1" applyBorder="1" applyAlignment="1">
      <alignment horizontal="right" indent="1"/>
    </xf>
    <xf numFmtId="0" fontId="261" fillId="0" borderId="0" xfId="0" applyFont="1" applyAlignment="1">
      <alignment horizontal="left" indent="1"/>
    </xf>
    <xf numFmtId="0" fontId="27" fillId="0" borderId="0" xfId="75" applyFont="1" applyProtection="1">
      <protection locked="0"/>
    </xf>
    <xf numFmtId="0" fontId="27" fillId="0" borderId="0" xfId="75" applyFont="1" applyAlignment="1">
      <alignment horizontal="left" indent="1"/>
    </xf>
    <xf numFmtId="0" fontId="27" fillId="0" borderId="0" xfId="75" applyFont="1" applyAlignment="1">
      <alignment horizontal="left" vertical="center" indent="1"/>
    </xf>
    <xf numFmtId="0" fontId="12" fillId="0" borderId="0" xfId="7" applyFont="1" applyAlignment="1">
      <alignment horizontal="left" indent="1"/>
    </xf>
    <xf numFmtId="0" fontId="0" fillId="52" borderId="157" xfId="0" applyFill="1" applyBorder="1" applyAlignment="1">
      <alignment horizontal="center" wrapText="1"/>
    </xf>
    <xf numFmtId="169" fontId="249" fillId="0" borderId="0" xfId="0" applyNumberFormat="1" applyFont="1"/>
    <xf numFmtId="0" fontId="262" fillId="47" borderId="0" xfId="90" applyFont="1" applyFill="1" applyAlignment="1" applyProtection="1">
      <alignment horizontal="left" indent="1"/>
      <protection locked="0"/>
    </xf>
    <xf numFmtId="0" fontId="262" fillId="47" borderId="0" xfId="90" applyFont="1" applyFill="1" applyAlignment="1" applyProtection="1">
      <alignment horizontal="left"/>
      <protection locked="0"/>
    </xf>
    <xf numFmtId="0" fontId="32" fillId="47" borderId="0" xfId="90" applyFont="1" applyFill="1" applyAlignment="1" applyProtection="1">
      <alignment horizontal="left"/>
      <protection locked="0"/>
    </xf>
    <xf numFmtId="0" fontId="34" fillId="47" borderId="0" xfId="75" applyFont="1" applyFill="1" applyProtection="1">
      <protection locked="0"/>
    </xf>
    <xf numFmtId="0" fontId="34" fillId="47" borderId="11" xfId="75" applyFont="1" applyFill="1" applyBorder="1" applyProtection="1">
      <protection locked="0"/>
    </xf>
    <xf numFmtId="0" fontId="32" fillId="47" borderId="128" xfId="90" applyFont="1" applyFill="1" applyBorder="1" applyAlignment="1" applyProtection="1">
      <alignment horizontal="left"/>
      <protection locked="0"/>
    </xf>
    <xf numFmtId="0" fontId="34" fillId="47" borderId="128" xfId="75" applyFont="1" applyFill="1" applyBorder="1" applyProtection="1">
      <protection locked="0"/>
    </xf>
    <xf numFmtId="0" fontId="34"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10"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10" fillId="2" borderId="59" xfId="0" applyNumberFormat="1" applyFont="1" applyFill="1" applyBorder="1" applyAlignment="1" applyProtection="1">
      <alignment horizontal="center" vertical="center" wrapText="1"/>
      <protection locked="0"/>
    </xf>
    <xf numFmtId="1" fontId="10"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31" fillId="0" borderId="0" xfId="0" applyFont="1" applyProtection="1">
      <protection locked="0"/>
    </xf>
    <xf numFmtId="0" fontId="0" fillId="51" borderId="0" xfId="0" applyFill="1" applyAlignment="1" applyProtection="1">
      <alignment horizontal="left" indent="1"/>
      <protection locked="0"/>
    </xf>
    <xf numFmtId="0" fontId="33" fillId="47" borderId="152" xfId="75" applyFont="1" applyFill="1" applyBorder="1"/>
    <xf numFmtId="0" fontId="262" fillId="47" borderId="0" xfId="90" applyFont="1" applyFill="1" applyAlignment="1">
      <alignment horizontal="left" indent="1"/>
    </xf>
    <xf numFmtId="0" fontId="34" fillId="47" borderId="0" xfId="75" applyFont="1" applyFill="1"/>
    <xf numFmtId="0" fontId="34" fillId="47" borderId="11" xfId="75" applyFont="1" applyFill="1" applyBorder="1"/>
    <xf numFmtId="0" fontId="32" fillId="47" borderId="128" xfId="90" applyFont="1" applyFill="1" applyBorder="1" applyAlignment="1">
      <alignment horizontal="left"/>
    </xf>
    <xf numFmtId="0" fontId="34" fillId="47" borderId="128" xfId="75" applyFont="1" applyFill="1" applyBorder="1"/>
    <xf numFmtId="0" fontId="34"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10" fillId="2" borderId="71" xfId="0" applyFont="1" applyFill="1" applyBorder="1" applyAlignment="1">
      <alignment horizontal="center" vertical="center"/>
    </xf>
    <xf numFmtId="1" fontId="10" fillId="2" borderId="59" xfId="0" applyNumberFormat="1" applyFont="1" applyFill="1" applyBorder="1" applyAlignment="1">
      <alignment horizontal="center" vertical="center" wrapText="1"/>
    </xf>
    <xf numFmtId="1" fontId="10" fillId="2" borderId="61" xfId="0" applyNumberFormat="1" applyFont="1" applyFill="1" applyBorder="1" applyAlignment="1">
      <alignment horizontal="center" vertical="center" wrapText="1"/>
    </xf>
    <xf numFmtId="1" fontId="10" fillId="2" borderId="59" xfId="0" applyNumberFormat="1" applyFont="1" applyFill="1" applyBorder="1" applyAlignment="1">
      <alignment horizontal="center" vertical="center"/>
    </xf>
    <xf numFmtId="0" fontId="10" fillId="53" borderId="0" xfId="0" applyFont="1" applyFill="1" applyAlignment="1">
      <alignment horizontal="left" vertical="center" indent="1"/>
    </xf>
    <xf numFmtId="0" fontId="0" fillId="53" borderId="0" xfId="0" applyFill="1" applyAlignment="1">
      <alignment vertical="center"/>
    </xf>
    <xf numFmtId="0" fontId="10"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12" fillId="38" borderId="122" xfId="77" applyNumberFormat="1" applyFont="1" applyFill="1" applyBorder="1" applyProtection="1"/>
    <xf numFmtId="175" fontId="10" fillId="0" borderId="0" xfId="0" applyNumberFormat="1" applyFont="1"/>
    <xf numFmtId="175" fontId="12" fillId="38" borderId="76" xfId="77" applyNumberFormat="1" applyFont="1" applyFill="1" applyBorder="1" applyProtection="1"/>
    <xf numFmtId="0" fontId="31" fillId="0" borderId="0" xfId="0" applyFont="1"/>
    <xf numFmtId="175" fontId="10"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2" fillId="0" borderId="0" xfId="1" applyNumberFormat="1" applyFont="1" applyAlignment="1" applyProtection="1">
      <alignment horizontal="left" indent="1"/>
    </xf>
    <xf numFmtId="0" fontId="10" fillId="51" borderId="0" xfId="0" applyFont="1" applyFill="1" applyAlignment="1">
      <alignment horizontal="left" indent="1"/>
    </xf>
    <xf numFmtId="1" fontId="0" fillId="51" borderId="0" xfId="0" applyNumberFormat="1" applyFill="1" applyAlignment="1">
      <alignment horizontal="center"/>
    </xf>
    <xf numFmtId="0" fontId="12" fillId="51" borderId="0" xfId="0" applyFont="1" applyFill="1" applyAlignment="1">
      <alignment horizontal="left" indent="1"/>
    </xf>
    <xf numFmtId="0" fontId="0" fillId="47" borderId="152" xfId="0" applyFill="1" applyBorder="1" applyProtection="1">
      <protection locked="0"/>
    </xf>
    <xf numFmtId="0" fontId="32" fillId="47" borderId="0" xfId="90" applyFont="1" applyFill="1" applyAlignment="1" applyProtection="1">
      <alignment horizontal="center" vertical="center"/>
      <protection locked="0"/>
    </xf>
    <xf numFmtId="0" fontId="262" fillId="47" borderId="128" xfId="90" applyFont="1" applyFill="1" applyBorder="1" applyAlignment="1" applyProtection="1">
      <alignment horizontal="left" indent="1"/>
      <protection locked="0"/>
    </xf>
    <xf numFmtId="0" fontId="32" fillId="47" borderId="128"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10" fillId="0" borderId="0" xfId="0" applyNumberFormat="1" applyFont="1" applyAlignment="1" applyProtection="1">
      <alignment horizontal="center"/>
      <protection locked="0"/>
    </xf>
    <xf numFmtId="0" fontId="10"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3" fillId="0" borderId="0" xfId="0" applyFont="1" applyAlignment="1" applyProtection="1">
      <alignment horizontal="left" vertical="top" indent="1"/>
      <protection locked="0"/>
    </xf>
    <xf numFmtId="0" fontId="10"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10" fillId="0" borderId="0" xfId="0" applyNumberFormat="1" applyFont="1" applyAlignment="1" applyProtection="1">
      <alignment horizontal="right"/>
      <protection locked="0"/>
    </xf>
    <xf numFmtId="0" fontId="12"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9" fillId="0" borderId="0" xfId="0" applyFont="1" applyProtection="1">
      <protection locked="0"/>
    </xf>
    <xf numFmtId="1" fontId="10" fillId="0" borderId="0" xfId="0" applyNumberFormat="1" applyFont="1" applyAlignment="1" applyProtection="1">
      <alignment horizontal="right"/>
      <protection locked="0"/>
    </xf>
    <xf numFmtId="0" fontId="12" fillId="42" borderId="0" xfId="0" applyFont="1" applyFill="1" applyAlignment="1" applyProtection="1">
      <alignment horizontal="left" vertical="center" indent="1"/>
      <protection locked="0"/>
    </xf>
    <xf numFmtId="0" fontId="12" fillId="0" borderId="0" xfId="0" applyFont="1" applyAlignment="1" applyProtection="1">
      <alignment horizontal="left" vertical="center" indent="1"/>
      <protection locked="0"/>
    </xf>
    <xf numFmtId="1" fontId="10"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9" fillId="0" borderId="0" xfId="0" applyFont="1" applyAlignment="1" applyProtection="1">
      <alignment horizontal="left"/>
      <protection locked="0"/>
    </xf>
    <xf numFmtId="0" fontId="28" fillId="0" borderId="0" xfId="0" applyFont="1" applyProtection="1">
      <protection locked="0"/>
    </xf>
    <xf numFmtId="0" fontId="12"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7" xfId="0" applyBorder="1" applyProtection="1">
      <protection locked="0"/>
    </xf>
    <xf numFmtId="170" fontId="13" fillId="0" borderId="0" xfId="1" applyNumberFormat="1" applyFont="1" applyFill="1" applyBorder="1" applyProtection="1">
      <protection locked="0"/>
    </xf>
    <xf numFmtId="170" fontId="13" fillId="0" borderId="11" xfId="1" applyNumberFormat="1" applyFont="1" applyFill="1" applyBorder="1" applyProtection="1">
      <protection locked="0"/>
    </xf>
    <xf numFmtId="0" fontId="0" fillId="0" borderId="157" xfId="0" applyBorder="1" applyAlignment="1" applyProtection="1">
      <alignment horizontal="left" vertical="top"/>
      <protection locked="0"/>
    </xf>
    <xf numFmtId="0" fontId="28" fillId="0" borderId="157" xfId="0" applyFont="1" applyBorder="1" applyProtection="1">
      <protection locked="0"/>
    </xf>
    <xf numFmtId="0" fontId="10" fillId="0" borderId="157" xfId="0" applyFont="1" applyBorder="1" applyProtection="1">
      <protection locked="0"/>
    </xf>
    <xf numFmtId="0" fontId="10" fillId="0" borderId="157" xfId="0" applyFont="1" applyBorder="1" applyAlignment="1" applyProtection="1">
      <alignment horizontal="left" vertical="top"/>
      <protection locked="0"/>
    </xf>
    <xf numFmtId="0" fontId="0" fillId="0" borderId="11" xfId="0" applyBorder="1" applyProtection="1">
      <protection locked="0"/>
    </xf>
    <xf numFmtId="0" fontId="10" fillId="0" borderId="89" xfId="0" applyFont="1" applyBorder="1" applyProtection="1">
      <protection locked="0"/>
    </xf>
    <xf numFmtId="0" fontId="0" fillId="0" borderId="128" xfId="0" applyBorder="1" applyAlignment="1" applyProtection="1">
      <alignment horizontal="left" indent="1"/>
      <protection locked="0"/>
    </xf>
    <xf numFmtId="0" fontId="0" fillId="0" borderId="0" xfId="0" quotePrefix="1" applyProtection="1">
      <protection locked="0"/>
    </xf>
    <xf numFmtId="0" fontId="10" fillId="0" borderId="0" xfId="0" applyFont="1" applyProtection="1">
      <protection locked="0"/>
    </xf>
    <xf numFmtId="0" fontId="0" fillId="3" borderId="152" xfId="0" applyFill="1" applyBorder="1" applyProtection="1">
      <protection locked="0"/>
    </xf>
    <xf numFmtId="0" fontId="0" fillId="3" borderId="157"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8" xfId="0" applyFill="1" applyBorder="1" applyAlignment="1" applyProtection="1">
      <alignment horizontal="left" indent="1"/>
      <protection locked="0"/>
    </xf>
    <xf numFmtId="0" fontId="0" fillId="3" borderId="128" xfId="0" applyFill="1" applyBorder="1" applyAlignment="1" applyProtection="1">
      <alignment horizontal="center" vertical="center"/>
      <protection locked="0"/>
    </xf>
    <xf numFmtId="0" fontId="0" fillId="3" borderId="128" xfId="0" applyFill="1" applyBorder="1" applyProtection="1">
      <protection locked="0"/>
    </xf>
    <xf numFmtId="0" fontId="0" fillId="3" borderId="90" xfId="0" applyFill="1" applyBorder="1" applyProtection="1">
      <protection locked="0"/>
    </xf>
    <xf numFmtId="177" fontId="10"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10" fillId="51" borderId="59" xfId="1" applyNumberFormat="1" applyFont="1" applyFill="1" applyBorder="1" applyAlignment="1" applyProtection="1">
      <alignment horizontal="right" vertical="top"/>
    </xf>
    <xf numFmtId="170" fontId="12"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2" fillId="54" borderId="6" xfId="75" applyFont="1" applyFill="1" applyBorder="1" applyAlignment="1">
      <alignment horizontal="center" vertical="center"/>
    </xf>
    <xf numFmtId="351" fontId="0" fillId="52" borderId="6" xfId="0" applyNumberFormat="1" applyFill="1" applyBorder="1"/>
    <xf numFmtId="170" fontId="12" fillId="38" borderId="6" xfId="1" applyNumberFormat="1" applyFont="1" applyFill="1" applyBorder="1" applyProtection="1"/>
    <xf numFmtId="170" fontId="13" fillId="38" borderId="6" xfId="1" applyNumberFormat="1" applyFont="1" applyFill="1" applyBorder="1" applyProtection="1"/>
    <xf numFmtId="177" fontId="0" fillId="51" borderId="59" xfId="0" applyNumberFormat="1" applyFill="1" applyBorder="1" applyAlignment="1">
      <alignment horizontal="right" vertical="top"/>
    </xf>
    <xf numFmtId="170" fontId="13" fillId="38" borderId="11" xfId="1" applyNumberFormat="1" applyFont="1" applyFill="1" applyBorder="1" applyProtection="1"/>
    <xf numFmtId="170" fontId="13" fillId="52" borderId="6" xfId="1" applyNumberFormat="1" applyFont="1" applyFill="1" applyBorder="1" applyProtection="1"/>
    <xf numFmtId="0" fontId="34" fillId="47" borderId="152" xfId="75" applyFont="1" applyFill="1" applyBorder="1" applyProtection="1">
      <protection locked="0"/>
    </xf>
    <xf numFmtId="1" fontId="10" fillId="2" borderId="71" xfId="0" applyNumberFormat="1" applyFont="1" applyFill="1" applyBorder="1" applyAlignment="1" applyProtection="1">
      <alignment horizontal="center" vertical="center"/>
      <protection locked="0"/>
    </xf>
    <xf numFmtId="1" fontId="10" fillId="2" borderId="72" xfId="0" applyNumberFormat="1" applyFont="1" applyFill="1" applyBorder="1" applyAlignment="1" applyProtection="1">
      <alignment horizontal="center" vertical="center"/>
      <protection locked="0"/>
    </xf>
    <xf numFmtId="1" fontId="10" fillId="2" borderId="73" xfId="0" applyNumberFormat="1" applyFont="1" applyFill="1" applyBorder="1" applyAlignment="1" applyProtection="1">
      <alignment horizontal="center" wrapText="1"/>
      <protection locked="0"/>
    </xf>
    <xf numFmtId="0" fontId="10"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10"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4"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10" fillId="0" borderId="0" xfId="0" applyFont="1" applyAlignment="1" applyProtection="1">
      <alignment horizontal="center" vertical="center" wrapText="1"/>
      <protection locked="0"/>
    </xf>
    <xf numFmtId="0" fontId="10"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10"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10"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8"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2" fillId="52" borderId="59" xfId="2" applyNumberFormat="1" applyFont="1" applyFill="1" applyBorder="1" applyAlignment="1" applyProtection="1">
      <alignment vertical="center"/>
    </xf>
    <xf numFmtId="170" fontId="12" fillId="52" borderId="61" xfId="2" applyNumberFormat="1" applyFont="1" applyFill="1" applyBorder="1" applyAlignment="1" applyProtection="1">
      <alignment vertical="center"/>
    </xf>
    <xf numFmtId="170" fontId="12" fillId="52" borderId="68" xfId="2" applyNumberFormat="1" applyFont="1" applyFill="1" applyBorder="1" applyAlignment="1" applyProtection="1">
      <alignment vertical="center"/>
    </xf>
    <xf numFmtId="170" fontId="12"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2" fillId="52" borderId="101" xfId="2" applyNumberFormat="1" applyFont="1" applyFill="1" applyBorder="1" applyAlignment="1" applyProtection="1">
      <alignment vertical="center"/>
    </xf>
    <xf numFmtId="177" fontId="12" fillId="52" borderId="78" xfId="2" applyNumberFormat="1" applyFont="1" applyFill="1" applyBorder="1" applyAlignment="1" applyProtection="1">
      <alignment vertical="center"/>
    </xf>
    <xf numFmtId="177" fontId="12" fillId="52" borderId="102" xfId="2" applyNumberFormat="1" applyFont="1" applyFill="1" applyBorder="1" applyAlignment="1" applyProtection="1">
      <alignment vertical="center"/>
    </xf>
    <xf numFmtId="177" fontId="12"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2" fillId="52" borderId="102" xfId="2" applyNumberFormat="1" applyFont="1" applyFill="1" applyBorder="1" applyAlignment="1" applyProtection="1">
      <alignment vertical="top"/>
    </xf>
    <xf numFmtId="177" fontId="12" fillId="52" borderId="108" xfId="2" applyNumberFormat="1" applyFont="1" applyFill="1" applyBorder="1" applyAlignment="1" applyProtection="1">
      <alignment vertical="top"/>
    </xf>
    <xf numFmtId="177" fontId="10"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7" xfId="0" applyNumberFormat="1" applyFill="1" applyBorder="1" applyAlignment="1">
      <alignment horizontal="right" vertical="top"/>
    </xf>
    <xf numFmtId="177" fontId="0" fillId="52" borderId="126" xfId="0" applyNumberFormat="1" applyFill="1" applyBorder="1" applyAlignment="1">
      <alignment horizontal="right" vertical="top"/>
    </xf>
    <xf numFmtId="170" fontId="12"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4" fillId="47" borderId="0" xfId="90" applyFont="1" applyFill="1" applyAlignment="1" applyProtection="1">
      <alignment horizontal="left"/>
      <protection locked="0"/>
    </xf>
    <xf numFmtId="0" fontId="37" fillId="47" borderId="0" xfId="90" applyFont="1" applyFill="1" applyAlignment="1" applyProtection="1">
      <alignment horizontal="center" vertical="center"/>
      <protection locked="0"/>
    </xf>
    <xf numFmtId="0" fontId="37" fillId="47" borderId="0" xfId="90" applyFont="1" applyFill="1" applyAlignment="1" applyProtection="1">
      <alignment horizontal="left"/>
      <protection locked="0"/>
    </xf>
    <xf numFmtId="0" fontId="37" fillId="47" borderId="128" xfId="90" applyFont="1" applyFill="1" applyBorder="1" applyAlignment="1" applyProtection="1">
      <alignment horizontal="center" vertical="center"/>
      <protection locked="0"/>
    </xf>
    <xf numFmtId="0" fontId="37" fillId="47" borderId="128" xfId="90" applyFont="1" applyFill="1" applyBorder="1" applyAlignment="1" applyProtection="1">
      <alignment horizontal="left"/>
      <protection locked="0"/>
    </xf>
    <xf numFmtId="0" fontId="268" fillId="53" borderId="0" xfId="0" applyFont="1" applyFill="1" applyAlignment="1" applyProtection="1">
      <alignment horizontal="left" vertical="top"/>
      <protection locked="0"/>
    </xf>
    <xf numFmtId="0" fontId="266"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2"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10" fillId="3" borderId="0" xfId="0" applyFont="1" applyFill="1" applyAlignment="1" applyProtection="1">
      <alignment horizontal="left" vertical="top"/>
      <protection locked="0"/>
    </xf>
    <xf numFmtId="0" fontId="10"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6"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7" fillId="41" borderId="6" xfId="75" applyFont="1" applyFill="1" applyBorder="1" applyProtection="1">
      <protection locked="0"/>
    </xf>
    <xf numFmtId="0" fontId="0" fillId="0" borderId="0" xfId="0" applyAlignment="1" applyProtection="1">
      <alignment horizontal="right"/>
      <protection locked="0"/>
    </xf>
    <xf numFmtId="173" fontId="39" fillId="48" borderId="0" xfId="94" applyProtection="1">
      <alignment vertical="center"/>
      <protection locked="0"/>
    </xf>
    <xf numFmtId="173" fontId="272" fillId="48" borderId="0" xfId="94" applyFont="1" applyProtection="1">
      <alignment vertical="center"/>
      <protection locked="0"/>
    </xf>
    <xf numFmtId="0" fontId="0" fillId="51" borderId="0" xfId="0" applyFill="1" applyAlignment="1" applyProtection="1">
      <alignment horizontal="left" vertical="top"/>
      <protection locked="0"/>
    </xf>
    <xf numFmtId="177" fontId="10"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2" fillId="47" borderId="128" xfId="90" applyFont="1" applyFill="1" applyBorder="1" applyAlignment="1" applyProtection="1">
      <alignment horizontal="left"/>
      <protection locked="0"/>
    </xf>
    <xf numFmtId="0" fontId="32" fillId="0" borderId="0" xfId="90" applyFont="1" applyAlignment="1" applyProtection="1">
      <alignment horizontal="left"/>
      <protection locked="0"/>
    </xf>
    <xf numFmtId="0" fontId="34" fillId="0" borderId="0" xfId="75" applyFont="1" applyProtection="1">
      <protection locked="0"/>
    </xf>
    <xf numFmtId="1" fontId="10" fillId="2" borderId="73" xfId="0" applyNumberFormat="1" applyFont="1" applyFill="1" applyBorder="1" applyAlignment="1" applyProtection="1">
      <alignment horizontal="center" vertical="center"/>
      <protection locked="0"/>
    </xf>
    <xf numFmtId="1" fontId="10" fillId="2" borderId="85" xfId="0" applyNumberFormat="1" applyFont="1" applyFill="1" applyBorder="1" applyAlignment="1" applyProtection="1">
      <alignment horizontal="center" vertical="center" wrapText="1"/>
      <protection locked="0"/>
    </xf>
    <xf numFmtId="1" fontId="10" fillId="2" borderId="73" xfId="0" applyNumberFormat="1" applyFont="1" applyFill="1" applyBorder="1" applyAlignment="1" applyProtection="1">
      <alignment horizontal="center" vertical="center" wrapText="1"/>
      <protection locked="0"/>
    </xf>
    <xf numFmtId="1" fontId="10" fillId="2" borderId="6" xfId="0" applyNumberFormat="1" applyFont="1" applyFill="1" applyBorder="1" applyAlignment="1" applyProtection="1">
      <alignment horizontal="center" vertical="center"/>
      <protection locked="0"/>
    </xf>
    <xf numFmtId="173" fontId="13" fillId="0" borderId="0" xfId="0" applyNumberFormat="1" applyFont="1" applyAlignment="1" applyProtection="1">
      <alignment horizontal="left" vertical="center"/>
      <protection locked="0"/>
    </xf>
    <xf numFmtId="0" fontId="29" fillId="0" borderId="0" xfId="0" applyFont="1" applyProtection="1">
      <protection locked="0"/>
    </xf>
    <xf numFmtId="178" fontId="0" fillId="0" borderId="0" xfId="0" applyNumberFormat="1" applyAlignment="1" applyProtection="1">
      <alignment horizontal="left" vertical="top"/>
      <protection locked="0"/>
    </xf>
    <xf numFmtId="173" fontId="12" fillId="0" borderId="0" xfId="0" applyNumberFormat="1" applyFont="1" applyAlignment="1" applyProtection="1">
      <alignment horizontal="left" vertical="center" indent="1"/>
      <protection locked="0"/>
    </xf>
    <xf numFmtId="0" fontId="13" fillId="0" borderId="0" xfId="85" applyFont="1" applyAlignment="1" applyProtection="1">
      <alignment horizontal="left" vertical="center" wrapText="1"/>
      <protection locked="0"/>
    </xf>
    <xf numFmtId="0" fontId="12" fillId="0" borderId="0" xfId="85" applyFont="1" applyAlignment="1" applyProtection="1">
      <alignment horizontal="left" vertical="center" wrapText="1" indent="1"/>
      <protection locked="0"/>
    </xf>
    <xf numFmtId="177" fontId="12" fillId="3" borderId="62" xfId="2" applyNumberFormat="1" applyFont="1" applyFill="1" applyBorder="1" applyProtection="1">
      <protection locked="0"/>
    </xf>
    <xf numFmtId="0" fontId="12" fillId="42" borderId="0" xfId="75" applyFont="1" applyFill="1" applyAlignment="1" applyProtection="1">
      <alignment horizontal="center" vertical="top"/>
      <protection locked="0"/>
    </xf>
    <xf numFmtId="177" fontId="12" fillId="0" borderId="0" xfId="2" applyNumberFormat="1" applyFont="1" applyFill="1" applyBorder="1" applyProtection="1">
      <protection locked="0"/>
    </xf>
    <xf numFmtId="0" fontId="12" fillId="0" borderId="0" xfId="7" applyFont="1" applyAlignment="1" applyProtection="1">
      <alignment horizontal="left" vertical="center" wrapText="1" indent="1"/>
      <protection locked="0"/>
    </xf>
    <xf numFmtId="177" fontId="12" fillId="0" borderId="0" xfId="1" applyNumberFormat="1" applyFont="1" applyFill="1" applyBorder="1" applyProtection="1">
      <protection locked="0"/>
    </xf>
    <xf numFmtId="177" fontId="12"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2" fillId="42" borderId="0" xfId="0" applyNumberFormat="1" applyFont="1" applyFill="1" applyAlignment="1" applyProtection="1">
      <alignment horizontal="left" vertical="center" indent="1"/>
      <protection locked="0"/>
    </xf>
    <xf numFmtId="177" fontId="13" fillId="42" borderId="28" xfId="1" applyNumberFormat="1" applyFont="1" applyFill="1" applyBorder="1" applyProtection="1">
      <protection locked="0"/>
    </xf>
    <xf numFmtId="177" fontId="13" fillId="42" borderId="28" xfId="2" applyNumberFormat="1" applyFont="1" applyFill="1" applyBorder="1" applyAlignment="1" applyProtection="1">
      <alignment horizontal="right" vertical="center"/>
      <protection locked="0"/>
    </xf>
    <xf numFmtId="173" fontId="13" fillId="0" borderId="0" xfId="0" applyNumberFormat="1" applyFont="1" applyAlignment="1" applyProtection="1">
      <alignment horizontal="left" vertical="center" indent="1"/>
      <protection locked="0"/>
    </xf>
    <xf numFmtId="0" fontId="10" fillId="53" borderId="0" xfId="0" applyFont="1" applyFill="1" applyProtection="1">
      <protection locked="0"/>
    </xf>
    <xf numFmtId="0" fontId="249"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10"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9" fillId="116" borderId="0" xfId="0" applyFont="1" applyFill="1" applyAlignment="1" applyProtection="1">
      <alignment horizontal="left" vertical="top"/>
      <protection locked="0"/>
    </xf>
    <xf numFmtId="0" fontId="249" fillId="0" borderId="0" xfId="0" applyFont="1" applyAlignment="1" applyProtection="1">
      <alignment horizontal="left" vertical="top"/>
      <protection locked="0"/>
    </xf>
    <xf numFmtId="177" fontId="12"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10"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2" fillId="37" borderId="71" xfId="75" applyFont="1" applyFill="1" applyBorder="1" applyAlignment="1">
      <alignment horizontal="center" vertical="top"/>
    </xf>
    <xf numFmtId="0" fontId="12"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3" fillId="52" borderId="71" xfId="2" applyNumberFormat="1" applyFont="1" applyFill="1" applyBorder="1" applyAlignment="1" applyProtection="1">
      <alignment horizontal="right" vertical="center"/>
    </xf>
    <xf numFmtId="177" fontId="13" fillId="52" borderId="73" xfId="2" applyNumberFormat="1" applyFont="1" applyFill="1" applyBorder="1" applyAlignment="1" applyProtection="1">
      <alignment horizontal="right" vertical="center"/>
    </xf>
    <xf numFmtId="177" fontId="12" fillId="52" borderId="71" xfId="2" applyNumberFormat="1" applyFont="1" applyFill="1" applyBorder="1" applyAlignment="1" applyProtection="1">
      <alignment horizontal="right" vertical="center"/>
    </xf>
    <xf numFmtId="177" fontId="12" fillId="52" borderId="73" xfId="2" applyNumberFormat="1" applyFont="1" applyFill="1" applyBorder="1" applyAlignment="1" applyProtection="1">
      <alignment horizontal="right" vertical="center"/>
    </xf>
    <xf numFmtId="177" fontId="12" fillId="3" borderId="6" xfId="2" applyNumberFormat="1" applyFont="1" applyFill="1" applyBorder="1" applyProtection="1">
      <protection locked="0"/>
    </xf>
    <xf numFmtId="0" fontId="31"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2" fillId="3" borderId="59" xfId="1" applyNumberFormat="1" applyFont="1" applyFill="1" applyBorder="1" applyProtection="1">
      <protection locked="0"/>
    </xf>
    <xf numFmtId="0" fontId="12" fillId="0" borderId="0" xfId="85" applyFont="1" applyAlignment="1" applyProtection="1">
      <alignment horizontal="left" vertical="center" wrapText="1"/>
      <protection locked="0"/>
    </xf>
    <xf numFmtId="0" fontId="12" fillId="0" borderId="0" xfId="75" applyFont="1" applyAlignment="1" applyProtection="1">
      <alignment horizontal="center" vertical="top"/>
      <protection locked="0"/>
    </xf>
    <xf numFmtId="177" fontId="10" fillId="51" borderId="71" xfId="1" applyNumberFormat="1" applyFont="1" applyFill="1" applyBorder="1" applyAlignment="1" applyProtection="1">
      <alignment horizontal="right"/>
    </xf>
    <xf numFmtId="177" fontId="12" fillId="51" borderId="59" xfId="1" applyNumberFormat="1" applyFont="1" applyFill="1" applyBorder="1" applyProtection="1"/>
    <xf numFmtId="177" fontId="12" fillId="51" borderId="62" xfId="1" applyNumberFormat="1" applyFont="1" applyFill="1" applyBorder="1" applyProtection="1"/>
    <xf numFmtId="177" fontId="10"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2" fillId="38" borderId="104" xfId="1" applyNumberFormat="1" applyFont="1" applyFill="1" applyBorder="1" applyProtection="1"/>
    <xf numFmtId="177" fontId="12" fillId="38" borderId="103" xfId="1" applyNumberFormat="1" applyFont="1" applyFill="1" applyBorder="1" applyProtection="1"/>
    <xf numFmtId="9" fontId="0" fillId="51" borderId="122" xfId="1" applyNumberFormat="1" applyFont="1" applyFill="1" applyBorder="1" applyAlignment="1" applyProtection="1">
      <alignment horizontal="right"/>
    </xf>
    <xf numFmtId="9" fontId="12" fillId="52" borderId="65" xfId="75" applyNumberFormat="1" applyFont="1" applyFill="1" applyBorder="1" applyAlignment="1">
      <alignment vertical="top"/>
    </xf>
    <xf numFmtId="9" fontId="12"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1" xfId="0" applyNumberFormat="1" applyFill="1" applyBorder="1" applyAlignment="1">
      <alignment horizontal="right"/>
    </xf>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2" fillId="47" borderId="0" xfId="90" applyFont="1" applyFill="1" applyAlignment="1" applyProtection="1">
      <alignment horizontal="center"/>
      <protection locked="0"/>
    </xf>
    <xf numFmtId="0" fontId="13" fillId="0" borderId="0" xfId="0" applyFont="1" applyAlignment="1" applyProtection="1">
      <alignment horizontal="left" vertical="top"/>
      <protection locked="0"/>
    </xf>
    <xf numFmtId="0" fontId="249"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2" fillId="131" borderId="60" xfId="2" applyNumberFormat="1" applyFont="1" applyFill="1" applyBorder="1" applyProtection="1">
      <protection locked="0"/>
    </xf>
    <xf numFmtId="177" fontId="12" fillId="131" borderId="68" xfId="2" applyNumberFormat="1" applyFont="1" applyFill="1" applyBorder="1" applyProtection="1">
      <protection locked="0"/>
    </xf>
    <xf numFmtId="177" fontId="12"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2" fillId="131" borderId="59" xfId="2" applyNumberFormat="1" applyFont="1" applyFill="1" applyBorder="1" applyProtection="1">
      <protection locked="0"/>
    </xf>
    <xf numFmtId="177" fontId="12" fillId="3" borderId="76" xfId="2" applyNumberFormat="1" applyFont="1" applyFill="1" applyBorder="1" applyProtection="1">
      <protection locked="0"/>
    </xf>
    <xf numFmtId="0" fontId="10" fillId="0" borderId="0" xfId="0" applyFont="1" applyAlignment="1" applyProtection="1">
      <alignment vertical="top"/>
      <protection locked="0"/>
    </xf>
    <xf numFmtId="177" fontId="12" fillId="131" borderId="71" xfId="2" applyNumberFormat="1" applyFont="1" applyFill="1" applyBorder="1" applyProtection="1">
      <protection locked="0"/>
    </xf>
    <xf numFmtId="177" fontId="12" fillId="131" borderId="6" xfId="2" applyNumberFormat="1" applyFont="1" applyFill="1" applyBorder="1" applyProtection="1">
      <protection locked="0"/>
    </xf>
    <xf numFmtId="177" fontId="13" fillId="3" borderId="74" xfId="2" applyNumberFormat="1" applyFont="1" applyFill="1" applyBorder="1" applyProtection="1">
      <protection locked="0"/>
    </xf>
    <xf numFmtId="177" fontId="13" fillId="0" borderId="0" xfId="2" applyNumberFormat="1" applyFont="1" applyFill="1" applyBorder="1" applyProtection="1">
      <protection locked="0"/>
    </xf>
    <xf numFmtId="352" fontId="12" fillId="0" borderId="0" xfId="2" applyNumberFormat="1" applyFont="1" applyFill="1" applyBorder="1" applyAlignment="1" applyProtection="1">
      <alignment horizontal="center"/>
      <protection locked="0"/>
    </xf>
    <xf numFmtId="177" fontId="270"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3" fillId="0" borderId="0" xfId="2" applyNumberFormat="1" applyFont="1" applyFill="1" applyBorder="1" applyProtection="1">
      <protection locked="0"/>
    </xf>
    <xf numFmtId="0" fontId="29"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7" fillId="39" borderId="6" xfId="75" applyNumberFormat="1" applyFont="1" applyFill="1" applyBorder="1"/>
    <xf numFmtId="177" fontId="13" fillId="52" borderId="59" xfId="2" applyNumberFormat="1" applyFont="1" applyFill="1" applyBorder="1" applyProtection="1"/>
    <xf numFmtId="177" fontId="13" fillId="52" borderId="60" xfId="2" applyNumberFormat="1" applyFont="1" applyFill="1" applyBorder="1" applyProtection="1"/>
    <xf numFmtId="177" fontId="13" fillId="52" borderId="74" xfId="2" applyNumberFormat="1" applyFont="1" applyFill="1" applyBorder="1" applyProtection="1"/>
    <xf numFmtId="177" fontId="13" fillId="52" borderId="122" xfId="2" applyNumberFormat="1" applyFont="1" applyFill="1" applyBorder="1" applyProtection="1"/>
    <xf numFmtId="177" fontId="13" fillId="52" borderId="71" xfId="2" applyNumberFormat="1" applyFont="1" applyFill="1" applyBorder="1" applyProtection="1"/>
    <xf numFmtId="177" fontId="13" fillId="52" borderId="149" xfId="2" applyNumberFormat="1" applyFont="1" applyFill="1" applyBorder="1" applyProtection="1"/>
    <xf numFmtId="177" fontId="13" fillId="52" borderId="124" xfId="2" applyNumberFormat="1" applyFont="1" applyFill="1" applyBorder="1" applyProtection="1"/>
    <xf numFmtId="352" fontId="12" fillId="54" borderId="71" xfId="2" applyNumberFormat="1" applyFont="1" applyFill="1" applyBorder="1" applyAlignment="1" applyProtection="1">
      <alignment horizontal="center"/>
    </xf>
    <xf numFmtId="352" fontId="12" fillId="54" borderId="149" xfId="2" applyNumberFormat="1" applyFont="1" applyFill="1" applyBorder="1" applyAlignment="1" applyProtection="1">
      <alignment horizontal="center"/>
    </xf>
    <xf numFmtId="352" fontId="12" fillId="54" borderId="124" xfId="2" applyNumberFormat="1" applyFont="1" applyFill="1" applyBorder="1" applyAlignment="1" applyProtection="1">
      <alignment horizontal="center"/>
    </xf>
    <xf numFmtId="351" fontId="13"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2" fillId="52" borderId="71" xfId="2" applyNumberFormat="1" applyFont="1" applyFill="1" applyBorder="1" applyProtection="1"/>
    <xf numFmtId="10" fontId="12" fillId="52" borderId="72" xfId="2" applyNumberFormat="1" applyFont="1" applyFill="1" applyBorder="1" applyProtection="1"/>
    <xf numFmtId="0" fontId="271" fillId="47" borderId="128" xfId="90" applyFont="1" applyFill="1" applyBorder="1" applyAlignment="1" applyProtection="1">
      <alignment horizontal="center"/>
      <protection locked="0"/>
    </xf>
    <xf numFmtId="0" fontId="246" fillId="0" borderId="0" xfId="90" applyFont="1" applyAlignment="1" applyProtection="1">
      <alignment horizontal="left"/>
      <protection locked="0"/>
    </xf>
    <xf numFmtId="0" fontId="247" fillId="0" borderId="0" xfId="0" applyFont="1" applyProtection="1">
      <protection locked="0"/>
    </xf>
    <xf numFmtId="0" fontId="249" fillId="116" borderId="0" xfId="0" applyFont="1" applyFill="1" applyAlignment="1" applyProtection="1">
      <alignment vertical="top"/>
      <protection locked="0"/>
    </xf>
    <xf numFmtId="0" fontId="10"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4" fillId="0" borderId="0" xfId="0" applyFont="1" applyProtection="1">
      <protection locked="0"/>
    </xf>
    <xf numFmtId="177" fontId="0" fillId="0" borderId="0" xfId="0" applyNumberFormat="1" applyAlignment="1" applyProtection="1">
      <alignment horizontal="right" vertical="center"/>
      <protection locked="0"/>
    </xf>
    <xf numFmtId="173" fontId="13" fillId="0" borderId="0" xfId="0" applyNumberFormat="1" applyFont="1" applyAlignment="1" applyProtection="1">
      <alignment vertical="center"/>
      <protection locked="0"/>
    </xf>
    <xf numFmtId="177" fontId="12" fillId="0" borderId="0" xfId="0" applyNumberFormat="1" applyFont="1" applyAlignment="1" applyProtection="1">
      <alignment horizontal="left" vertical="center" indent="1"/>
      <protection locked="0"/>
    </xf>
    <xf numFmtId="173" fontId="31" fillId="0" borderId="0" xfId="0" applyNumberFormat="1" applyFont="1" applyAlignment="1" applyProtection="1">
      <alignment horizontal="left" vertical="center" indent="1"/>
      <protection locked="0"/>
    </xf>
    <xf numFmtId="0" fontId="13" fillId="53" borderId="0" xfId="85" applyFont="1" applyFill="1" applyAlignment="1" applyProtection="1">
      <alignment horizontal="left" vertical="center" wrapText="1"/>
      <protection locked="0"/>
    </xf>
    <xf numFmtId="0" fontId="12" fillId="53" borderId="0" xfId="85" applyFont="1" applyFill="1" applyAlignment="1" applyProtection="1">
      <alignment horizontal="left" vertical="center" wrapText="1"/>
      <protection locked="0"/>
    </xf>
    <xf numFmtId="177" fontId="12" fillId="0" borderId="0" xfId="2" applyNumberFormat="1" applyFont="1" applyProtection="1">
      <protection locked="0"/>
    </xf>
    <xf numFmtId="1" fontId="10"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2" fillId="52" borderId="62" xfId="2" applyNumberFormat="1" applyFont="1" applyFill="1" applyBorder="1" applyProtection="1"/>
    <xf numFmtId="0" fontId="10"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3" borderId="60" xfId="0" applyNumberFormat="1" applyFill="1" applyBorder="1" applyAlignment="1" applyProtection="1">
      <alignment horizontal="right" vertical="top"/>
      <protection locked="0"/>
    </xf>
    <xf numFmtId="348" fontId="0" fillId="3" borderId="76" xfId="0" applyNumberFormat="1" applyFill="1" applyBorder="1" applyAlignment="1" applyProtection="1">
      <alignment horizontal="right" vertical="top"/>
      <protection locked="0"/>
    </xf>
    <xf numFmtId="348" fontId="0" fillId="3" borderId="84" xfId="0" applyNumberFormat="1" applyFill="1" applyBorder="1" applyAlignment="1" applyProtection="1">
      <alignment horizontal="right" vertical="top"/>
      <protection locked="0"/>
    </xf>
    <xf numFmtId="348" fontId="0" fillId="3" borderId="62" xfId="0" applyNumberFormat="1" applyFill="1" applyBorder="1" applyAlignment="1" applyProtection="1">
      <alignment horizontal="right" vertical="top"/>
      <protection locked="0"/>
    </xf>
    <xf numFmtId="348" fontId="0" fillId="3" borderId="63" xfId="0" applyNumberFormat="1" applyFill="1" applyBorder="1" applyAlignment="1" applyProtection="1">
      <alignment horizontal="right" vertical="top"/>
      <protection locked="0"/>
    </xf>
    <xf numFmtId="348" fontId="0" fillId="3" borderId="68" xfId="0" applyNumberFormat="1" applyFill="1" applyBorder="1" applyAlignment="1" applyProtection="1">
      <alignment horizontal="right" vertical="top"/>
      <protection locked="0"/>
    </xf>
    <xf numFmtId="348" fontId="0" fillId="3" borderId="69" xfId="0" applyNumberFormat="1" applyFill="1" applyBorder="1" applyAlignment="1" applyProtection="1">
      <alignment horizontal="right" vertical="top"/>
      <protection locked="0"/>
    </xf>
    <xf numFmtId="348" fontId="0" fillId="3" borderId="6" xfId="0" applyNumberFormat="1" applyFill="1" applyBorder="1" applyAlignment="1" applyProtection="1">
      <alignment horizontal="right" vertical="top"/>
      <protection locked="0"/>
    </xf>
    <xf numFmtId="348" fontId="0" fillId="0" borderId="0" xfId="0" applyNumberFormat="1" applyProtection="1">
      <protection locked="0"/>
    </xf>
    <xf numFmtId="348" fontId="10" fillId="0" borderId="0" xfId="0" applyNumberFormat="1" applyFont="1" applyProtection="1">
      <protection locked="0"/>
    </xf>
    <xf numFmtId="0" fontId="0" fillId="3" borderId="151" xfId="0" applyFill="1" applyBorder="1" applyAlignment="1" applyProtection="1">
      <alignment vertical="top" wrapText="1"/>
      <protection locked="0"/>
    </xf>
    <xf numFmtId="0" fontId="0" fillId="3" borderId="152" xfId="0" applyFill="1" applyBorder="1" applyAlignment="1" applyProtection="1">
      <alignment wrapText="1"/>
      <protection locked="0"/>
    </xf>
    <xf numFmtId="0" fontId="0" fillId="3" borderId="157" xfId="0" applyFill="1" applyBorder="1" applyAlignment="1" applyProtection="1">
      <alignment horizontal="left"/>
      <protection locked="0"/>
    </xf>
    <xf numFmtId="0" fontId="0" fillId="3" borderId="0" xfId="0" applyFill="1" applyAlignment="1" applyProtection="1">
      <alignment horizontal="left"/>
      <protection locked="0"/>
    </xf>
    <xf numFmtId="0" fontId="0" fillId="3" borderId="89" xfId="0" applyFill="1" applyBorder="1" applyAlignment="1" applyProtection="1">
      <alignment horizontal="left"/>
      <protection locked="0"/>
    </xf>
    <xf numFmtId="0" fontId="0" fillId="3" borderId="128" xfId="0" applyFill="1" applyBorder="1" applyAlignment="1" applyProtection="1">
      <alignment horizontal="left"/>
      <protection locked="0"/>
    </xf>
    <xf numFmtId="348" fontId="0" fillId="52" borderId="122"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10"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2" fillId="3" borderId="6" xfId="2" applyNumberFormat="1" applyFont="1" applyFill="1" applyBorder="1" applyProtection="1">
      <protection locked="0"/>
    </xf>
    <xf numFmtId="14" fontId="12" fillId="42" borderId="0" xfId="2" applyNumberFormat="1" applyFont="1" applyFill="1" applyBorder="1" applyProtection="1">
      <protection locked="0"/>
    </xf>
    <xf numFmtId="0" fontId="12" fillId="3" borderId="6" xfId="2" applyNumberFormat="1" applyFont="1" applyFill="1" applyBorder="1" applyAlignment="1" applyProtection="1">
      <alignment horizontal="center" vertical="center"/>
      <protection locked="0"/>
    </xf>
    <xf numFmtId="14" fontId="12" fillId="51" borderId="0" xfId="2" applyNumberFormat="1" applyFont="1" applyFill="1" applyBorder="1" applyAlignment="1" applyProtection="1">
      <alignment horizontal="center" vertical="center"/>
      <protection locked="0"/>
    </xf>
    <xf numFmtId="14" fontId="12"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2" fillId="0" borderId="0" xfId="0" applyNumberFormat="1" applyFont="1" applyAlignment="1" applyProtection="1">
      <alignment vertical="center"/>
      <protection locked="0"/>
    </xf>
    <xf numFmtId="0" fontId="275" fillId="47" borderId="0" xfId="51695" applyFont="1" applyFill="1" applyProtection="1">
      <protection locked="0"/>
    </xf>
    <xf numFmtId="0" fontId="275" fillId="47" borderId="11" xfId="51695" applyFont="1" applyFill="1" applyBorder="1" applyProtection="1">
      <protection locked="0"/>
    </xf>
    <xf numFmtId="0" fontId="3" fillId="0" borderId="0" xfId="51695" applyProtection="1">
      <protection locked="0"/>
    </xf>
    <xf numFmtId="0" fontId="275" fillId="47" borderId="128" xfId="51695" applyFont="1" applyFill="1" applyBorder="1" applyProtection="1">
      <protection locked="0"/>
    </xf>
    <xf numFmtId="0" fontId="275" fillId="47" borderId="90" xfId="51695" applyFont="1" applyFill="1" applyBorder="1" applyProtection="1">
      <protection locked="0"/>
    </xf>
    <xf numFmtId="173" fontId="275" fillId="0" borderId="0" xfId="51695" applyNumberFormat="1" applyFont="1" applyAlignment="1" applyProtection="1">
      <alignment vertical="center"/>
      <protection locked="0"/>
    </xf>
    <xf numFmtId="0" fontId="9" fillId="0" borderId="0" xfId="51695" applyFont="1" applyProtection="1">
      <protection locked="0"/>
    </xf>
    <xf numFmtId="0" fontId="10" fillId="0" borderId="0" xfId="0" applyFont="1" applyAlignment="1">
      <alignment wrapText="1"/>
    </xf>
    <xf numFmtId="0" fontId="275" fillId="135" borderId="0" xfId="51695" applyFont="1" applyFill="1"/>
    <xf numFmtId="0" fontId="276" fillId="0" borderId="0" xfId="51695" applyFont="1"/>
    <xf numFmtId="0" fontId="261" fillId="0" borderId="0" xfId="51695" applyFont="1"/>
    <xf numFmtId="0" fontId="261" fillId="0" borderId="0" xfId="51695" applyFont="1" applyAlignment="1">
      <alignment horizontal="left"/>
    </xf>
    <xf numFmtId="0" fontId="13" fillId="0" borderId="0" xfId="51695" applyFont="1" applyAlignment="1">
      <alignment horizontal="left"/>
    </xf>
    <xf numFmtId="0" fontId="12" fillId="0" borderId="0" xfId="51695" applyFont="1"/>
    <xf numFmtId="0" fontId="12" fillId="0" borderId="0" xfId="51695" applyFont="1" applyAlignment="1">
      <alignment horizontal="left"/>
    </xf>
    <xf numFmtId="0" fontId="276" fillId="0" borderId="0" xfId="51695" applyFont="1" applyAlignment="1">
      <alignment horizontal="left"/>
    </xf>
    <xf numFmtId="0" fontId="0" fillId="53" borderId="0" xfId="0" applyFill="1" applyAlignment="1">
      <alignment horizontal="center" vertical="center"/>
    </xf>
    <xf numFmtId="0" fontId="0" fillId="53" borderId="0" xfId="0" applyFill="1" applyAlignment="1">
      <alignment horizontal="left" vertical="top"/>
    </xf>
    <xf numFmtId="0" fontId="0" fillId="53" borderId="0" xfId="0" applyFill="1" applyAlignment="1">
      <alignment horizontal="center" vertical="top"/>
    </xf>
    <xf numFmtId="10" fontId="9" fillId="0" borderId="0" xfId="51695" applyNumberFormat="1" applyFont="1"/>
    <xf numFmtId="10" fontId="3" fillId="0" borderId="0" xfId="51695" applyNumberFormat="1"/>
    <xf numFmtId="361" fontId="9" fillId="0" borderId="0" xfId="51695" applyNumberFormat="1" applyFont="1" applyAlignment="1">
      <alignment horizontal="left" vertical="center" indent="1"/>
    </xf>
    <xf numFmtId="1" fontId="12" fillId="51" borderId="6" xfId="51695" applyNumberFormat="1" applyFont="1" applyFill="1" applyBorder="1" applyAlignment="1">
      <alignment vertical="center"/>
    </xf>
    <xf numFmtId="0" fontId="13" fillId="0" borderId="0" xfId="51697" applyFont="1"/>
    <xf numFmtId="0" fontId="9" fillId="0" borderId="0" xfId="51698"/>
    <xf numFmtId="0" fontId="12" fillId="0" borderId="0" xfId="51697" applyFont="1" applyAlignment="1">
      <alignment horizontal="center"/>
    </xf>
    <xf numFmtId="359" fontId="9" fillId="0" borderId="0" xfId="51695" applyNumberFormat="1" applyFont="1"/>
    <xf numFmtId="17" fontId="12" fillId="0" borderId="0" xfId="51697" applyNumberFormat="1" applyFont="1" applyAlignment="1">
      <alignment horizontal="center"/>
    </xf>
    <xf numFmtId="0" fontId="12" fillId="2" borderId="6" xfId="51697" applyFont="1" applyFill="1" applyBorder="1" applyAlignment="1">
      <alignment horizontal="center"/>
    </xf>
    <xf numFmtId="0" fontId="12" fillId="137" borderId="151" xfId="0" applyFont="1" applyFill="1" applyBorder="1"/>
    <xf numFmtId="0" fontId="12" fillId="137" borderId="152" xfId="0" applyFont="1" applyFill="1" applyBorder="1"/>
    <xf numFmtId="0" fontId="12" fillId="137" borderId="89" xfId="0" applyFont="1" applyFill="1" applyBorder="1"/>
    <xf numFmtId="0" fontId="12" fillId="137" borderId="128" xfId="0" applyFont="1" applyFill="1" applyBorder="1"/>
    <xf numFmtId="0" fontId="12" fillId="137" borderId="90" xfId="0" applyFont="1" applyFill="1" applyBorder="1"/>
    <xf numFmtId="2" fontId="9" fillId="0" borderId="0" xfId="51695" applyNumberFormat="1" applyFont="1"/>
    <xf numFmtId="2" fontId="0" fillId="0" borderId="0" xfId="51695" applyNumberFormat="1" applyFont="1"/>
    <xf numFmtId="2" fontId="12" fillId="51" borderId="6" xfId="51697" applyNumberFormat="1" applyFont="1" applyFill="1" applyBorder="1"/>
    <xf numFmtId="361" fontId="0" fillId="0" borderId="0" xfId="51695" applyNumberFormat="1" applyFont="1" applyAlignment="1">
      <alignment horizontal="left" vertical="center" indent="1"/>
    </xf>
    <xf numFmtId="10" fontId="12" fillId="52" borderId="6" xfId="51699" applyNumberFormat="1" applyFont="1" applyFill="1" applyBorder="1" applyProtection="1"/>
    <xf numFmtId="185" fontId="0" fillId="0" borderId="0" xfId="51700" applyFont="1" applyAlignment="1">
      <alignment horizontal="left" indent="1"/>
    </xf>
    <xf numFmtId="0" fontId="12" fillId="137" borderId="150" xfId="0" applyFont="1" applyFill="1" applyBorder="1"/>
    <xf numFmtId="0" fontId="12" fillId="137" borderId="156" xfId="0" applyFont="1" applyFill="1" applyBorder="1"/>
    <xf numFmtId="0" fontId="12" fillId="137" borderId="107" xfId="0" applyFont="1" applyFill="1" applyBorder="1"/>
    <xf numFmtId="0" fontId="275" fillId="0" borderId="0" xfId="51695" applyFont="1" applyProtection="1">
      <protection locked="0"/>
    </xf>
    <xf numFmtId="363" fontId="13" fillId="0" borderId="0" xfId="0" applyNumberFormat="1"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10" fontId="13" fillId="0" borderId="0" xfId="51701" applyFont="1" applyFill="1" applyAlignment="1" applyProtection="1">
      <alignment horizontal="center" vertical="center" wrapText="1"/>
      <protection locked="0"/>
    </xf>
    <xf numFmtId="10" fontId="13" fillId="0" borderId="0" xfId="0" applyNumberFormat="1" applyFont="1" applyAlignment="1" applyProtection="1">
      <alignment horizontal="center" vertical="center" wrapText="1"/>
      <protection locked="0"/>
    </xf>
    <xf numFmtId="0" fontId="13" fillId="0" borderId="0" xfId="3428" applyNumberFormat="1" applyFont="1" applyAlignment="1" applyProtection="1">
      <alignment horizontal="center" vertical="center" wrapText="1"/>
      <protection locked="0"/>
    </xf>
    <xf numFmtId="0" fontId="13" fillId="0" borderId="0" xfId="0" applyFont="1" applyProtection="1">
      <protection locked="0"/>
    </xf>
    <xf numFmtId="14" fontId="12" fillId="0" borderId="0" xfId="0" applyNumberFormat="1" applyFont="1" applyProtection="1">
      <protection locked="0"/>
    </xf>
    <xf numFmtId="178" fontId="28" fillId="0" borderId="0" xfId="51702" applyNumberFormat="1" applyFont="1" applyProtection="1">
      <protection locked="0"/>
    </xf>
    <xf numFmtId="10" fontId="0" fillId="0" borderId="0" xfId="51703" applyNumberFormat="1" applyFont="1" applyProtection="1">
      <protection locked="0"/>
    </xf>
    <xf numFmtId="355" fontId="0" fillId="0" borderId="0" xfId="51703" applyNumberFormat="1" applyFont="1" applyProtection="1">
      <protection locked="0"/>
    </xf>
    <xf numFmtId="364" fontId="12" fillId="0" borderId="0" xfId="0" applyNumberFormat="1" applyFont="1" applyProtection="1">
      <protection locked="0"/>
    </xf>
    <xf numFmtId="0" fontId="12" fillId="53" borderId="6" xfId="0" applyFont="1" applyFill="1" applyBorder="1" applyProtection="1">
      <protection locked="0"/>
    </xf>
    <xf numFmtId="363" fontId="31" fillId="0" borderId="0" xfId="0" applyNumberFormat="1" applyFont="1" applyProtection="1">
      <protection locked="0"/>
    </xf>
    <xf numFmtId="10" fontId="12" fillId="0" borderId="0" xfId="51701" applyFont="1" applyFill="1" applyAlignment="1" applyProtection="1">
      <protection locked="0"/>
    </xf>
    <xf numFmtId="177" fontId="12" fillId="0" borderId="0" xfId="3428" applyNumberFormat="1" applyFont="1" applyFill="1" applyProtection="1">
      <protection locked="0"/>
    </xf>
    <xf numFmtId="363" fontId="12" fillId="0" borderId="0" xfId="0" applyNumberFormat="1" applyFont="1" applyProtection="1">
      <protection locked="0"/>
    </xf>
    <xf numFmtId="14" fontId="12" fillId="0" borderId="0" xfId="0" applyNumberFormat="1" applyFont="1"/>
    <xf numFmtId="1" fontId="12" fillId="0" borderId="0" xfId="0" applyNumberFormat="1" applyFont="1"/>
    <xf numFmtId="10" fontId="12" fillId="51" borderId="6" xfId="51701" applyFont="1" applyFill="1" applyBorder="1" applyAlignment="1" applyProtection="1"/>
    <xf numFmtId="177" fontId="12" fillId="52" borderId="6" xfId="3428" applyNumberFormat="1" applyFont="1" applyFill="1" applyBorder="1" applyProtection="1"/>
    <xf numFmtId="0" fontId="0" fillId="52" borderId="139" xfId="0" applyFill="1" applyBorder="1" applyAlignment="1">
      <alignment horizontal="center"/>
    </xf>
    <xf numFmtId="0" fontId="0" fillId="52" borderId="64" xfId="0" applyFill="1" applyBorder="1" applyAlignment="1">
      <alignment horizontal="center"/>
    </xf>
    <xf numFmtId="0" fontId="0" fillId="52" borderId="141" xfId="0" applyFill="1" applyBorder="1" applyAlignment="1">
      <alignment horizontal="center"/>
    </xf>
    <xf numFmtId="10" fontId="0" fillId="52" borderId="93" xfId="0" applyNumberFormat="1" applyFill="1" applyBorder="1"/>
    <xf numFmtId="10" fontId="0" fillId="52" borderId="138" xfId="0" applyNumberFormat="1" applyFill="1" applyBorder="1"/>
    <xf numFmtId="10" fontId="0" fillId="52" borderId="95" xfId="0" applyNumberFormat="1" applyFill="1" applyBorder="1"/>
    <xf numFmtId="1" fontId="10" fillId="53" borderId="162" xfId="0" applyNumberFormat="1" applyFont="1" applyFill="1" applyBorder="1" applyAlignment="1">
      <alignment horizontal="center" vertical="center"/>
    </xf>
    <xf numFmtId="1" fontId="10" fillId="53" borderId="163" xfId="0" applyNumberFormat="1" applyFont="1" applyFill="1" applyBorder="1" applyAlignment="1">
      <alignment horizontal="center" vertical="center"/>
    </xf>
    <xf numFmtId="178" fontId="0" fillId="117" borderId="164" xfId="0" applyNumberFormat="1" applyFill="1" applyBorder="1" applyAlignment="1">
      <alignment horizontal="right" indent="1"/>
    </xf>
    <xf numFmtId="10" fontId="0" fillId="52" borderId="165" xfId="0" applyNumberFormat="1" applyFill="1" applyBorder="1"/>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5" xfId="0" applyNumberFormat="1" applyFill="1" applyBorder="1" applyAlignment="1">
      <alignment horizontal="right" indent="1"/>
    </xf>
    <xf numFmtId="10" fontId="0" fillId="52" borderId="168" xfId="0" applyNumberFormat="1" applyFill="1" applyBorder="1"/>
    <xf numFmtId="10" fontId="0" fillId="52" borderId="153" xfId="0" applyNumberFormat="1" applyFill="1" applyBorder="1"/>
    <xf numFmtId="178" fontId="0" fillId="117" borderId="119" xfId="0" applyNumberFormat="1" applyFill="1" applyBorder="1" applyAlignment="1">
      <alignment horizontal="right" indent="1"/>
    </xf>
    <xf numFmtId="178" fontId="0" fillId="117" borderId="169" xfId="0" applyNumberFormat="1" applyFill="1" applyBorder="1" applyAlignment="1">
      <alignment horizontal="right" indent="1"/>
    </xf>
    <xf numFmtId="0" fontId="0" fillId="0" borderId="142" xfId="0" applyBorder="1"/>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72" xfId="0" applyBorder="1" applyAlignment="1">
      <alignment horizontal="center" vertical="center"/>
    </xf>
    <xf numFmtId="1" fontId="10" fillId="53" borderId="175" xfId="0" applyNumberFormat="1" applyFont="1" applyFill="1" applyBorder="1" applyAlignment="1">
      <alignment horizontal="center" vertical="center"/>
    </xf>
    <xf numFmtId="1" fontId="10" fillId="53" borderId="176" xfId="0" applyNumberFormat="1" applyFont="1" applyFill="1" applyBorder="1" applyAlignment="1">
      <alignment horizontal="center" vertical="center"/>
    </xf>
    <xf numFmtId="1" fontId="10" fillId="53" borderId="177" xfId="0" applyNumberFormat="1" applyFont="1" applyFill="1" applyBorder="1" applyAlignment="1">
      <alignment horizontal="center" vertical="center"/>
    </xf>
    <xf numFmtId="1" fontId="10" fillId="53" borderId="178" xfId="0" applyNumberFormat="1" applyFont="1" applyFill="1" applyBorder="1" applyAlignment="1">
      <alignment horizontal="center" vertical="center"/>
    </xf>
    <xf numFmtId="178" fontId="0" fillId="117" borderId="179" xfId="0" applyNumberFormat="1" applyFill="1" applyBorder="1" applyAlignment="1">
      <alignment horizontal="right" indent="1"/>
    </xf>
    <xf numFmtId="10" fontId="0" fillId="0" borderId="148"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69" fontId="0" fillId="0" borderId="0" xfId="1" applyFont="1"/>
    <xf numFmtId="0" fontId="27"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2" fillId="52" borderId="59" xfId="1" applyFont="1" applyFill="1" applyBorder="1" applyAlignment="1" applyProtection="1">
      <alignment vertical="center"/>
    </xf>
    <xf numFmtId="169" fontId="12"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5" fillId="0" borderId="0" xfId="93" applyFont="1"/>
    <xf numFmtId="0" fontId="0" fillId="0" borderId="150" xfId="0" applyBorder="1" applyAlignment="1">
      <alignment vertical="top"/>
    </xf>
    <xf numFmtId="177" fontId="0" fillId="131" borderId="122" xfId="0" applyNumberFormat="1" applyFill="1" applyBorder="1" applyAlignment="1" applyProtection="1">
      <alignment horizontal="right" vertical="top"/>
      <protection locked="0"/>
    </xf>
    <xf numFmtId="348" fontId="12" fillId="52" borderId="6" xfId="2" applyNumberFormat="1" applyFont="1" applyFill="1" applyBorder="1" applyProtection="1"/>
    <xf numFmtId="0" fontId="12" fillId="0" borderId="6" xfId="0" applyFont="1" applyBorder="1" applyAlignment="1">
      <alignment vertical="top" wrapText="1"/>
    </xf>
    <xf numFmtId="0" fontId="0" fillId="0" borderId="150" xfId="0" applyBorder="1" applyAlignment="1">
      <alignment vertical="top" wrapText="1"/>
    </xf>
    <xf numFmtId="0" fontId="0" fillId="0" borderId="124" xfId="0" applyBorder="1" applyAlignment="1">
      <alignment vertical="top" wrapText="1"/>
    </xf>
    <xf numFmtId="0" fontId="0" fillId="0" borderId="152" xfId="0" applyBorder="1" applyAlignment="1">
      <alignment vertical="top" wrapText="1"/>
    </xf>
    <xf numFmtId="0" fontId="0" fillId="0" borderId="180" xfId="0" applyBorder="1" applyAlignment="1">
      <alignment vertical="top" wrapText="1"/>
    </xf>
    <xf numFmtId="0" fontId="0" fillId="0" borderId="181" xfId="0" applyBorder="1" applyAlignment="1">
      <alignment vertical="top" wrapText="1"/>
    </xf>
    <xf numFmtId="0" fontId="0" fillId="0" borderId="182" xfId="0" applyBorder="1"/>
    <xf numFmtId="0" fontId="0" fillId="0" borderId="124" xfId="0" applyBorder="1" applyAlignment="1">
      <alignment wrapText="1"/>
    </xf>
    <xf numFmtId="169" fontId="0" fillId="0" borderId="0" xfId="0" applyNumberFormat="1" applyAlignment="1" applyProtection="1">
      <alignment horizontal="center" vertical="top"/>
      <protection locked="0"/>
    </xf>
    <xf numFmtId="178" fontId="12" fillId="0" borderId="121" xfId="7" applyNumberFormat="1" applyFont="1" applyBorder="1" applyAlignment="1">
      <alignment horizontal="center" vertical="center"/>
    </xf>
    <xf numFmtId="0" fontId="10" fillId="2" borderId="150" xfId="0" applyFont="1" applyFill="1" applyBorder="1" applyAlignment="1">
      <alignment horizontal="center" vertical="center"/>
    </xf>
    <xf numFmtId="0" fontId="13" fillId="2" borderId="150" xfId="7" applyFont="1" applyFill="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175" fontId="9" fillId="0" borderId="0" xfId="77" applyNumberFormat="1" applyFont="1"/>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175" fontId="0" fillId="0" borderId="0" xfId="77" applyNumberFormat="1" applyFont="1"/>
    <xf numFmtId="175" fontId="2" fillId="0" borderId="0" xfId="77" applyNumberFormat="1" applyFont="1"/>
    <xf numFmtId="0" fontId="0" fillId="0" borderId="150" xfId="0" applyBorder="1" applyAlignment="1">
      <alignment horizontal="center" vertical="top"/>
    </xf>
    <xf numFmtId="0" fontId="0" fillId="54" borderId="6" xfId="0" applyFill="1" applyBorder="1" applyAlignment="1">
      <alignment horizontal="center" vertical="center" wrapText="1"/>
    </xf>
    <xf numFmtId="10" fontId="9" fillId="0" borderId="6" xfId="83" applyNumberFormat="1" applyFont="1" applyFill="1" applyBorder="1" applyProtection="1"/>
    <xf numFmtId="362" fontId="39" fillId="0" borderId="6" xfId="51700" applyNumberFormat="1" applyFont="1" applyBorder="1" applyAlignment="1">
      <alignment vertical="center"/>
    </xf>
    <xf numFmtId="0" fontId="12" fillId="0" borderId="6" xfId="0" applyFont="1" applyBorder="1" applyProtection="1">
      <protection locked="0"/>
    </xf>
    <xf numFmtId="0" fontId="0" fillId="139" borderId="0" xfId="0" applyFill="1" applyAlignment="1" applyProtection="1">
      <alignment horizontal="left" vertical="top"/>
      <protection locked="0"/>
    </xf>
    <xf numFmtId="0" fontId="0" fillId="0" borderId="182" xfId="0" applyBorder="1" applyAlignment="1">
      <alignment vertical="top" wrapText="1"/>
    </xf>
    <xf numFmtId="0" fontId="0" fillId="0" borderId="180" xfId="0" applyBorder="1" applyAlignment="1">
      <alignment vertical="center"/>
    </xf>
    <xf numFmtId="0" fontId="277" fillId="0" borderId="6" xfId="0" applyFont="1" applyBorder="1"/>
    <xf numFmtId="0" fontId="277" fillId="0" borderId="6" xfId="0" applyFont="1" applyBorder="1" applyAlignment="1">
      <alignment vertical="center"/>
    </xf>
    <xf numFmtId="0" fontId="0" fillId="0" borderId="121" xfId="0" applyBorder="1" applyAlignment="1">
      <alignment vertical="center" wrapText="1"/>
    </xf>
    <xf numFmtId="348" fontId="27" fillId="39" borderId="6" xfId="1" applyNumberFormat="1" applyFont="1" applyFill="1" applyBorder="1" applyAlignment="1">
      <alignment horizontal="left" vertical="center"/>
    </xf>
    <xf numFmtId="1" fontId="10" fillId="0" borderId="121" xfId="0" applyNumberFormat="1" applyFont="1" applyBorder="1" applyAlignment="1">
      <alignment horizontal="left" indent="1"/>
    </xf>
    <xf numFmtId="0" fontId="273" fillId="0" borderId="0" xfId="0" applyFont="1" applyAlignment="1">
      <alignment wrapText="1"/>
    </xf>
    <xf numFmtId="0" fontId="278" fillId="0" borderId="0" xfId="0" applyFont="1" applyAlignment="1">
      <alignment horizontal="left" indent="1"/>
    </xf>
    <xf numFmtId="10" fontId="0" fillId="0" borderId="6" xfId="83" applyNumberFormat="1" applyFont="1" applyFill="1" applyBorder="1"/>
    <xf numFmtId="0" fontId="0" fillId="0" borderId="120" xfId="0" applyBorder="1" applyAlignment="1">
      <alignment vertical="center" wrapText="1"/>
    </xf>
    <xf numFmtId="0" fontId="0" fillId="0" borderId="171" xfId="0" applyBorder="1" applyAlignment="1">
      <alignment vertical="center" wrapText="1"/>
    </xf>
    <xf numFmtId="0" fontId="12" fillId="42" borderId="121" xfId="7" applyFont="1" applyFill="1" applyBorder="1" applyAlignment="1">
      <alignment vertical="center"/>
    </xf>
    <xf numFmtId="0" fontId="0" fillId="0" borderId="151" xfId="0" applyBorder="1" applyAlignment="1">
      <alignment vertical="center" wrapText="1"/>
    </xf>
    <xf numFmtId="0" fontId="0" fillId="0" borderId="150" xfId="0" applyBorder="1" applyAlignment="1">
      <alignment vertical="center" wrapText="1"/>
    </xf>
    <xf numFmtId="0" fontId="0" fillId="0" borderId="182"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1" xfId="0" applyBorder="1" applyAlignment="1">
      <alignment vertical="center"/>
    </xf>
    <xf numFmtId="0" fontId="0" fillId="0" borderId="6" xfId="0" applyBorder="1" applyAlignment="1">
      <alignment vertical="center"/>
    </xf>
    <xf numFmtId="0" fontId="0" fillId="0" borderId="183" xfId="0" applyBorder="1" applyAlignment="1">
      <alignment vertical="center"/>
    </xf>
    <xf numFmtId="0" fontId="38" fillId="0" borderId="0" xfId="0" applyFont="1"/>
    <xf numFmtId="0" fontId="12" fillId="0" borderId="0" xfId="51697" applyFont="1"/>
    <xf numFmtId="0" fontId="10" fillId="0" borderId="0" xfId="51695"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3" borderId="151" xfId="0" applyFill="1" applyBorder="1" applyAlignment="1" applyProtection="1">
      <alignment horizontal="left" vertical="top" wrapText="1"/>
      <protection locked="0"/>
    </xf>
    <xf numFmtId="0" fontId="279" fillId="47" borderId="0" xfId="90" applyFont="1" applyFill="1" applyAlignment="1">
      <alignment horizontal="left"/>
    </xf>
    <xf numFmtId="0" fontId="279" fillId="47" borderId="151" xfId="90" applyFont="1" applyFill="1" applyBorder="1" applyAlignment="1">
      <alignment horizontal="left"/>
    </xf>
    <xf numFmtId="0" fontId="279" fillId="47" borderId="157" xfId="90" applyFont="1" applyFill="1" applyBorder="1" applyAlignment="1">
      <alignment horizontal="left"/>
    </xf>
    <xf numFmtId="0" fontId="279" fillId="47" borderId="151" xfId="90" applyFont="1" applyFill="1" applyBorder="1" applyAlignment="1" applyProtection="1">
      <alignment horizontal="left"/>
      <protection locked="0"/>
    </xf>
    <xf numFmtId="0" fontId="279" fillId="47" borderId="157" xfId="90" applyFont="1" applyFill="1" applyBorder="1" applyAlignment="1" applyProtection="1">
      <alignment horizontal="left"/>
      <protection locked="0"/>
    </xf>
    <xf numFmtId="0" fontId="279" fillId="47" borderId="0" xfId="90" applyFont="1" applyFill="1" applyAlignment="1" applyProtection="1">
      <alignment horizontal="left"/>
      <protection locked="0"/>
    </xf>
    <xf numFmtId="0" fontId="280" fillId="47" borderId="151" xfId="90" applyFont="1" applyFill="1" applyBorder="1" applyAlignment="1" applyProtection="1">
      <alignment horizontal="left"/>
      <protection locked="0"/>
    </xf>
    <xf numFmtId="0" fontId="279" fillId="47" borderId="128" xfId="90" applyFont="1" applyFill="1" applyBorder="1" applyAlignment="1" applyProtection="1">
      <alignment horizontal="left"/>
      <protection locked="0"/>
    </xf>
    <xf numFmtId="0" fontId="280" fillId="47" borderId="128" xfId="90" applyFont="1" applyFill="1" applyBorder="1" applyAlignment="1" applyProtection="1">
      <alignment horizontal="left"/>
      <protection locked="0"/>
    </xf>
    <xf numFmtId="0" fontId="281" fillId="47" borderId="0" xfId="51695" applyFont="1" applyFill="1"/>
    <xf numFmtId="0" fontId="281" fillId="47" borderId="128" xfId="51695" applyFont="1" applyFill="1" applyBorder="1"/>
    <xf numFmtId="0" fontId="281" fillId="47" borderId="0" xfId="51695" applyFont="1" applyFill="1" applyProtection="1">
      <protection locked="0"/>
    </xf>
    <xf numFmtId="0" fontId="281" fillId="47" borderId="128" xfId="51695" applyFont="1" applyFill="1" applyBorder="1" applyProtection="1">
      <protection locked="0"/>
    </xf>
    <xf numFmtId="0" fontId="282" fillId="0" borderId="0" xfId="0" applyFont="1" applyProtection="1">
      <protection locked="0"/>
    </xf>
    <xf numFmtId="0" fontId="282" fillId="0" borderId="151" xfId="0" applyFont="1" applyBorder="1" applyProtection="1">
      <protection locked="0"/>
    </xf>
    <xf numFmtId="0" fontId="282" fillId="0" borderId="157" xfId="0" applyFont="1" applyBorder="1" applyProtection="1">
      <protection locked="0"/>
    </xf>
    <xf numFmtId="0" fontId="283" fillId="0" borderId="157" xfId="0" applyFont="1" applyBorder="1" applyProtection="1">
      <protection locked="0"/>
    </xf>
    <xf numFmtId="0" fontId="283" fillId="0" borderId="0" xfId="0" applyFont="1" applyAlignment="1" applyProtection="1">
      <alignment horizontal="left" vertical="top"/>
      <protection locked="0"/>
    </xf>
    <xf numFmtId="0" fontId="284"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40" borderId="0" xfId="0" applyFill="1" applyProtection="1">
      <protection locked="0"/>
    </xf>
    <xf numFmtId="0" fontId="12" fillId="0" borderId="157" xfId="0" applyFont="1" applyBorder="1" applyAlignment="1" applyProtection="1">
      <alignment horizontal="left" indent="1"/>
      <protection locked="0"/>
    </xf>
    <xf numFmtId="0" fontId="0" fillId="0" borderId="79" xfId="0" applyBorder="1" applyAlignment="1">
      <alignment horizontal="left" vertical="center" wrapText="1" indent="1"/>
    </xf>
    <xf numFmtId="0" fontId="249" fillId="116" borderId="0" xfId="0" applyFont="1" applyFill="1" applyAlignment="1" applyProtection="1">
      <alignment horizontal="left" vertical="top" wrapText="1"/>
      <protection locked="0"/>
    </xf>
    <xf numFmtId="0" fontId="261" fillId="47" borderId="21" xfId="0" applyFont="1" applyFill="1" applyBorder="1" applyAlignment="1">
      <alignment wrapText="1"/>
    </xf>
    <xf numFmtId="0" fontId="0" fillId="52" borderId="21" xfId="0" applyFill="1" applyBorder="1"/>
    <xf numFmtId="0" fontId="262" fillId="47" borderId="21" xfId="90" applyFont="1" applyFill="1" applyBorder="1" applyAlignment="1">
      <alignment horizontal="left" indent="1"/>
    </xf>
    <xf numFmtId="0" fontId="262" fillId="47" borderId="21" xfId="90" applyFont="1" applyFill="1" applyBorder="1" applyAlignment="1">
      <alignment horizontal="left"/>
    </xf>
    <xf numFmtId="0" fontId="32" fillId="47" borderId="21" xfId="90" applyFont="1" applyFill="1" applyBorder="1" applyAlignment="1">
      <alignment horizontal="left"/>
    </xf>
    <xf numFmtId="0" fontId="34" fillId="47" borderId="21" xfId="75" applyFont="1" applyFill="1" applyBorder="1"/>
    <xf numFmtId="0" fontId="261"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2" fillId="47" borderId="21" xfId="90" applyFont="1" applyFill="1" applyBorder="1" applyAlignment="1" applyProtection="1">
      <alignment horizontal="left" indent="1"/>
      <protection locked="0"/>
    </xf>
    <xf numFmtId="0" fontId="32" fillId="47" borderId="21" xfId="90" applyFont="1" applyFill="1" applyBorder="1" applyAlignment="1" applyProtection="1">
      <alignment horizontal="center" vertical="center"/>
      <protection locked="0"/>
    </xf>
    <xf numFmtId="0" fontId="32" fillId="47" borderId="21" xfId="90" applyFont="1" applyFill="1" applyBorder="1" applyAlignment="1" applyProtection="1">
      <alignment horizontal="left"/>
      <protection locked="0"/>
    </xf>
    <xf numFmtId="0" fontId="34" fillId="47" borderId="21" xfId="75" applyFont="1" applyFill="1" applyBorder="1" applyProtection="1">
      <protection locked="0"/>
    </xf>
    <xf numFmtId="0" fontId="264" fillId="47" borderId="21" xfId="90" applyFont="1" applyFill="1" applyBorder="1" applyAlignment="1" applyProtection="1">
      <alignment horizontal="left"/>
      <protection locked="0"/>
    </xf>
    <xf numFmtId="0" fontId="37" fillId="47" borderId="21" xfId="90" applyFont="1" applyFill="1" applyBorder="1" applyAlignment="1" applyProtection="1">
      <alignment horizontal="center" vertical="center"/>
      <protection locked="0"/>
    </xf>
    <xf numFmtId="0" fontId="37" fillId="47" borderId="21" xfId="90" applyFont="1" applyFill="1" applyBorder="1" applyAlignment="1" applyProtection="1">
      <alignment horizontal="left"/>
      <protection locked="0"/>
    </xf>
    <xf numFmtId="0" fontId="262" fillId="47" borderId="21" xfId="90" applyFont="1" applyFill="1" applyBorder="1" applyAlignment="1" applyProtection="1">
      <alignment horizontal="left"/>
      <protection locked="0"/>
    </xf>
    <xf numFmtId="0" fontId="32" fillId="47" borderId="21" xfId="90" applyFont="1" applyFill="1" applyBorder="1" applyAlignment="1" applyProtection="1">
      <alignment horizontal="center"/>
      <protection locked="0"/>
    </xf>
    <xf numFmtId="0" fontId="0" fillId="3" borderId="21" xfId="0" applyFill="1" applyBorder="1" applyAlignment="1" applyProtection="1">
      <alignment vertical="top" wrapText="1"/>
      <protection locked="0"/>
    </xf>
    <xf numFmtId="0" fontId="12" fillId="137" borderId="21" xfId="0" applyFont="1" applyFill="1" applyBorder="1"/>
    <xf numFmtId="0" fontId="12" fillId="137" borderId="0" xfId="0" applyFont="1" applyFill="1"/>
    <xf numFmtId="0" fontId="12" fillId="137" borderId="157" xfId="0" applyFont="1" applyFill="1" applyBorder="1"/>
    <xf numFmtId="0" fontId="12" fillId="137" borderId="11" xfId="0" applyFont="1" applyFill="1" applyBorder="1"/>
    <xf numFmtId="0" fontId="0" fillId="3" borderId="0" xfId="0" applyFill="1" applyAlignment="1" applyProtection="1">
      <alignment horizontal="left" vertical="top" indent="1"/>
      <protection locked="0"/>
    </xf>
    <xf numFmtId="43" fontId="0" fillId="0" borderId="0" xfId="0" applyNumberFormat="1" applyAlignment="1" applyProtection="1">
      <alignment horizontal="left" vertical="top"/>
      <protection locked="0"/>
    </xf>
    <xf numFmtId="0" fontId="0" fillId="3" borderId="0" xfId="0" applyFill="1" applyAlignment="1" applyProtection="1">
      <alignment horizontal="left" vertical="top" indent="1"/>
      <protection locked="0"/>
    </xf>
    <xf numFmtId="0" fontId="0" fillId="0" borderId="0" xfId="0" applyAlignment="1">
      <alignment horizontal="center"/>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center" vertical="center" wrapText="1"/>
    </xf>
    <xf numFmtId="0" fontId="0" fillId="0" borderId="6" xfId="0" applyBorder="1" applyAlignment="1">
      <alignment horizontal="center"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3" fontId="0" fillId="0" borderId="151" xfId="0" applyNumberFormat="1" applyBorder="1" applyAlignment="1">
      <alignment horizontal="center" vertical="center" wrapText="1"/>
    </xf>
    <xf numFmtId="3" fontId="0" fillId="0" borderId="150"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center" wrapText="1" inden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4" xfId="0" applyBorder="1" applyAlignment="1">
      <alignment horizontal="lef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8" xfId="0" applyBorder="1" applyAlignment="1">
      <alignment horizontal="center" vertical="center" wrapText="1"/>
    </xf>
    <xf numFmtId="0" fontId="0" fillId="0" borderId="124"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46" xfId="0" applyBorder="1" applyAlignment="1">
      <alignment horizontal="center" vertical="center" wrapText="1"/>
    </xf>
    <xf numFmtId="0" fontId="0" fillId="0" borderId="147" xfId="0" applyBorder="1" applyAlignment="1">
      <alignment horizontal="center" vertical="center" wrapText="1"/>
    </xf>
    <xf numFmtId="1" fontId="10" fillId="0" borderId="159" xfId="0" applyNumberFormat="1" applyFont="1" applyBorder="1" applyAlignment="1">
      <alignment horizontal="center" vertical="center"/>
    </xf>
    <xf numFmtId="1" fontId="10" fillId="0" borderId="160" xfId="0" applyNumberFormat="1" applyFont="1" applyBorder="1" applyAlignment="1">
      <alignment horizontal="center" vertical="center"/>
    </xf>
    <xf numFmtId="1" fontId="10" fillId="0" borderId="161" xfId="0" applyNumberFormat="1" applyFont="1" applyBorder="1" applyAlignment="1">
      <alignment horizontal="center" vertical="center"/>
    </xf>
    <xf numFmtId="1" fontId="10" fillId="0" borderId="173" xfId="0" applyNumberFormat="1" applyFont="1" applyBorder="1" applyAlignment="1">
      <alignment horizontal="center" vertical="center"/>
    </xf>
    <xf numFmtId="1" fontId="10" fillId="0" borderId="174"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0" xfId="0" applyAlignment="1">
      <alignment horizontal="left" vertical="center" wrapText="1" indent="1"/>
    </xf>
    <xf numFmtId="0" fontId="0" fillId="0" borderId="121" xfId="0" applyBorder="1" applyAlignment="1">
      <alignment horizontal="left" vertical="center" wrapText="1"/>
    </xf>
    <xf numFmtId="0" fontId="0" fillId="0" borderId="28" xfId="0" applyBorder="1" applyAlignment="1">
      <alignment horizontal="left" vertical="center" wrapText="1"/>
    </xf>
    <xf numFmtId="0" fontId="0" fillId="0" borderId="124" xfId="0" applyBorder="1" applyAlignment="1">
      <alignment horizontal="left" vertical="center" wrapText="1"/>
    </xf>
    <xf numFmtId="178" fontId="0" fillId="117" borderId="61" xfId="0" applyNumberFormat="1" applyFill="1" applyBorder="1" applyAlignment="1">
      <alignment horizontal="center"/>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4" xfId="0" applyNumberFormat="1" applyBorder="1" applyAlignment="1">
      <alignment horizontal="center" vertical="center" wrapText="1"/>
    </xf>
    <xf numFmtId="0" fontId="0" fillId="0" borderId="121" xfId="0" applyBorder="1" applyAlignment="1">
      <alignment vertical="center" wrapText="1"/>
    </xf>
    <xf numFmtId="0" fontId="0" fillId="0" borderId="28" xfId="0" applyBorder="1" applyAlignment="1">
      <alignment vertical="center" wrapText="1"/>
    </xf>
    <xf numFmtId="0" fontId="0" fillId="0" borderId="124"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0" fontId="12" fillId="36" borderId="6" xfId="75" applyFont="1" applyFill="1" applyBorder="1" applyAlignment="1">
      <alignment horizontal="left" vertical="top" wrapText="1"/>
    </xf>
    <xf numFmtId="0" fontId="0" fillId="0" borderId="6" xfId="0" applyBorder="1" applyAlignment="1">
      <alignment horizontal="left" vertical="top" wrapText="1"/>
    </xf>
    <xf numFmtId="0" fontId="35" fillId="0" borderId="6" xfId="75" applyFont="1" applyBorder="1" applyAlignment="1">
      <alignment horizontal="center" vertical="center" wrapText="1"/>
    </xf>
    <xf numFmtId="0" fontId="0" fillId="0" borderId="6" xfId="0" applyBorder="1" applyAlignment="1">
      <alignment wrapText="1"/>
    </xf>
    <xf numFmtId="0" fontId="0" fillId="0" borderId="0" xfId="0" applyAlignment="1" applyProtection="1">
      <alignment horizontal="center"/>
      <protection locked="0"/>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4" xfId="0" applyFill="1" applyBorder="1" applyAlignment="1" applyProtection="1">
      <alignment horizontal="center"/>
      <protection locked="0"/>
    </xf>
    <xf numFmtId="0" fontId="0" fillId="53" borderId="150" xfId="0" applyFill="1" applyBorder="1" applyAlignment="1" applyProtection="1">
      <alignment horizontal="center" vertical="top" wrapText="1"/>
      <protection locked="0"/>
    </xf>
    <xf numFmtId="0" fontId="0" fillId="53" borderId="156"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cellXfs>
  <cellStyles count="51705">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73 2 2" xfId="51704" xr:uid="{F5F58C1B-4964-47C2-8A1D-AEDBFFCF6E1C}"/>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 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115">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border>
        <right style="thin">
          <color auto="1"/>
        </right>
        <vertical/>
        <horizontal/>
      </border>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fgColor auto="1"/>
          <bgColor theme="7" tint="0.79998168889431442"/>
        </patternFill>
      </fill>
    </dxf>
    <dxf>
      <fill>
        <patternFill patternType="lightDown"/>
      </fill>
    </dxf>
    <dxf>
      <fill>
        <patternFill patternType="darkUp">
          <fgColor rgb="FFC0C0C0"/>
        </patternFill>
      </fill>
    </dxf>
    <dxf>
      <fill>
        <patternFill patternType="lightDown"/>
      </fill>
    </dxf>
    <dxf>
      <fill>
        <patternFill patternType="lightDown"/>
      </fill>
    </dxf>
    <dxf>
      <fill>
        <patternFill patternType="lightDown"/>
      </fill>
    </dxf>
    <dxf>
      <fill>
        <patternFill patternType="lightDown"/>
      </fill>
    </dxf>
    <dxf>
      <fill>
        <patternFill patternType="lightDown"/>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CC99"/>
      <color rgb="FFCCFFCC"/>
      <color rgb="FFFFFFAB"/>
      <color rgb="FFC0C0C0"/>
      <color rgb="FFFFFFCC"/>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21" Type="http://schemas.openxmlformats.org/officeDocument/2006/relationships/externalLink" Target="externalLinks/externalLink4.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theme" Target="theme/theme1.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2200560</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1058487</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5415642</xdr:colOff>
      <xdr:row>0</xdr:row>
      <xdr:rowOff>217714</xdr:rowOff>
    </xdr:from>
    <xdr:to>
      <xdr:col>1</xdr:col>
      <xdr:colOff>782410</xdr:colOff>
      <xdr:row>2</xdr:row>
      <xdr:rowOff>21545</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91966258-39EB-459B-A6D7-27A6A4D6E42B}"/>
            </a:ext>
          </a:extLst>
        </xdr:cNvPr>
        <xdr:cNvSpPr/>
      </xdr:nvSpPr>
      <xdr:spPr>
        <a:xfrm>
          <a:off x="5415642" y="217714"/>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0</xdr:row>
      <xdr:rowOff>201705</xdr:rowOff>
    </xdr:from>
    <xdr:to>
      <xdr:col>11</xdr:col>
      <xdr:colOff>439831</xdr:colOff>
      <xdr:row>2</xdr:row>
      <xdr:rowOff>2334</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DAA7F3A1-5FF9-4631-A1BB-16B8A1777052}"/>
            </a:ext>
          </a:extLst>
        </xdr:cNvPr>
        <xdr:cNvSpPr/>
      </xdr:nvSpPr>
      <xdr:spPr>
        <a:xfrm>
          <a:off x="6208059" y="201705"/>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fgem.gov.uk/TG/Transmission/Transmission_Price_Controls_Lib/Regulatory_Reporting/RRP_2010/Transmission%20PCRRP%20tables_SPTL_200910%20draf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gdsswrk002.uk.corporg.net\home3_wrk$\My%20Documents\Ant\Other\Grap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yhcbapp83\gas%20distribution%20shared%20folder\EXECFIN\FINPLAN\Monthly%20Reporting\0506\04%20-%20July\Report%20Schedules\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Revenue_Reporting-pack_v4.1_slow_track%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yhcbapp83\gas%20distribution%20shared%20folder\DOCUME~1\ostergmk\LOCALS~1\Temp\10%20year%20maturity%20T%20Bonds%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yhcbapp83\gas%20distribution%20shared%20folder\DOCUME~1\byrnespj\LOCALS~1\Temp\Beta%20Retail%20Examp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Cost_and_Volumes_July_20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repoint2013/Users/taylorjo/AppData/Local/Microsoft/Windows/INetCache/Content.Outlook/TA0MFAPA/Pension%20RIGs%20data%20tables%20v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Universal data"/>
      <sheetName val="Check and Balances"/>
      <sheetName val="1.1 Published Data"/>
      <sheetName val="1.2s Ofgem Adjustments Scots"/>
      <sheetName val="1.3s Accounting C Costs Scots"/>
      <sheetName val="1.4s Performance Scots"/>
      <sheetName val="1.5s Reconciliation Scots"/>
      <sheetName val="2.1 Eng Opex Elec "/>
      <sheetName val="2.2 Non Op Capex"/>
      <sheetName val="2.4 Exc &amp; Demin "/>
      <sheetName val="2.5 Corporate Costs Scots"/>
      <sheetName val="2.6 IT Scots"/>
      <sheetName val="2.7s Insurance"/>
      <sheetName val="2.7 Captive Insure"/>
      <sheetName val="2.10 Related Party Scots"/>
      <sheetName val="2.11s Staff Scots"/>
      <sheetName val="2.14 Year on Year Movt"/>
      <sheetName val="2.16.1 Recharge Model"/>
      <sheetName val="2.16.2 Recharge Model"/>
      <sheetName val="3.1s Pensions Scots"/>
      <sheetName val="3.1.1 DB Pension cost"/>
      <sheetName val="3.1.2 DB Pension Detail"/>
      <sheetName val="3.1.3 Second DB Pension Det"/>
      <sheetName val="3.1.4 Pensions DC"/>
      <sheetName val="3.1.5 Pension PPF levy"/>
      <sheetName val="3.1.6 Pension Admin"/>
      <sheetName val="3.2 Net Debt"/>
      <sheetName val="3.3 Tax"/>
      <sheetName val="3.4s Disposals"/>
      <sheetName val="3.5 P&amp;L"/>
      <sheetName val="3.5.1 Bal Sht"/>
      <sheetName val="3.5.2 Cashflow"/>
      <sheetName val="3.6 Fin Require"/>
      <sheetName val="3.7 Tax allocations"/>
      <sheetName val="3.7.1 Tax allocations CT600"/>
      <sheetName val="4.1  System Info"/>
      <sheetName val="4.2  Activity indicators"/>
      <sheetName val="4.3_System_perf_SHETL_SPT"/>
      <sheetName val="4.4  Defects SPTL"/>
      <sheetName val="4.5  Faults"/>
      <sheetName val="4.6  Failures"/>
      <sheetName val="4.7 Condition Assessment SPTL"/>
      <sheetName val="4.8_Boundary_transf_capab"/>
      <sheetName val="4.9_Demand_&amp;_Supply_at_sub"/>
      <sheetName val="4.10 Reactive compensation"/>
      <sheetName val="4.11 Asset description SPTL"/>
      <sheetName val="4.12 Asset age 2007"/>
      <sheetName val="4.12 Asset age 2008"/>
      <sheetName val="4.12 Asset age 2009"/>
      <sheetName val="4.12 Asset age 2010"/>
      <sheetName val="4.13 Asset disposal LRE by age"/>
      <sheetName val="4.14 Asset disposal NLRE by age"/>
      <sheetName val="4.15 Asset adds &amp; disps"/>
      <sheetName val="4.16 Asset lives"/>
      <sheetName val="4.17 Unit costs"/>
      <sheetName val="4.18 Capex summary e"/>
      <sheetName val="4.19 Scheme Listing LR"/>
      <sheetName val="4.20 Scheme Listing NLR"/>
      <sheetName val="4.21 Quasi capex"/>
      <sheetName val="4.22 Other Capex costs"/>
      <sheetName val="4.23 TIRG"/>
      <sheetName val="4.24 Revenue Driver info"/>
      <sheetName val="4.25 CEI"/>
      <sheetName val="4.26 Capex Movement"/>
      <sheetName val="4.27.1 Capex Price Vol Var"/>
      <sheetName val="4.27.2 Capex Price Vol Var"/>
      <sheetName val="4.28A_Asset_health_&amp;_crit"/>
      <sheetName val="4.28B_Asset_health_&amp;_crit"/>
      <sheetName val="4.29C_Criticality_subs_SP"/>
      <sheetName val="4.30 TPCR Forecast"/>
      <sheetName val="4.31 E3 Grid"/>
      <sheetName val="3.1 P&amp;L"/>
      <sheetName val="3.2 Bal Sht"/>
      <sheetName val="3.3 Cashflow"/>
      <sheetName val="3.3.1 Fin Require"/>
      <sheetName val="3.5 Net Debt"/>
      <sheetName val="3.6 Tax"/>
      <sheetName val="3.8 DB Pension cost"/>
      <sheetName val="3.8.1 DB Pension Detail"/>
      <sheetName val="3.8.2 Second DB Pension Det"/>
      <sheetName val="3.9 Pensions DC"/>
      <sheetName val="3.10 Pension PPF levy"/>
      <sheetName val="3.11 Pension Admin"/>
      <sheetName val="4.3  System perf - SPTL"/>
      <sheetName val="4.8  Boundary Transfers"/>
      <sheetName val="4.9  Demand &amp; Supply at subs"/>
      <sheetName val="4.28 Asset Health"/>
      <sheetName val="4.29 Asset Criticality"/>
      <sheetName val="4.30 Asset Rep Priority"/>
      <sheetName val="4.31 Asset Live Det"/>
      <sheetName val="4.32 TPCR Forecast"/>
      <sheetName val="4.33 E3 Grid"/>
      <sheetName val="Lists"/>
      <sheetName val="Maximo Workload"/>
      <sheetName val="Costs_AfterRule2"/>
      <sheetName val="Inp_BPDT"/>
      <sheetName val="Inp_DataHub_Costs"/>
      <sheetName val="Inp_DataHub_Volumes"/>
      <sheetName val="Inp_BPDT_Repex"/>
      <sheetName val="Inp_BPDT_CapexVolumes"/>
      <sheetName val="Inp_BPDT_CapexVolumes_v2"/>
      <sheetName val="Valuation worksheet"/>
      <sheetName val="ADMIN"/>
      <sheetName val="Data Lookups"/>
      <sheetName val="FP23 Finance Summary"/>
      <sheetName val="Project Summary (2)"/>
      <sheetName val="Transmission PCRRP tables_SPTL_"/>
      <sheetName val="Orderline"/>
      <sheetName val="Risk Register"/>
    </sheetNames>
    <sheetDataSet>
      <sheetData sheetId="0"/>
      <sheetData sheetId="1"/>
      <sheetData sheetId="2">
        <row r="21">
          <cell r="C21" t="str">
            <v>2009/10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CKET"/>
      <sheetName val="SUN"/>
      <sheetName val="FF 02"/>
      <sheetName val="FF 03"/>
      <sheetName val="Graphs"/>
      <sheetName val="Lists"/>
      <sheetName val="FF_02"/>
      <sheetName val="FF_03"/>
      <sheetName val="dropdowns"/>
      <sheetName val="Universal data"/>
      <sheetName val="FF_021"/>
      <sheetName val="FF_031"/>
      <sheetName val="Universal_data"/>
      <sheetName val="DA Trace"/>
      <sheetName val="Basic-Default"/>
      <sheetName val="FF_022"/>
      <sheetName val="FF_032"/>
      <sheetName val="Universal_data1"/>
      <sheetName val="DA_Trace"/>
      <sheetName val="FF_023"/>
      <sheetName val="FF_033"/>
      <sheetName val="Universal_data2"/>
      <sheetName val="DA_Trace1"/>
      <sheetName val="trans"/>
      <sheetName val="t3 page 1"/>
      <sheetName val="fc page 1"/>
      <sheetName val="FF_024"/>
      <sheetName val="FF_034"/>
      <sheetName val="Universal_data3"/>
      <sheetName val="DA_Trace2"/>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est"/>
      <sheetName val="Incentives"/>
      <sheetName val="Income collected"/>
      <sheetName val="Opex subjective"/>
      <sheetName val="Capex Comp"/>
      <sheetName val="Capex Comparators FOC"/>
      <sheetName val="Incentive Forecast"/>
      <sheetName val="Opex Comparators-sensitivities"/>
      <sheetName val="Opex Objective YTD"/>
      <sheetName val="Opex by FOC"/>
      <sheetName val="Opex Trend &amp; MAT"/>
      <sheetName val="Manpower"/>
      <sheetName val="Incentive Graphs"/>
      <sheetName val="Opex Objective Discrete Mths"/>
      <sheetName val="risk"/>
      <sheetName val="Manpower Summary"/>
      <sheetName val="Opex Subj by Mth"/>
      <sheetName val="Opex Objective Mth"/>
      <sheetName val="#REF"/>
      <sheetName val="By Account Code"/>
      <sheetName val="By Business Unit"/>
      <sheetName val="SummCapex"/>
      <sheetName val="ETO Capx"/>
      <sheetName val="ESO Capx"/>
      <sheetName val="GAS SO Capx"/>
      <sheetName val="GAS TO Capx "/>
      <sheetName val="Range Names"/>
      <sheetName val="ADMIN"/>
      <sheetName val="Income_collected"/>
      <sheetName val="Opex_subjective"/>
      <sheetName val="Capex_Comp"/>
      <sheetName val="Capex_Comparators_FOC"/>
      <sheetName val="Incentive_Forecast"/>
      <sheetName val="Opex_Comparators-sensitivities"/>
      <sheetName val="Opex_Objective_YTD"/>
      <sheetName val="Opex_by_FOC"/>
      <sheetName val="Opex_Trend_&amp;_MAT"/>
      <sheetName val="Incentive_Graphs"/>
      <sheetName val="Opex_Objective_Discrete_Mths"/>
      <sheetName val="Manpower_Summary"/>
      <sheetName val="Opex_Subj_by_Mth"/>
      <sheetName val="Opex_Objective_Mth"/>
      <sheetName val="By_Account_Code"/>
      <sheetName val="By_Business_Unit"/>
      <sheetName val="ETO_Capx"/>
      <sheetName val="ESO_Capx"/>
      <sheetName val="GAS_SO_Capx"/>
      <sheetName val="GAS_TO_Capx_"/>
      <sheetName val="Range_Names"/>
      <sheetName val="Graphs"/>
      <sheetName val="Working 1.2"/>
      <sheetName val="CC GSO by Account"/>
      <sheetName val="Periods"/>
      <sheetName val="CCSO by Units"/>
      <sheetName val="FY2000"/>
      <sheetName val="PL"/>
      <sheetName val="Summary rev"/>
      <sheetName val="CF"/>
      <sheetName val="P&amp;L"/>
      <sheetName val="BS"/>
      <sheetName val="Settings"/>
      <sheetName val="EssActuals"/>
      <sheetName val="DB Annual Model"/>
      <sheetName val="Data1"/>
      <sheetName val="ETO pvc"/>
      <sheetName val="Business Unit"/>
      <sheetName val="MAP"/>
      <sheetName val="General Taxes"/>
      <sheetName val="Dave Birch - total"/>
      <sheetName val="Consolidated Results"/>
      <sheetName val="HoldCo Debt projected"/>
      <sheetName val="PLC"/>
      <sheetName val="NGET"/>
      <sheetName val="NGG"/>
      <sheetName val="NGNA"/>
      <sheetName val="NGUSA"/>
      <sheetName val="NIMO"/>
      <sheetName val="KEDNY"/>
      <sheetName val="KEDLI"/>
      <sheetName val="COLG"/>
      <sheetName val="BEG"/>
      <sheetName val="MECO"/>
      <sheetName val="NECO"/>
      <sheetName val="GENCO"/>
      <sheetName val="NEP"/>
      <sheetName val="DATA"/>
      <sheetName val="BS Distr"/>
      <sheetName val="Data Sheet"/>
      <sheetName val="Income_collected1"/>
      <sheetName val="Opex_subjective1"/>
      <sheetName val="Capex_Comp1"/>
      <sheetName val="Capex_Comparators_FOC1"/>
      <sheetName val="Incentive_Forecast1"/>
      <sheetName val="Opex_Comparators-sensitivities1"/>
      <sheetName val="Opex_Objective_YTD1"/>
      <sheetName val="Opex_by_FOC1"/>
      <sheetName val="Opex_Trend_&amp;_MAT1"/>
      <sheetName val="Incentive_Graphs1"/>
      <sheetName val="Opex_Objective_Discrete_Mths1"/>
      <sheetName val="Manpower_Summary1"/>
      <sheetName val="Opex_Subj_by_Mth1"/>
      <sheetName val="Opex_Objective_Mth1"/>
      <sheetName val="By_Account_Code1"/>
      <sheetName val="By_Business_Unit1"/>
      <sheetName val="ETO_Capx1"/>
      <sheetName val="ESO_Capx1"/>
      <sheetName val="GAS_SO_Capx1"/>
      <sheetName val="GAS_TO_Capx_1"/>
      <sheetName val="Range_Names1"/>
      <sheetName val="Working_1_2"/>
      <sheetName val="Drop down menus"/>
      <sheetName val="Lookups"/>
      <sheetName val="Drop_down_menus"/>
      <sheetName val="CC_GSO_by_Account"/>
      <sheetName val="CCSO_by_Units"/>
      <sheetName val="Summary_rev"/>
      <sheetName val="DB_Annual_Model"/>
      <sheetName val="ETO_pvc"/>
      <sheetName val="Business_Unit"/>
      <sheetName val="General_Taxes"/>
      <sheetName val="Dave_Birch_-_total"/>
      <sheetName val="Consolidated_Results"/>
      <sheetName val="HoldCo_Debt_projected"/>
      <sheetName val="BS_Distr"/>
      <sheetName val="Data_Sheet"/>
      <sheetName val="Drop_down_menus1"/>
      <sheetName val="CC_GSO_by_Account1"/>
      <sheetName val="CCSO_by_Units1"/>
      <sheetName val="Summary_rev1"/>
      <sheetName val="DB_Annual_Model1"/>
      <sheetName val="ETO_pvc1"/>
      <sheetName val="Business_Unit1"/>
      <sheetName val="General_Taxes1"/>
      <sheetName val="Dave_Birch_-_total1"/>
      <sheetName val="Consolidated_Results1"/>
      <sheetName val="HoldCo_Debt_projected1"/>
      <sheetName val="BS_Distr1"/>
      <sheetName val="Data_Sheet1"/>
      <sheetName val="Income_collected2"/>
      <sheetName val="Opex_subjective2"/>
      <sheetName val="Capex_Comp2"/>
      <sheetName val="Capex_Comparators_FOC2"/>
      <sheetName val="Incentive_Forecast2"/>
      <sheetName val="Opex_Comparators-sensitivities2"/>
      <sheetName val="Opex_Objective_YTD2"/>
      <sheetName val="Opex_by_FOC2"/>
      <sheetName val="Opex_Trend_&amp;_MAT2"/>
      <sheetName val="Incentive_Graphs2"/>
      <sheetName val="Opex_Objective_Discrete_Mths2"/>
      <sheetName val="Manpower_Summary2"/>
      <sheetName val="Opex_Subj_by_Mth2"/>
      <sheetName val="Opex_Objective_Mth2"/>
      <sheetName val="By_Account_Code2"/>
      <sheetName val="By_Business_Unit2"/>
      <sheetName val="ETO_Capx2"/>
      <sheetName val="ESO_Capx2"/>
      <sheetName val="GAS_SO_Capx2"/>
      <sheetName val="GAS_TO_Capx_2"/>
      <sheetName val="Range_Names2"/>
      <sheetName val="Working_1_21"/>
      <sheetName val="Model"/>
      <sheetName val="Income_collected3"/>
      <sheetName val="Opex_subjective3"/>
      <sheetName val="Capex_Comp3"/>
      <sheetName val="Capex_Comparators_FOC3"/>
      <sheetName val="Incentive_Forecast3"/>
      <sheetName val="Opex_Comparators-sensitivities3"/>
      <sheetName val="Opex_Objective_YTD3"/>
      <sheetName val="Opex_by_FOC3"/>
      <sheetName val="Opex_Trend_&amp;_MAT3"/>
      <sheetName val="Incentive_Graphs3"/>
      <sheetName val="Opex_Objective_Discrete_Mths3"/>
      <sheetName val="Manpower_Summary3"/>
      <sheetName val="Opex_Subj_by_Mth3"/>
      <sheetName val="Opex_Objective_Mth3"/>
      <sheetName val="By_Account_Code3"/>
      <sheetName val="By_Business_Unit3"/>
      <sheetName val="ETO_Capx3"/>
      <sheetName val="ESO_Capx3"/>
      <sheetName val="GAS_SO_Capx3"/>
      <sheetName val="GAS_TO_Capx_3"/>
      <sheetName val="Range_Names3"/>
      <sheetName val="Working_1_22"/>
      <sheetName val="CC_GSO_by_Account2"/>
      <sheetName val="CCSO_by_Units2"/>
      <sheetName val="Summary_rev2"/>
      <sheetName val="DB_Annual_Model2"/>
      <sheetName val="ETO_pvc2"/>
      <sheetName val="Business_Unit2"/>
      <sheetName val="General_Taxes2"/>
      <sheetName val="Dave_Birch_-_total2"/>
      <sheetName val="Consolidated_Results2"/>
      <sheetName val="HoldCo_Debt_projected2"/>
      <sheetName val="BS_Distr2"/>
      <sheetName val="Data_Sheet2"/>
      <sheetName val="Drop_down_menus2"/>
      <sheetName val="forecast data"/>
      <sheetName val="Income_collected4"/>
      <sheetName val="Opex_subjective4"/>
      <sheetName val="Capex_Comp4"/>
      <sheetName val="Capex_Comparators_FOC4"/>
      <sheetName val="Incentive_Forecast4"/>
      <sheetName val="Opex_Comparators-sensitivities4"/>
      <sheetName val="Opex_Objective_YTD4"/>
      <sheetName val="Opex_by_FOC4"/>
      <sheetName val="Opex_Trend_&amp;_MAT4"/>
      <sheetName val="Incentive_Graphs4"/>
      <sheetName val="Opex_Objective_Discrete_Mths4"/>
      <sheetName val="Manpower_Summary4"/>
      <sheetName val="Opex_Subj_by_Mth4"/>
      <sheetName val="Opex_Objective_Mth4"/>
      <sheetName val="By_Account_Code4"/>
      <sheetName val="By_Business_Unit4"/>
      <sheetName val="ETO_Capx4"/>
      <sheetName val="ESO_Capx4"/>
      <sheetName val="GAS_SO_Capx4"/>
      <sheetName val="GAS_TO_Capx_4"/>
      <sheetName val="Range_Names4"/>
      <sheetName val="Working_1_23"/>
      <sheetName val="CC_GSO_by_Account3"/>
      <sheetName val="CCSO_by_Units3"/>
      <sheetName val="Summary_rev3"/>
      <sheetName val="DB_Annual_Model3"/>
      <sheetName val="ETO_pvc3"/>
      <sheetName val="Business_Unit3"/>
      <sheetName val="General_Taxes3"/>
      <sheetName val="Dave_Birch_-_total3"/>
      <sheetName val="Consolidated_Results3"/>
      <sheetName val="HoldCo_Debt_projected3"/>
      <sheetName val="BS_Distr3"/>
      <sheetName val="Data_Sheet3"/>
      <sheetName val="Drop_down_menus3"/>
      <sheetName val="LBO"/>
      <sheetName val="Co. C"/>
      <sheetName val="US GenCo"/>
      <sheetName val="Financials"/>
      <sheetName val="Assumptions"/>
      <sheetName val="COVER"/>
      <sheetName val="SUMMARY"/>
      <sheetName val="BUDGET"/>
      <sheetName val="CAPEX"/>
      <sheetName val="Egan"/>
      <sheetName val="CF Combo"/>
      <sheetName val="Unlev FCF"/>
      <sheetName val="Controls"/>
      <sheetName val="Sens"/>
      <sheetName val="Plant"/>
      <sheetName val="Inputs"/>
      <sheetName val="Capital Structures"/>
      <sheetName val="MOE"/>
      <sheetName val="Scenarios"/>
      <sheetName val="DIAMOND"/>
      <sheetName val="AcqIS"/>
      <sheetName val="AcqBSCF"/>
      <sheetName val="Fin Assumptions"/>
      <sheetName val="By Class"/>
      <sheetName val="Old Genco"/>
      <sheetName val="Scenario Manager"/>
      <sheetName val="stmcro"/>
      <sheetName val="BS EXP"/>
      <sheetName val="BS BD"/>
      <sheetName val="FCF"/>
      <sheetName val="Backup"/>
      <sheetName val="Pricing"/>
      <sheetName val="Look"/>
      <sheetName val="Interest Rate"/>
      <sheetName val="PowerDeals"/>
      <sheetName val="Summary of Prices"/>
      <sheetName val="NRAlloc"/>
      <sheetName val="Avg Balance"/>
      <sheetName val="Global Assumptions"/>
      <sheetName val="Loads"/>
      <sheetName val="Load_Cases"/>
      <sheetName val="Setup"/>
      <sheetName val="Economic Variables"/>
      <sheetName val="April"/>
      <sheetName val="PXMODEL"/>
      <sheetName val="Model-Utility"/>
      <sheetName val="Utility Income Statement"/>
      <sheetName val="Base Case"/>
      <sheetName val="Model NA"/>
      <sheetName val="Balance Sheet"/>
      <sheetName val="Budget Classification"/>
      <sheetName val="Division"/>
      <sheetName val="Plandepts"/>
      <sheetName val="Proj Types"/>
      <sheetName val="Rates"/>
      <sheetName val="Rachel Tullis"/>
      <sheetName val="Neil Lyons"/>
      <sheetName val="99-00 CYTD Table"/>
      <sheetName val="Sch II"/>
      <sheetName val="OLSONdenaliOpModel"/>
      <sheetName val="Projected_fillin"/>
      <sheetName val="MACROSHEET"/>
      <sheetName val="LBO Cases"/>
      <sheetName val="Income Statement"/>
      <sheetName val="Reporting (2)"/>
      <sheetName val="Sheet2"/>
      <sheetName val="Sheet3"/>
      <sheetName val="Amortization Schedules"/>
      <sheetName val="Details"/>
      <sheetName val="Summary Headcount"/>
      <sheetName val="Mth"/>
    </sheetNames>
    <sheetDataSet>
      <sheetData sheetId="0" refreshError="1">
        <row r="1">
          <cell r="A1" t="str">
            <v>Moody's Ratios</v>
          </cell>
          <cell r="B1" t="str">
            <v>FY16A</v>
          </cell>
          <cell r="C1" t="str">
            <v>FY17A</v>
          </cell>
          <cell r="D1" t="str">
            <v>FY18A</v>
          </cell>
          <cell r="E1" t="str">
            <v>FY19</v>
          </cell>
          <cell r="F1" t="str">
            <v>FY20</v>
          </cell>
          <cell r="G1" t="str">
            <v>FY21</v>
          </cell>
          <cell r="H1" t="str">
            <v>FY22</v>
          </cell>
          <cell r="I1" t="str">
            <v>FY23</v>
          </cell>
        </row>
        <row r="2">
          <cell r="A2">
            <v>0</v>
          </cell>
          <cell r="B2" t="str">
            <v>$m</v>
          </cell>
          <cell r="C2" t="str">
            <v>$m</v>
          </cell>
          <cell r="D2" t="str">
            <v>$m</v>
          </cell>
          <cell r="E2" t="str">
            <v>$m</v>
          </cell>
          <cell r="F2" t="str">
            <v>$m</v>
          </cell>
          <cell r="G2" t="str">
            <v>$m</v>
          </cell>
          <cell r="H2" t="str">
            <v>$m</v>
          </cell>
          <cell r="I2" t="str">
            <v>$m</v>
          </cell>
        </row>
        <row r="3">
          <cell r="A3" t="str">
            <v>BP 18</v>
          </cell>
          <cell r="B3">
            <v>0</v>
          </cell>
          <cell r="C3">
            <v>0</v>
          </cell>
          <cell r="D3">
            <v>0</v>
          </cell>
          <cell r="E3">
            <v>0</v>
          </cell>
          <cell r="F3">
            <v>0</v>
          </cell>
          <cell r="G3">
            <v>0</v>
          </cell>
          <cell r="H3">
            <v>0</v>
          </cell>
          <cell r="I3">
            <v>0</v>
          </cell>
        </row>
        <row r="4">
          <cell r="A4" t="str">
            <v>CFO pre-WC</v>
          </cell>
          <cell r="B4">
            <v>2036.0459406499697</v>
          </cell>
          <cell r="C4">
            <v>1755.1638497190179</v>
          </cell>
          <cell r="D4">
            <v>2212.4172619812457</v>
          </cell>
          <cell r="E4">
            <v>2246.7873840773145</v>
          </cell>
          <cell r="F4">
            <v>2447.9659652879736</v>
          </cell>
          <cell r="G4">
            <v>2624.1360873926969</v>
          </cell>
          <cell r="H4">
            <v>2897.2801638236942</v>
          </cell>
          <cell r="I4">
            <v>3003.2450894328667</v>
          </cell>
        </row>
        <row r="5">
          <cell r="A5" t="str">
            <v>Adjusted gross debt</v>
          </cell>
          <cell r="B5">
            <v>20291.93865509508</v>
          </cell>
          <cell r="C5">
            <v>20234.49606142324</v>
          </cell>
          <cell r="D5">
            <v>19844.4131223072</v>
          </cell>
          <cell r="E5">
            <v>21480.382462064586</v>
          </cell>
          <cell r="F5">
            <v>23182.516141275948</v>
          </cell>
          <cell r="G5">
            <v>24672.828996058579</v>
          </cell>
          <cell r="H5">
            <v>25840.250232098933</v>
          </cell>
          <cell r="I5">
            <v>27021.195382852045</v>
          </cell>
        </row>
        <row r="6">
          <cell r="A6" t="str">
            <v>CFO pre-WC / Debt</v>
          </cell>
          <cell r="B6">
            <v>0.10033767474152802</v>
          </cell>
          <cell r="C6">
            <v>8.6741169357076861E-2</v>
          </cell>
          <cell r="D6">
            <v>0.11148816789619527</v>
          </cell>
          <cell r="E6">
            <v>0.10459717782238057</v>
          </cell>
          <cell r="F6">
            <v>0.1055953525652647</v>
          </cell>
          <cell r="G6">
            <v>0.10635732480502726</v>
          </cell>
          <cell r="H6">
            <v>0.11212275956308942</v>
          </cell>
          <cell r="I6">
            <v>0.11114404995342138</v>
          </cell>
        </row>
        <row r="7">
          <cell r="A7" t="str">
            <v xml:space="preserve">Adjusted gross debt post Cadent proceeds </v>
          </cell>
          <cell r="B7">
            <v>0</v>
          </cell>
          <cell r="C7">
            <v>0</v>
          </cell>
          <cell r="D7">
            <v>0</v>
          </cell>
          <cell r="E7">
            <v>0</v>
          </cell>
          <cell r="F7">
            <v>20542.516141275948</v>
          </cell>
          <cell r="G7">
            <v>22032.828996058579</v>
          </cell>
          <cell r="H7">
            <v>23200.250232098933</v>
          </cell>
          <cell r="I7">
            <v>24381.195382852045</v>
          </cell>
        </row>
        <row r="8">
          <cell r="A8" t="str">
            <v>CFO pre-WC / Debt post Cadent proceeds</v>
          </cell>
          <cell r="B8">
            <v>0</v>
          </cell>
          <cell r="C8">
            <v>0</v>
          </cell>
          <cell r="D8">
            <v>0</v>
          </cell>
          <cell r="E8">
            <v>0</v>
          </cell>
          <cell r="F8">
            <v>0.11916582897891904</v>
          </cell>
          <cell r="G8">
            <v>0.11910118704511911</v>
          </cell>
          <cell r="H8">
            <v>0.12488141872776587</v>
          </cell>
          <cell r="I8">
            <v>0.12317874666412502</v>
          </cell>
        </row>
        <row r="10">
          <cell r="A10" t="str">
            <v>Adjusted gross debt needed for a 15% ratio</v>
          </cell>
          <cell r="B10">
            <v>13573.639604333132</v>
          </cell>
          <cell r="C10">
            <v>11701.09233146012</v>
          </cell>
          <cell r="D10">
            <v>14749.448413208305</v>
          </cell>
          <cell r="E10">
            <v>14978.582560515431</v>
          </cell>
          <cell r="F10">
            <v>16319.773101919825</v>
          </cell>
          <cell r="G10">
            <v>17494.240582617982</v>
          </cell>
          <cell r="H10">
            <v>19315.201092157964</v>
          </cell>
          <cell r="I10">
            <v>20021.633929552445</v>
          </cell>
        </row>
        <row r="11">
          <cell r="A11" t="str">
            <v>Surplus debt (post Cadent proceeds)</v>
          </cell>
          <cell r="B11">
            <v>6718.2990507619488</v>
          </cell>
          <cell r="C11">
            <v>8533.40372996312</v>
          </cell>
          <cell r="D11">
            <v>5094.9647090988947</v>
          </cell>
          <cell r="E11">
            <v>6501.799901549155</v>
          </cell>
          <cell r="F11">
            <v>4222.7430393561226</v>
          </cell>
          <cell r="G11">
            <v>4538.5884134405969</v>
          </cell>
          <cell r="H11">
            <v>3885.0491399409693</v>
          </cell>
          <cell r="I11">
            <v>4359.5614532996005</v>
          </cell>
        </row>
        <row r="12">
          <cell r="A12" t="str">
            <v>Or extra CFO needed</v>
          </cell>
          <cell r="B12">
            <v>0</v>
          </cell>
          <cell r="C12">
            <v>0</v>
          </cell>
          <cell r="D12">
            <v>0</v>
          </cell>
          <cell r="E12">
            <v>0</v>
          </cell>
          <cell r="F12">
            <v>633.41145590341841</v>
          </cell>
          <cell r="G12">
            <v>680.78826201608956</v>
          </cell>
          <cell r="H12">
            <v>582.75737099114542</v>
          </cell>
          <cell r="I12">
            <v>653.93421799494001</v>
          </cell>
        </row>
        <row r="13">
          <cell r="G13">
            <v>0</v>
          </cell>
        </row>
        <row r="14">
          <cell r="A14" t="str">
            <v>KEDNY &amp; KEDLI filing - additional FFO vs. BP18</v>
          </cell>
          <cell r="B14">
            <v>0</v>
          </cell>
          <cell r="C14">
            <v>0</v>
          </cell>
          <cell r="D14">
            <v>0</v>
          </cell>
          <cell r="E14">
            <v>0</v>
          </cell>
          <cell r="F14">
            <v>0</v>
          </cell>
          <cell r="G14">
            <v>248</v>
          </cell>
          <cell r="H14">
            <v>282</v>
          </cell>
          <cell r="I14">
            <v>368</v>
          </cell>
        </row>
        <row r="15">
          <cell r="A15" t="str">
            <v>KEDLI</v>
          </cell>
          <cell r="B15">
            <v>0</v>
          </cell>
          <cell r="C15">
            <v>0</v>
          </cell>
          <cell r="D15">
            <v>0</v>
          </cell>
          <cell r="E15">
            <v>0</v>
          </cell>
          <cell r="F15">
            <v>0</v>
          </cell>
          <cell r="G15">
            <v>47</v>
          </cell>
          <cell r="H15">
            <v>74</v>
          </cell>
          <cell r="I15">
            <v>94</v>
          </cell>
        </row>
        <row r="16">
          <cell r="A16" t="str">
            <v>KEDNY &amp; KEDLI filing</v>
          </cell>
          <cell r="B16">
            <v>0</v>
          </cell>
          <cell r="C16">
            <v>0</v>
          </cell>
          <cell r="D16">
            <v>0</v>
          </cell>
          <cell r="E16">
            <v>0</v>
          </cell>
          <cell r="F16">
            <v>0</v>
          </cell>
          <cell r="G16">
            <v>201</v>
          </cell>
          <cell r="H16">
            <v>208</v>
          </cell>
          <cell r="I16">
            <v>274</v>
          </cell>
        </row>
        <row r="18">
          <cell r="A18" t="str">
            <v>FFO with KEDNY/KEDLI filing</v>
          </cell>
          <cell r="F18">
            <v>2447.9659652879736</v>
          </cell>
          <cell r="G18">
            <v>2825.1360873926969</v>
          </cell>
          <cell r="H18">
            <v>3105.2801638236942</v>
          </cell>
          <cell r="I18">
            <v>3277.2450894328667</v>
          </cell>
        </row>
        <row r="19">
          <cell r="A19" t="str">
            <v>Debt after Cadent proceeds</v>
          </cell>
          <cell r="F19" t="e">
            <v>#REF!</v>
          </cell>
          <cell r="G19" t="e">
            <v>#REF!</v>
          </cell>
          <cell r="H19" t="e">
            <v>#REF!</v>
          </cell>
          <cell r="I19" t="e">
            <v>#REF!</v>
          </cell>
        </row>
        <row r="20">
          <cell r="F20" t="e">
            <v>#REF!</v>
          </cell>
          <cell r="G20" t="e">
            <v>#REF!</v>
          </cell>
          <cell r="H20" t="e">
            <v>#REF!</v>
          </cell>
          <cell r="I20" t="e">
            <v>#REF!</v>
          </cell>
        </row>
        <row r="22">
          <cell r="A22" t="str">
            <v>Opco debt</v>
          </cell>
          <cell r="B22">
            <v>9185.527</v>
          </cell>
          <cell r="C22">
            <v>9456.0750000000007</v>
          </cell>
          <cell r="D22">
            <v>10264.777</v>
          </cell>
          <cell r="E22">
            <v>11012.220794586174</v>
          </cell>
          <cell r="F22">
            <v>12422.806033726687</v>
          </cell>
          <cell r="G22">
            <v>13886.46850731013</v>
          </cell>
          <cell r="H22">
            <v>15393.190994418426</v>
          </cell>
          <cell r="I22">
            <v>16783.586553781563</v>
          </cell>
        </row>
        <row r="23">
          <cell r="A23" t="str">
            <v>CFO pre-WC / Debt</v>
          </cell>
          <cell r="B23">
            <v>0.22165804320753393</v>
          </cell>
          <cell r="C23">
            <v>0.18561230211467419</v>
          </cell>
          <cell r="D23">
            <v>0.21553485886554044</v>
          </cell>
          <cell r="E23">
            <v>0.20402672866692609</v>
          </cell>
          <cell r="F23">
            <v>0.19705418877522426</v>
          </cell>
          <cell r="G23">
            <v>0.18897072974394435</v>
          </cell>
          <cell r="H23">
            <v>0.18821829501590986</v>
          </cell>
          <cell r="I23">
            <v>0.17893941082314116</v>
          </cell>
        </row>
        <row r="25">
          <cell r="A25" t="str">
            <v>Holdco Debt</v>
          </cell>
          <cell r="B25">
            <v>11106.41165509508</v>
          </cell>
          <cell r="C25">
            <v>10778.42106142324</v>
          </cell>
          <cell r="D25">
            <v>9579.6361223071999</v>
          </cell>
          <cell r="E25">
            <v>10468.161667478413</v>
          </cell>
          <cell r="F25">
            <v>10759.710107549261</v>
          </cell>
          <cell r="G25">
            <v>10786.360488748449</v>
          </cell>
          <cell r="H25">
            <v>10447.059237680507</v>
          </cell>
          <cell r="I25">
            <v>10237.608829070483</v>
          </cell>
        </row>
        <row r="26">
          <cell r="A26" t="str">
            <v>Less Cadent</v>
          </cell>
          <cell r="F26">
            <v>-2640</v>
          </cell>
          <cell r="G26">
            <v>-2640</v>
          </cell>
          <cell r="H26">
            <v>-2640</v>
          </cell>
          <cell r="I26">
            <v>-2640</v>
          </cell>
        </row>
        <row r="27">
          <cell r="A27" t="str">
            <v>Remaining holdco debt</v>
          </cell>
          <cell r="B27">
            <v>11106.41165509508</v>
          </cell>
          <cell r="C27">
            <v>10778.42106142324</v>
          </cell>
          <cell r="D27">
            <v>9579.6361223071999</v>
          </cell>
          <cell r="E27">
            <v>10468.161667478413</v>
          </cell>
          <cell r="F27">
            <v>8119.710107549261</v>
          </cell>
          <cell r="G27">
            <v>8146.3604887484489</v>
          </cell>
          <cell r="H27">
            <v>7807.0592376805071</v>
          </cell>
          <cell r="I27">
            <v>7597.6088290704829</v>
          </cell>
        </row>
        <row r="28">
          <cell r="F28">
            <v>0</v>
          </cell>
        </row>
        <row r="30">
          <cell r="A30" t="str">
            <v>Rate base</v>
          </cell>
          <cell r="B30">
            <v>18261</v>
          </cell>
          <cell r="C30">
            <v>19297</v>
          </cell>
          <cell r="D30">
            <v>20716</v>
          </cell>
          <cell r="E30">
            <v>22509.583812386278</v>
          </cell>
          <cell r="F30">
            <v>24533.665128025557</v>
          </cell>
          <cell r="G30">
            <v>26572.575616936803</v>
          </cell>
          <cell r="H30">
            <v>28791.46362363156</v>
          </cell>
          <cell r="I30">
            <v>30934.458271973239</v>
          </cell>
        </row>
        <row r="31">
          <cell r="B31">
            <v>0.50301336180932044</v>
          </cell>
          <cell r="C31">
            <v>0.49002824273203094</v>
          </cell>
          <cell r="D31">
            <v>0.49549995172813283</v>
          </cell>
          <cell r="E31">
            <v>0.48922365186185779</v>
          </cell>
          <cell r="F31">
            <v>0.50635752827390368</v>
          </cell>
          <cell r="G31">
            <v>0.52258647063400154</v>
          </cell>
          <cell r="H31">
            <v>0.53464426802477483</v>
          </cell>
          <cell r="I31">
            <v>0.54255311039300047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refreshError="1"/>
      <sheetData sheetId="30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R1 Schematic"/>
      <sheetName val="R2 Changes Log"/>
      <sheetName val="R3 Data Change Log"/>
      <sheetName val="R4 Licence Condition Values"/>
      <sheetName val="R5a Links"/>
      <sheetName val="R5 Input Page"/>
      <sheetName val="R6 Base Demand Revenue"/>
      <sheetName val="R7 Output Incentives"/>
      <sheetName val="R8 Pass-Through Items"/>
      <sheetName val="R9 NIA"/>
      <sheetName val="R10 Low Carbon Networks Fund"/>
      <sheetName val="R11 Connections Performance"/>
      <sheetName val="R12 DPCR4 Losses and Growth"/>
      <sheetName val="R13 Correction Factor"/>
      <sheetName val="R14 Allowed Revenue Summary"/>
      <sheetName val="R15 RegAccs Recon"/>
      <sheetName val="Licence Values"/>
      <sheetName val="Data"/>
    </sheetNames>
    <sheetDataSet>
      <sheetData sheetId="0">
        <row r="12">
          <cell r="D12" t="str">
            <v>SPD</v>
          </cell>
        </row>
      </sheetData>
      <sheetData sheetId="1"/>
      <sheetData sheetId="2"/>
      <sheetData sheetId="3"/>
      <sheetData sheetId="4">
        <row r="6">
          <cell r="C6" t="str">
            <v>£m 2012/13</v>
          </cell>
          <cell r="G6">
            <v>338.3</v>
          </cell>
          <cell r="H6">
            <v>346</v>
          </cell>
          <cell r="I6">
            <v>346</v>
          </cell>
          <cell r="J6">
            <v>346</v>
          </cell>
          <cell r="K6">
            <v>346</v>
          </cell>
          <cell r="L6">
            <v>346</v>
          </cell>
          <cell r="M6">
            <v>346</v>
          </cell>
          <cell r="N6">
            <v>346</v>
          </cell>
        </row>
        <row r="7">
          <cell r="G7">
            <v>0</v>
          </cell>
          <cell r="H7">
            <v>0</v>
          </cell>
          <cell r="I7">
            <v>0</v>
          </cell>
          <cell r="J7">
            <v>0</v>
          </cell>
          <cell r="K7">
            <v>0</v>
          </cell>
          <cell r="L7">
            <v>0</v>
          </cell>
          <cell r="M7">
            <v>0</v>
          </cell>
          <cell r="N7">
            <v>0</v>
          </cell>
        </row>
        <row r="10">
          <cell r="G10">
            <v>1</v>
          </cell>
          <cell r="H10">
            <v>1</v>
          </cell>
          <cell r="I10">
            <v>1</v>
          </cell>
          <cell r="J10">
            <v>1</v>
          </cell>
          <cell r="K10">
            <v>1</v>
          </cell>
          <cell r="L10">
            <v>1</v>
          </cell>
          <cell r="M10">
            <v>1</v>
          </cell>
          <cell r="N10">
            <v>1</v>
          </cell>
        </row>
        <row r="11">
          <cell r="G11">
            <v>39.299999999999997</v>
          </cell>
          <cell r="H11">
            <v>39.299999999999997</v>
          </cell>
          <cell r="I11">
            <v>39.299999999999997</v>
          </cell>
          <cell r="J11">
            <v>39.299999999999997</v>
          </cell>
          <cell r="K11">
            <v>39.299999999999997</v>
          </cell>
          <cell r="L11">
            <v>39.299999999999997</v>
          </cell>
          <cell r="M11">
            <v>39.299999999999997</v>
          </cell>
          <cell r="N11">
            <v>39.299999999999997</v>
          </cell>
        </row>
        <row r="12">
          <cell r="G12">
            <v>21.6</v>
          </cell>
          <cell r="H12">
            <v>22.1</v>
          </cell>
          <cell r="I12">
            <v>22.4</v>
          </cell>
          <cell r="J12">
            <v>22.1</v>
          </cell>
          <cell r="K12">
            <v>21.8</v>
          </cell>
          <cell r="L12">
            <v>22.1</v>
          </cell>
          <cell r="M12">
            <v>21.8</v>
          </cell>
          <cell r="N12">
            <v>21.5</v>
          </cell>
        </row>
        <row r="13">
          <cell r="G13">
            <v>0.4</v>
          </cell>
          <cell r="H13">
            <v>0.4</v>
          </cell>
          <cell r="I13">
            <v>0.4</v>
          </cell>
          <cell r="J13">
            <v>0.4</v>
          </cell>
          <cell r="K13">
            <v>0.4</v>
          </cell>
          <cell r="L13">
            <v>0.4</v>
          </cell>
          <cell r="M13">
            <v>0</v>
          </cell>
          <cell r="N13">
            <v>0</v>
          </cell>
        </row>
        <row r="14">
          <cell r="G14">
            <v>1.5</v>
          </cell>
          <cell r="H14">
            <v>1</v>
          </cell>
          <cell r="I14">
            <v>0.8</v>
          </cell>
          <cell r="J14">
            <v>0.5</v>
          </cell>
          <cell r="K14">
            <v>0.3</v>
          </cell>
          <cell r="L14">
            <v>0</v>
          </cell>
          <cell r="M14">
            <v>0</v>
          </cell>
          <cell r="N14">
            <v>0</v>
          </cell>
        </row>
        <row r="15">
          <cell r="G15">
            <v>0</v>
          </cell>
          <cell r="H15">
            <v>0</v>
          </cell>
          <cell r="I15">
            <v>0</v>
          </cell>
          <cell r="J15">
            <v>0</v>
          </cell>
          <cell r="K15">
            <v>0</v>
          </cell>
          <cell r="L15">
            <v>0</v>
          </cell>
          <cell r="M15">
            <v>0</v>
          </cell>
          <cell r="N15">
            <v>0</v>
          </cell>
        </row>
        <row r="16">
          <cell r="G16">
            <v>0</v>
          </cell>
          <cell r="H16">
            <v>0</v>
          </cell>
          <cell r="I16">
            <v>0</v>
          </cell>
          <cell r="J16">
            <v>0</v>
          </cell>
          <cell r="K16">
            <v>0</v>
          </cell>
          <cell r="L16">
            <v>0</v>
          </cell>
          <cell r="M16">
            <v>0</v>
          </cell>
          <cell r="N16">
            <v>0</v>
          </cell>
        </row>
        <row r="19">
          <cell r="G19">
            <v>0.9</v>
          </cell>
          <cell r="H19">
            <v>0.9</v>
          </cell>
          <cell r="I19">
            <v>0.9</v>
          </cell>
          <cell r="J19">
            <v>0.9</v>
          </cell>
          <cell r="K19">
            <v>0.9</v>
          </cell>
          <cell r="L19">
            <v>0.9</v>
          </cell>
          <cell r="M19">
            <v>0.9</v>
          </cell>
          <cell r="N19">
            <v>0.9</v>
          </cell>
        </row>
        <row r="20">
          <cell r="G20">
            <v>1.33</v>
          </cell>
          <cell r="H20">
            <v>1.33</v>
          </cell>
          <cell r="I20">
            <v>1.33</v>
          </cell>
          <cell r="J20">
            <v>1.33</v>
          </cell>
          <cell r="K20">
            <v>1.33</v>
          </cell>
          <cell r="L20">
            <v>1.33</v>
          </cell>
          <cell r="M20">
            <v>1.33</v>
          </cell>
          <cell r="N20">
            <v>1.33</v>
          </cell>
        </row>
        <row r="21">
          <cell r="G21">
            <v>1.6</v>
          </cell>
          <cell r="H21">
            <v>1.6</v>
          </cell>
          <cell r="I21">
            <v>1.6</v>
          </cell>
          <cell r="J21">
            <v>1.6</v>
          </cell>
          <cell r="K21">
            <v>1.6</v>
          </cell>
          <cell r="L21">
            <v>1.6</v>
          </cell>
          <cell r="M21">
            <v>1.6</v>
          </cell>
          <cell r="N21">
            <v>1.6</v>
          </cell>
        </row>
        <row r="22">
          <cell r="G22">
            <v>2.2200000000000002</v>
          </cell>
          <cell r="H22">
            <v>2.2200000000000002</v>
          </cell>
          <cell r="I22">
            <v>2.2200000000000002</v>
          </cell>
          <cell r="J22">
            <v>2.2200000000000002</v>
          </cell>
          <cell r="K22">
            <v>2.2200000000000002</v>
          </cell>
          <cell r="L22">
            <v>2.2200000000000002</v>
          </cell>
          <cell r="M22">
            <v>2.2200000000000002</v>
          </cell>
          <cell r="N22">
            <v>2.2200000000000002</v>
          </cell>
        </row>
        <row r="23">
          <cell r="G23">
            <v>0.6</v>
          </cell>
          <cell r="H23">
            <v>0.6</v>
          </cell>
          <cell r="I23">
            <v>0.6</v>
          </cell>
          <cell r="J23">
            <v>0.6</v>
          </cell>
          <cell r="K23">
            <v>0.6</v>
          </cell>
          <cell r="L23">
            <v>0.6</v>
          </cell>
          <cell r="M23">
            <v>0.6</v>
          </cell>
          <cell r="N23">
            <v>0.6</v>
          </cell>
        </row>
        <row r="24">
          <cell r="G24">
            <v>0.89</v>
          </cell>
          <cell r="H24">
            <v>0.89</v>
          </cell>
          <cell r="I24">
            <v>0.89</v>
          </cell>
          <cell r="J24">
            <v>0.89</v>
          </cell>
          <cell r="K24">
            <v>0.89</v>
          </cell>
          <cell r="L24">
            <v>0.89</v>
          </cell>
          <cell r="M24">
            <v>0.89</v>
          </cell>
          <cell r="N24">
            <v>0.89</v>
          </cell>
        </row>
        <row r="25">
          <cell r="G25">
            <v>0.9</v>
          </cell>
          <cell r="H25">
            <v>0.9</v>
          </cell>
          <cell r="I25">
            <v>0.9</v>
          </cell>
          <cell r="J25">
            <v>0.9</v>
          </cell>
          <cell r="K25">
            <v>0.9</v>
          </cell>
          <cell r="L25">
            <v>0.9</v>
          </cell>
          <cell r="M25">
            <v>0.9</v>
          </cell>
          <cell r="N25">
            <v>0.9</v>
          </cell>
        </row>
        <row r="26">
          <cell r="G26">
            <v>0.67</v>
          </cell>
          <cell r="H26">
            <v>0.67</v>
          </cell>
          <cell r="I26">
            <v>0.67</v>
          </cell>
          <cell r="J26">
            <v>0.67</v>
          </cell>
          <cell r="K26">
            <v>0.67</v>
          </cell>
          <cell r="L26">
            <v>0.67</v>
          </cell>
          <cell r="M26">
            <v>0.67</v>
          </cell>
          <cell r="N26">
            <v>0.67</v>
          </cell>
        </row>
        <row r="27">
          <cell r="G27">
            <v>0.06</v>
          </cell>
          <cell r="H27">
            <v>0.06</v>
          </cell>
          <cell r="I27">
            <v>0.06</v>
          </cell>
          <cell r="J27">
            <v>0.06</v>
          </cell>
          <cell r="K27">
            <v>0.06</v>
          </cell>
          <cell r="L27">
            <v>0.06</v>
          </cell>
          <cell r="M27">
            <v>0.06</v>
          </cell>
          <cell r="N27">
            <v>0.06</v>
          </cell>
        </row>
        <row r="28">
          <cell r="G28">
            <v>1.6</v>
          </cell>
          <cell r="H28">
            <v>1.6</v>
          </cell>
          <cell r="I28">
            <v>1.6</v>
          </cell>
          <cell r="J28">
            <v>1.6</v>
          </cell>
          <cell r="K28">
            <v>1.6</v>
          </cell>
          <cell r="L28">
            <v>1.6</v>
          </cell>
          <cell r="M28">
            <v>1.6</v>
          </cell>
          <cell r="N28">
            <v>1.6</v>
          </cell>
        </row>
        <row r="29">
          <cell r="G29">
            <v>1.1100000000000001</v>
          </cell>
          <cell r="H29">
            <v>1.1100000000000001</v>
          </cell>
          <cell r="I29">
            <v>1.1100000000000001</v>
          </cell>
          <cell r="J29">
            <v>1.1100000000000001</v>
          </cell>
          <cell r="K29">
            <v>1.1100000000000001</v>
          </cell>
          <cell r="L29">
            <v>1.1100000000000001</v>
          </cell>
          <cell r="M29">
            <v>1.1100000000000001</v>
          </cell>
          <cell r="N29">
            <v>1.1100000000000001</v>
          </cell>
        </row>
        <row r="30">
          <cell r="G30">
            <v>0.6</v>
          </cell>
          <cell r="H30">
            <v>0.6</v>
          </cell>
          <cell r="I30">
            <v>0.6</v>
          </cell>
          <cell r="J30">
            <v>0.6</v>
          </cell>
          <cell r="K30">
            <v>0.6</v>
          </cell>
          <cell r="L30">
            <v>0.6</v>
          </cell>
          <cell r="M30">
            <v>0.6</v>
          </cell>
          <cell r="N30">
            <v>0.6</v>
          </cell>
        </row>
        <row r="31">
          <cell r="G31">
            <v>0.44</v>
          </cell>
          <cell r="H31">
            <v>0.44</v>
          </cell>
          <cell r="I31">
            <v>0.44</v>
          </cell>
          <cell r="J31">
            <v>0.44</v>
          </cell>
          <cell r="K31">
            <v>0.44</v>
          </cell>
          <cell r="L31">
            <v>0.44</v>
          </cell>
          <cell r="M31">
            <v>0.44</v>
          </cell>
          <cell r="N31">
            <v>0.44</v>
          </cell>
        </row>
        <row r="32">
          <cell r="G32">
            <v>1.6</v>
          </cell>
          <cell r="H32">
            <v>1.6</v>
          </cell>
          <cell r="I32">
            <v>1.6</v>
          </cell>
          <cell r="J32">
            <v>1.6</v>
          </cell>
          <cell r="K32">
            <v>1.6</v>
          </cell>
          <cell r="L32">
            <v>1.6</v>
          </cell>
          <cell r="M32">
            <v>1.6</v>
          </cell>
          <cell r="N32">
            <v>1.6</v>
          </cell>
        </row>
        <row r="33">
          <cell r="G33">
            <v>0.24</v>
          </cell>
          <cell r="H33">
            <v>0.24</v>
          </cell>
          <cell r="I33">
            <v>0.24</v>
          </cell>
          <cell r="J33">
            <v>0.24</v>
          </cell>
          <cell r="K33">
            <v>0.24</v>
          </cell>
          <cell r="L33">
            <v>0.24</v>
          </cell>
          <cell r="M33">
            <v>0.24</v>
          </cell>
          <cell r="N33">
            <v>0.24</v>
          </cell>
        </row>
        <row r="36">
          <cell r="G36">
            <v>50.4</v>
          </cell>
          <cell r="H36">
            <v>50.1</v>
          </cell>
          <cell r="I36">
            <v>49.9</v>
          </cell>
          <cell r="J36">
            <v>49.6</v>
          </cell>
          <cell r="K36">
            <v>49.4</v>
          </cell>
          <cell r="L36">
            <v>49.1</v>
          </cell>
          <cell r="M36">
            <v>48.9</v>
          </cell>
          <cell r="N36">
            <v>48.6</v>
          </cell>
        </row>
        <row r="37">
          <cell r="G37">
            <v>0.31</v>
          </cell>
          <cell r="H37">
            <v>0.31</v>
          </cell>
          <cell r="I37">
            <v>0.31</v>
          </cell>
          <cell r="J37">
            <v>0.31</v>
          </cell>
          <cell r="K37">
            <v>0.31</v>
          </cell>
          <cell r="L37">
            <v>0.31</v>
          </cell>
          <cell r="M37">
            <v>0.31</v>
          </cell>
          <cell r="N37">
            <v>0.31</v>
          </cell>
        </row>
        <row r="38">
          <cell r="G38">
            <v>13.6</v>
          </cell>
          <cell r="H38">
            <v>13.6</v>
          </cell>
          <cell r="I38">
            <v>13.6</v>
          </cell>
          <cell r="J38">
            <v>13.6</v>
          </cell>
          <cell r="K38">
            <v>13.6</v>
          </cell>
          <cell r="L38">
            <v>13.6</v>
          </cell>
          <cell r="M38">
            <v>13.6</v>
          </cell>
          <cell r="N38">
            <v>13.6</v>
          </cell>
        </row>
        <row r="39">
          <cell r="G39">
            <v>42.2</v>
          </cell>
          <cell r="H39">
            <v>41.3</v>
          </cell>
          <cell r="I39">
            <v>40.5</v>
          </cell>
          <cell r="J39">
            <v>39.700000000000003</v>
          </cell>
          <cell r="K39">
            <v>38.9</v>
          </cell>
          <cell r="L39">
            <v>38.1</v>
          </cell>
          <cell r="M39">
            <v>37.4</v>
          </cell>
          <cell r="N39">
            <v>36.700000000000003</v>
          </cell>
        </row>
        <row r="40">
          <cell r="G40">
            <v>0.75</v>
          </cell>
          <cell r="H40">
            <v>0.75</v>
          </cell>
          <cell r="I40">
            <v>0.75</v>
          </cell>
          <cell r="J40">
            <v>0.75</v>
          </cell>
          <cell r="K40">
            <v>0.75</v>
          </cell>
          <cell r="L40">
            <v>0.75</v>
          </cell>
          <cell r="M40">
            <v>0.75</v>
          </cell>
          <cell r="N40">
            <v>0.75</v>
          </cell>
        </row>
        <row r="41">
          <cell r="G41">
            <v>22.4</v>
          </cell>
          <cell r="H41">
            <v>22.4</v>
          </cell>
          <cell r="I41">
            <v>22.4</v>
          </cell>
          <cell r="J41">
            <v>22.4</v>
          </cell>
          <cell r="K41">
            <v>22.4</v>
          </cell>
          <cell r="L41">
            <v>22.4</v>
          </cell>
          <cell r="M41">
            <v>22.4</v>
          </cell>
          <cell r="N41">
            <v>22.4</v>
          </cell>
        </row>
        <row r="42">
          <cell r="G42">
            <v>11.2</v>
          </cell>
          <cell r="H42">
            <v>11.2</v>
          </cell>
          <cell r="I42">
            <v>11.2</v>
          </cell>
          <cell r="J42">
            <v>11.2</v>
          </cell>
          <cell r="K42">
            <v>11.2</v>
          </cell>
          <cell r="L42">
            <v>11.2</v>
          </cell>
          <cell r="M42">
            <v>11.2</v>
          </cell>
          <cell r="N42">
            <v>11.2</v>
          </cell>
        </row>
        <row r="43">
          <cell r="G43">
            <v>8.4</v>
          </cell>
          <cell r="H43">
            <v>8.4</v>
          </cell>
          <cell r="I43">
            <v>8.4</v>
          </cell>
          <cell r="J43">
            <v>8.4</v>
          </cell>
          <cell r="K43">
            <v>8.4</v>
          </cell>
          <cell r="L43">
            <v>8.4</v>
          </cell>
          <cell r="M43">
            <v>8.4</v>
          </cell>
          <cell r="N43">
            <v>8.4</v>
          </cell>
        </row>
        <row r="46">
          <cell r="G46">
            <v>0.3</v>
          </cell>
          <cell r="H46">
            <v>0.3</v>
          </cell>
          <cell r="I46">
            <v>0.3</v>
          </cell>
          <cell r="J46">
            <v>0.3</v>
          </cell>
          <cell r="K46">
            <v>0.3</v>
          </cell>
          <cell r="L46">
            <v>0.3</v>
          </cell>
          <cell r="M46">
            <v>0.3</v>
          </cell>
          <cell r="N46">
            <v>0.3</v>
          </cell>
        </row>
        <row r="47">
          <cell r="G47">
            <v>0.17</v>
          </cell>
          <cell r="H47">
            <v>0.17</v>
          </cell>
          <cell r="I47">
            <v>0.17</v>
          </cell>
          <cell r="J47">
            <v>0.17</v>
          </cell>
          <cell r="K47">
            <v>0</v>
          </cell>
          <cell r="L47">
            <v>0</v>
          </cell>
          <cell r="M47">
            <v>0</v>
          </cell>
          <cell r="N47">
            <v>0</v>
          </cell>
        </row>
        <row r="48">
          <cell r="G48">
            <v>0.3</v>
          </cell>
          <cell r="H48">
            <v>0.3</v>
          </cell>
          <cell r="I48">
            <v>0.3</v>
          </cell>
          <cell r="J48">
            <v>0.3</v>
          </cell>
          <cell r="K48">
            <v>0.3</v>
          </cell>
          <cell r="L48">
            <v>0.3</v>
          </cell>
          <cell r="M48">
            <v>0.3</v>
          </cell>
          <cell r="N48">
            <v>0.3</v>
          </cell>
        </row>
        <row r="49">
          <cell r="G49">
            <v>0.19</v>
          </cell>
          <cell r="H49">
            <v>0.19</v>
          </cell>
          <cell r="I49">
            <v>0.19</v>
          </cell>
          <cell r="J49">
            <v>0.19</v>
          </cell>
          <cell r="K49">
            <v>0</v>
          </cell>
          <cell r="L49">
            <v>0</v>
          </cell>
          <cell r="M49">
            <v>0</v>
          </cell>
          <cell r="N49">
            <v>0</v>
          </cell>
        </row>
        <row r="50">
          <cell r="G50">
            <v>0.3</v>
          </cell>
          <cell r="H50">
            <v>0.3</v>
          </cell>
          <cell r="I50">
            <v>0.3</v>
          </cell>
          <cell r="J50">
            <v>0.3</v>
          </cell>
          <cell r="K50">
            <v>0.3</v>
          </cell>
          <cell r="L50">
            <v>0.3</v>
          </cell>
          <cell r="M50">
            <v>0.3</v>
          </cell>
          <cell r="N50">
            <v>0.3</v>
          </cell>
        </row>
        <row r="51">
          <cell r="G51">
            <v>0.03</v>
          </cell>
          <cell r="H51">
            <v>0.03</v>
          </cell>
          <cell r="I51">
            <v>0.03</v>
          </cell>
          <cell r="J51">
            <v>0.03</v>
          </cell>
          <cell r="K51">
            <v>0</v>
          </cell>
          <cell r="L51">
            <v>0</v>
          </cell>
          <cell r="M51">
            <v>0</v>
          </cell>
          <cell r="N51">
            <v>0</v>
          </cell>
        </row>
        <row r="52">
          <cell r="G52">
            <v>0.3</v>
          </cell>
          <cell r="H52">
            <v>0.3</v>
          </cell>
          <cell r="I52">
            <v>0.3</v>
          </cell>
          <cell r="J52">
            <v>0.3</v>
          </cell>
          <cell r="K52">
            <v>0.3</v>
          </cell>
          <cell r="L52">
            <v>0.3</v>
          </cell>
          <cell r="M52">
            <v>0.3</v>
          </cell>
          <cell r="N52">
            <v>0.3</v>
          </cell>
        </row>
        <row r="53">
          <cell r="G53">
            <v>0.02</v>
          </cell>
          <cell r="H53">
            <v>0.02</v>
          </cell>
          <cell r="I53">
            <v>0.02</v>
          </cell>
          <cell r="J53">
            <v>0.02</v>
          </cell>
          <cell r="K53">
            <v>0</v>
          </cell>
          <cell r="L53">
            <v>0</v>
          </cell>
          <cell r="M53">
            <v>0</v>
          </cell>
          <cell r="N53">
            <v>0</v>
          </cell>
        </row>
        <row r="56">
          <cell r="F56">
            <v>5.0000000000000001E-3</v>
          </cell>
        </row>
        <row r="59">
          <cell r="F59">
            <v>43.4</v>
          </cell>
        </row>
        <row r="62">
          <cell r="F62">
            <v>0.42</v>
          </cell>
        </row>
        <row r="65">
          <cell r="F65">
            <v>0.53500000000000003</v>
          </cell>
        </row>
      </sheetData>
      <sheetData sheetId="5"/>
      <sheetData sheetId="6">
        <row r="8">
          <cell r="D8">
            <v>244.67500000000001</v>
          </cell>
          <cell r="E8">
            <v>251.733</v>
          </cell>
          <cell r="F8">
            <v>256.66699999999997</v>
          </cell>
          <cell r="G8">
            <v>259.43299999999999</v>
          </cell>
          <cell r="H8">
            <v>264.99200000000002</v>
          </cell>
          <cell r="I8">
            <v>274.90800000000002</v>
          </cell>
        </row>
        <row r="9">
          <cell r="D9">
            <v>1</v>
          </cell>
          <cell r="E9">
            <v>1.0288464289363441</v>
          </cell>
          <cell r="F9">
            <v>1.0490119546336976</v>
          </cell>
          <cell r="G9">
            <v>1.0603167467048125</v>
          </cell>
          <cell r="H9">
            <v>1.0830366813119445</v>
          </cell>
          <cell r="I9">
            <v>1.1235639113109226</v>
          </cell>
          <cell r="J9">
            <v>0</v>
          </cell>
          <cell r="K9">
            <v>0</v>
          </cell>
          <cell r="L9">
            <v>0</v>
          </cell>
          <cell r="M9">
            <v>0</v>
          </cell>
          <cell r="N9">
            <v>0</v>
          </cell>
        </row>
        <row r="32">
          <cell r="G32">
            <v>1.0820000000000001</v>
          </cell>
          <cell r="H32">
            <v>1.087</v>
          </cell>
          <cell r="I32">
            <v>1.121</v>
          </cell>
          <cell r="J32">
            <v>1.159</v>
          </cell>
          <cell r="K32">
            <v>1.1240000000000001</v>
          </cell>
          <cell r="L32">
            <v>0</v>
          </cell>
          <cell r="M32">
            <v>0</v>
          </cell>
          <cell r="N32">
            <v>0</v>
          </cell>
        </row>
        <row r="35">
          <cell r="G35">
            <v>0.2</v>
          </cell>
          <cell r="H35">
            <v>0.2</v>
          </cell>
          <cell r="I35">
            <v>0.19</v>
          </cell>
        </row>
        <row r="39">
          <cell r="F39">
            <v>1.0468999999999999</v>
          </cell>
          <cell r="G39">
            <v>1.0375749999999999</v>
          </cell>
          <cell r="H39">
            <v>1.0367299999999999</v>
          </cell>
          <cell r="I39">
            <v>1.0358849999999999</v>
          </cell>
          <cell r="J39">
            <v>1</v>
          </cell>
          <cell r="K39">
            <v>1</v>
          </cell>
          <cell r="L39">
            <v>1</v>
          </cell>
          <cell r="M39">
            <v>1</v>
          </cell>
          <cell r="N39">
            <v>1</v>
          </cell>
        </row>
        <row r="44">
          <cell r="G44">
            <v>0</v>
          </cell>
          <cell r="H44">
            <v>0.3</v>
          </cell>
          <cell r="I44">
            <v>-4.0999999999999996</v>
          </cell>
          <cell r="J44">
            <v>-4</v>
          </cell>
        </row>
        <row r="47">
          <cell r="F47">
            <v>355.87</v>
          </cell>
          <cell r="G47">
            <v>391.37700000000001</v>
          </cell>
          <cell r="H47">
            <v>386.80900000000003</v>
          </cell>
          <cell r="I47">
            <v>377.35319400333327</v>
          </cell>
        </row>
        <row r="48">
          <cell r="F48">
            <v>352.23973879931225</v>
          </cell>
        </row>
        <row r="50">
          <cell r="D50">
            <v>0.5</v>
          </cell>
          <cell r="E50">
            <v>0.5</v>
          </cell>
          <cell r="F50">
            <v>0.5</v>
          </cell>
          <cell r="G50">
            <v>0.5</v>
          </cell>
          <cell r="H50">
            <v>0.33561643835616445</v>
          </cell>
          <cell r="I50">
            <v>0.35273972602739728</v>
          </cell>
        </row>
        <row r="53">
          <cell r="G53">
            <v>1.22</v>
          </cell>
          <cell r="H53">
            <v>1.03</v>
          </cell>
          <cell r="I53">
            <v>1.333</v>
          </cell>
          <cell r="J53">
            <v>0</v>
          </cell>
          <cell r="K53">
            <v>0</v>
          </cell>
          <cell r="L53">
            <v>0</v>
          </cell>
          <cell r="M53">
            <v>0</v>
          </cell>
          <cell r="N53">
            <v>0</v>
          </cell>
        </row>
        <row r="54">
          <cell r="G54">
            <v>42.281999999999996</v>
          </cell>
          <cell r="H54">
            <v>43.73</v>
          </cell>
          <cell r="I54">
            <v>34.823</v>
          </cell>
          <cell r="J54">
            <v>0</v>
          </cell>
          <cell r="K54">
            <v>0</v>
          </cell>
          <cell r="L54">
            <v>0</v>
          </cell>
          <cell r="M54">
            <v>0</v>
          </cell>
          <cell r="N54">
            <v>0</v>
          </cell>
        </row>
        <row r="55">
          <cell r="G55">
            <v>23.559000000000001</v>
          </cell>
          <cell r="H55">
            <v>24.091000000000001</v>
          </cell>
          <cell r="I55">
            <v>25.164999999999999</v>
          </cell>
          <cell r="J55">
            <v>0</v>
          </cell>
          <cell r="K55">
            <v>0</v>
          </cell>
          <cell r="L55">
            <v>0</v>
          </cell>
          <cell r="M55">
            <v>0</v>
          </cell>
          <cell r="N55">
            <v>0</v>
          </cell>
        </row>
        <row r="56">
          <cell r="G56">
            <v>0.57099999999999995</v>
          </cell>
          <cell r="H56">
            <v>1.1859999999999999</v>
          </cell>
          <cell r="I56">
            <v>1.226</v>
          </cell>
          <cell r="J56">
            <v>0</v>
          </cell>
          <cell r="K56">
            <v>0</v>
          </cell>
          <cell r="L56">
            <v>0</v>
          </cell>
          <cell r="M56">
            <v>0</v>
          </cell>
          <cell r="N56">
            <v>0</v>
          </cell>
        </row>
        <row r="57">
          <cell r="G57">
            <v>0.92900000000000005</v>
          </cell>
          <cell r="H57">
            <v>1.306</v>
          </cell>
          <cell r="I57">
            <v>1.0589999999999999</v>
          </cell>
          <cell r="J57">
            <v>0</v>
          </cell>
          <cell r="K57">
            <v>0</v>
          </cell>
          <cell r="L57">
            <v>0</v>
          </cell>
          <cell r="M57">
            <v>0</v>
          </cell>
          <cell r="N57">
            <v>0</v>
          </cell>
        </row>
        <row r="59">
          <cell r="G59">
            <v>0</v>
          </cell>
          <cell r="H59">
            <v>0</v>
          </cell>
          <cell r="I59">
            <v>0</v>
          </cell>
          <cell r="J59">
            <v>0</v>
          </cell>
          <cell r="K59">
            <v>0</v>
          </cell>
          <cell r="L59">
            <v>0</v>
          </cell>
          <cell r="M59">
            <v>0</v>
          </cell>
          <cell r="N59">
            <v>0</v>
          </cell>
        </row>
        <row r="60">
          <cell r="G60">
            <v>0</v>
          </cell>
          <cell r="H60">
            <v>0</v>
          </cell>
          <cell r="I60">
            <v>0</v>
          </cell>
          <cell r="J60">
            <v>0</v>
          </cell>
          <cell r="K60">
            <v>0</v>
          </cell>
          <cell r="L60">
            <v>0</v>
          </cell>
          <cell r="M60">
            <v>0</v>
          </cell>
          <cell r="N60">
            <v>0</v>
          </cell>
        </row>
        <row r="65">
          <cell r="E65">
            <v>-2.5999999999999999E-2</v>
          </cell>
          <cell r="F65">
            <v>-0.184</v>
          </cell>
        </row>
        <row r="66">
          <cell r="G66">
            <v>0.89</v>
          </cell>
          <cell r="H66">
            <v>0.72799999999999998</v>
          </cell>
        </row>
        <row r="67">
          <cell r="G67">
            <v>8.7899999999999991</v>
          </cell>
          <cell r="H67">
            <v>8.7409999999999997</v>
          </cell>
          <cell r="I67">
            <v>8.8219999999999992</v>
          </cell>
          <cell r="J67">
            <v>0</v>
          </cell>
          <cell r="K67">
            <v>0</v>
          </cell>
          <cell r="L67">
            <v>0</v>
          </cell>
          <cell r="M67">
            <v>0</v>
          </cell>
          <cell r="N67">
            <v>0</v>
          </cell>
        </row>
        <row r="68">
          <cell r="G68">
            <v>8.1999999999999993</v>
          </cell>
          <cell r="H68">
            <v>8.1999999999999993</v>
          </cell>
          <cell r="I68">
            <v>8.1999999999999993</v>
          </cell>
          <cell r="J68">
            <v>8.1999999999999993</v>
          </cell>
          <cell r="K68">
            <v>8.1999999999999993</v>
          </cell>
          <cell r="L68">
            <v>8.1999999999999993</v>
          </cell>
          <cell r="M68">
            <v>8.1999999999999993</v>
          </cell>
          <cell r="N68">
            <v>8.1999999999999993</v>
          </cell>
        </row>
        <row r="69">
          <cell r="G69">
            <v>5.0000000000000001E-3</v>
          </cell>
          <cell r="H69">
            <v>6.0000000000000001E-3</v>
          </cell>
          <cell r="I69">
            <v>0.01</v>
          </cell>
          <cell r="J69">
            <v>0</v>
          </cell>
          <cell r="K69">
            <v>0</v>
          </cell>
          <cell r="L69">
            <v>0</v>
          </cell>
          <cell r="M69">
            <v>0</v>
          </cell>
          <cell r="N69">
            <v>0</v>
          </cell>
        </row>
        <row r="70">
          <cell r="G70">
            <v>8.36</v>
          </cell>
          <cell r="H70">
            <v>8.4309999999999992</v>
          </cell>
          <cell r="I70">
            <v>8.5210000000000008</v>
          </cell>
          <cell r="J70">
            <v>0</v>
          </cell>
          <cell r="K70">
            <v>0</v>
          </cell>
          <cell r="L70">
            <v>0</v>
          </cell>
          <cell r="M70">
            <v>0</v>
          </cell>
          <cell r="N70">
            <v>0</v>
          </cell>
        </row>
        <row r="71">
          <cell r="G71">
            <v>8.1999999999999993</v>
          </cell>
          <cell r="H71">
            <v>8.1999999999999993</v>
          </cell>
          <cell r="I71">
            <v>8.1999999999999993</v>
          </cell>
          <cell r="J71">
            <v>8.1999999999999993</v>
          </cell>
          <cell r="K71">
            <v>8.1999999999999993</v>
          </cell>
          <cell r="L71">
            <v>8.1999999999999993</v>
          </cell>
          <cell r="M71">
            <v>8.1999999999999993</v>
          </cell>
          <cell r="N71">
            <v>8.1999999999999993</v>
          </cell>
        </row>
        <row r="72">
          <cell r="G72">
            <v>8.84</v>
          </cell>
          <cell r="H72">
            <v>9.0449999999999999</v>
          </cell>
          <cell r="I72">
            <v>8.9480000000000004</v>
          </cell>
          <cell r="J72">
            <v>0</v>
          </cell>
          <cell r="K72">
            <v>0</v>
          </cell>
          <cell r="L72">
            <v>0</v>
          </cell>
          <cell r="M72">
            <v>0</v>
          </cell>
          <cell r="N72">
            <v>0</v>
          </cell>
        </row>
        <row r="73">
          <cell r="G73">
            <v>8.1999999999999993</v>
          </cell>
          <cell r="H73">
            <v>8.1999999999999993</v>
          </cell>
          <cell r="I73">
            <v>8.1999999999999993</v>
          </cell>
          <cell r="J73">
            <v>8.1999999999999993</v>
          </cell>
          <cell r="K73">
            <v>8.1999999999999993</v>
          </cell>
          <cell r="L73">
            <v>8.1999999999999993</v>
          </cell>
          <cell r="M73">
            <v>8.1999999999999993</v>
          </cell>
          <cell r="N73">
            <v>8.1999999999999993</v>
          </cell>
        </row>
        <row r="74">
          <cell r="G74">
            <v>23.314</v>
          </cell>
          <cell r="H74">
            <v>18.925999999999998</v>
          </cell>
          <cell r="I74">
            <v>12.914999999999999</v>
          </cell>
          <cell r="J74">
            <v>0</v>
          </cell>
          <cell r="K74">
            <v>0</v>
          </cell>
          <cell r="L74">
            <v>0</v>
          </cell>
          <cell r="M74">
            <v>0</v>
          </cell>
          <cell r="N74">
            <v>0</v>
          </cell>
        </row>
        <row r="75">
          <cell r="G75">
            <v>4.2290000000000001</v>
          </cell>
          <cell r="H75">
            <v>3.206</v>
          </cell>
          <cell r="I75">
            <v>2.6779999999999999</v>
          </cell>
          <cell r="J75">
            <v>0</v>
          </cell>
          <cell r="K75">
            <v>0</v>
          </cell>
          <cell r="L75">
            <v>0</v>
          </cell>
          <cell r="M75">
            <v>0</v>
          </cell>
          <cell r="N75">
            <v>0</v>
          </cell>
        </row>
        <row r="76">
          <cell r="G76">
            <v>0</v>
          </cell>
          <cell r="H76">
            <v>0</v>
          </cell>
          <cell r="I76">
            <v>0</v>
          </cell>
          <cell r="J76">
            <v>0</v>
          </cell>
          <cell r="K76">
            <v>0</v>
          </cell>
          <cell r="L76">
            <v>0</v>
          </cell>
          <cell r="M76">
            <v>0</v>
          </cell>
          <cell r="N76">
            <v>0</v>
          </cell>
        </row>
        <row r="77">
          <cell r="G77">
            <v>0</v>
          </cell>
          <cell r="H77">
            <v>0</v>
          </cell>
          <cell r="I77">
            <v>0</v>
          </cell>
          <cell r="J77">
            <v>0</v>
          </cell>
          <cell r="K77">
            <v>0</v>
          </cell>
          <cell r="L77">
            <v>0</v>
          </cell>
          <cell r="M77">
            <v>0</v>
          </cell>
          <cell r="N77">
            <v>0</v>
          </cell>
        </row>
        <row r="78">
          <cell r="G78">
            <v>8.33</v>
          </cell>
          <cell r="H78">
            <v>8.33</v>
          </cell>
          <cell r="I78">
            <v>8.33</v>
          </cell>
          <cell r="J78">
            <v>8.33</v>
          </cell>
          <cell r="K78">
            <v>8.33</v>
          </cell>
          <cell r="L78">
            <v>8.33</v>
          </cell>
          <cell r="M78">
            <v>8.33</v>
          </cell>
          <cell r="N78">
            <v>8.33</v>
          </cell>
        </row>
        <row r="81">
          <cell r="E81">
            <v>7.1040000000000001</v>
          </cell>
          <cell r="F81">
            <v>11.268000000000001</v>
          </cell>
        </row>
        <row r="82">
          <cell r="G82">
            <v>46.912999999999997</v>
          </cell>
          <cell r="H82">
            <v>41.781999999999996</v>
          </cell>
          <cell r="I82">
            <v>40.283000000000001</v>
          </cell>
          <cell r="J82">
            <v>0</v>
          </cell>
          <cell r="K82">
            <v>0</v>
          </cell>
          <cell r="L82">
            <v>0</v>
          </cell>
          <cell r="M82">
            <v>0</v>
          </cell>
          <cell r="N82">
            <v>0</v>
          </cell>
        </row>
        <row r="83">
          <cell r="G83">
            <v>3.1040000000000001</v>
          </cell>
          <cell r="H83">
            <v>2.2160000000000002</v>
          </cell>
          <cell r="I83">
            <v>2.056</v>
          </cell>
          <cell r="J83">
            <v>0</v>
          </cell>
          <cell r="K83">
            <v>0</v>
          </cell>
          <cell r="L83">
            <v>0</v>
          </cell>
          <cell r="M83">
            <v>0</v>
          </cell>
          <cell r="N83">
            <v>0</v>
          </cell>
        </row>
        <row r="84">
          <cell r="G84">
            <v>3.51</v>
          </cell>
          <cell r="H84">
            <v>4.5110000000000001</v>
          </cell>
          <cell r="I84">
            <v>1.591</v>
          </cell>
          <cell r="J84">
            <v>0</v>
          </cell>
          <cell r="K84">
            <v>0</v>
          </cell>
          <cell r="L84">
            <v>0</v>
          </cell>
          <cell r="M84">
            <v>0</v>
          </cell>
          <cell r="N84">
            <v>0</v>
          </cell>
        </row>
        <row r="85">
          <cell r="G85">
            <v>0</v>
          </cell>
          <cell r="H85">
            <v>0</v>
          </cell>
          <cell r="I85">
            <v>2E-3</v>
          </cell>
          <cell r="J85">
            <v>0</v>
          </cell>
          <cell r="K85">
            <v>0</v>
          </cell>
          <cell r="L85">
            <v>0</v>
          </cell>
          <cell r="M85">
            <v>0</v>
          </cell>
          <cell r="N85">
            <v>0</v>
          </cell>
        </row>
        <row r="86">
          <cell r="G86">
            <v>0</v>
          </cell>
          <cell r="H86">
            <v>0</v>
          </cell>
          <cell r="I86">
            <v>0</v>
          </cell>
          <cell r="J86">
            <v>0</v>
          </cell>
          <cell r="K86">
            <v>0</v>
          </cell>
          <cell r="L86">
            <v>0</v>
          </cell>
          <cell r="M86">
            <v>0</v>
          </cell>
          <cell r="N86">
            <v>0</v>
          </cell>
        </row>
        <row r="87">
          <cell r="G87">
            <v>3.7</v>
          </cell>
          <cell r="H87">
            <v>3.65</v>
          </cell>
          <cell r="I87">
            <v>3.1040000000000001</v>
          </cell>
          <cell r="J87">
            <v>2.2160000000000002</v>
          </cell>
          <cell r="K87">
            <v>2.056</v>
          </cell>
          <cell r="L87">
            <v>0</v>
          </cell>
          <cell r="M87">
            <v>0</v>
          </cell>
          <cell r="N87">
            <v>0</v>
          </cell>
        </row>
        <row r="88">
          <cell r="G88">
            <v>3.46</v>
          </cell>
          <cell r="H88">
            <v>3.7</v>
          </cell>
          <cell r="I88">
            <v>3.65</v>
          </cell>
          <cell r="J88">
            <v>3.1040000000000001</v>
          </cell>
          <cell r="K88">
            <v>2.2160000000000002</v>
          </cell>
          <cell r="L88">
            <v>2.056</v>
          </cell>
          <cell r="M88">
            <v>0</v>
          </cell>
          <cell r="N88">
            <v>0</v>
          </cell>
        </row>
        <row r="89">
          <cell r="G89">
            <v>2.88</v>
          </cell>
          <cell r="H89">
            <v>3.46</v>
          </cell>
          <cell r="I89">
            <v>3.7</v>
          </cell>
          <cell r="J89">
            <v>3.65</v>
          </cell>
          <cell r="K89">
            <v>3.1040000000000001</v>
          </cell>
          <cell r="L89">
            <v>2.2160000000000002</v>
          </cell>
          <cell r="M89">
            <v>2.056</v>
          </cell>
          <cell r="N89">
            <v>0</v>
          </cell>
        </row>
        <row r="90">
          <cell r="G90">
            <v>30.99</v>
          </cell>
          <cell r="H90">
            <v>26.452999999999999</v>
          </cell>
          <cell r="I90">
            <v>28.283000000000001</v>
          </cell>
          <cell r="J90">
            <v>0</v>
          </cell>
          <cell r="K90">
            <v>0</v>
          </cell>
          <cell r="L90">
            <v>0</v>
          </cell>
          <cell r="M90">
            <v>0</v>
          </cell>
          <cell r="N90">
            <v>0</v>
          </cell>
        </row>
        <row r="91">
          <cell r="G91">
            <v>7.5720000000000001</v>
          </cell>
          <cell r="H91">
            <v>5.694</v>
          </cell>
          <cell r="I91">
            <v>5.8209999999999997</v>
          </cell>
          <cell r="J91">
            <v>0</v>
          </cell>
          <cell r="K91">
            <v>0</v>
          </cell>
          <cell r="L91">
            <v>0</v>
          </cell>
          <cell r="M91">
            <v>0</v>
          </cell>
          <cell r="N91">
            <v>0</v>
          </cell>
        </row>
        <row r="92">
          <cell r="G92">
            <v>0.38300000000000001</v>
          </cell>
          <cell r="H92">
            <v>0.28599999999999998</v>
          </cell>
          <cell r="I92">
            <v>0.08</v>
          </cell>
          <cell r="J92">
            <v>0</v>
          </cell>
          <cell r="K92">
            <v>0</v>
          </cell>
          <cell r="L92">
            <v>0</v>
          </cell>
          <cell r="M92">
            <v>0</v>
          </cell>
          <cell r="N92">
            <v>0</v>
          </cell>
        </row>
        <row r="93">
          <cell r="G93">
            <v>0</v>
          </cell>
          <cell r="H93">
            <v>0</v>
          </cell>
          <cell r="I93">
            <v>1E-3</v>
          </cell>
          <cell r="J93">
            <v>0</v>
          </cell>
          <cell r="K93">
            <v>0</v>
          </cell>
          <cell r="L93">
            <v>0</v>
          </cell>
          <cell r="M93">
            <v>0</v>
          </cell>
          <cell r="N93">
            <v>0</v>
          </cell>
        </row>
        <row r="94">
          <cell r="G94">
            <v>0</v>
          </cell>
          <cell r="H94">
            <v>0</v>
          </cell>
          <cell r="I94">
            <v>0</v>
          </cell>
          <cell r="J94">
            <v>0</v>
          </cell>
          <cell r="K94">
            <v>0</v>
          </cell>
          <cell r="L94">
            <v>0</v>
          </cell>
          <cell r="M94">
            <v>0</v>
          </cell>
          <cell r="N94">
            <v>0</v>
          </cell>
        </row>
        <row r="95">
          <cell r="G95">
            <v>8.89</v>
          </cell>
          <cell r="H95">
            <v>9.0500000000000007</v>
          </cell>
          <cell r="I95">
            <v>7.5720000000000001</v>
          </cell>
          <cell r="J95">
            <v>5.694</v>
          </cell>
          <cell r="K95">
            <v>5.8209999999999997</v>
          </cell>
          <cell r="L95">
            <v>0</v>
          </cell>
          <cell r="M95">
            <v>0</v>
          </cell>
          <cell r="N95">
            <v>0</v>
          </cell>
        </row>
        <row r="96">
          <cell r="G96">
            <v>8.36</v>
          </cell>
          <cell r="H96">
            <v>8.89</v>
          </cell>
          <cell r="I96">
            <v>9.0500000000000007</v>
          </cell>
          <cell r="J96">
            <v>7.5720000000000001</v>
          </cell>
          <cell r="K96">
            <v>5.694</v>
          </cell>
          <cell r="L96">
            <v>5.8209999999999997</v>
          </cell>
          <cell r="M96">
            <v>0</v>
          </cell>
          <cell r="N96">
            <v>0</v>
          </cell>
        </row>
        <row r="97">
          <cell r="G97">
            <v>6.94</v>
          </cell>
          <cell r="H97">
            <v>8.36</v>
          </cell>
          <cell r="I97">
            <v>8.89</v>
          </cell>
          <cell r="J97">
            <v>9.0500000000000007</v>
          </cell>
          <cell r="K97">
            <v>7.5720000000000001</v>
          </cell>
          <cell r="L97">
            <v>5.694</v>
          </cell>
          <cell r="M97">
            <v>5.8209999999999997</v>
          </cell>
          <cell r="N97">
            <v>0</v>
          </cell>
        </row>
        <row r="98">
          <cell r="G98">
            <v>0</v>
          </cell>
          <cell r="H98">
            <v>0</v>
          </cell>
          <cell r="I98">
            <v>1.0999999999999999E-2</v>
          </cell>
          <cell r="J98">
            <v>0</v>
          </cell>
          <cell r="K98">
            <v>0</v>
          </cell>
          <cell r="L98">
            <v>0</v>
          </cell>
          <cell r="M98">
            <v>0</v>
          </cell>
          <cell r="N98">
            <v>0</v>
          </cell>
        </row>
        <row r="99">
          <cell r="G99">
            <v>0</v>
          </cell>
          <cell r="H99">
            <v>0</v>
          </cell>
          <cell r="I99">
            <v>1.0999999999999999E-2</v>
          </cell>
          <cell r="J99">
            <v>0</v>
          </cell>
          <cell r="K99">
            <v>0</v>
          </cell>
          <cell r="L99">
            <v>0</v>
          </cell>
          <cell r="M99">
            <v>0</v>
          </cell>
          <cell r="N99">
            <v>0</v>
          </cell>
        </row>
        <row r="100">
          <cell r="G100">
            <v>1.2</v>
          </cell>
          <cell r="H100">
            <v>1.2</v>
          </cell>
          <cell r="I100">
            <v>1.2</v>
          </cell>
          <cell r="J100">
            <v>1.2</v>
          </cell>
          <cell r="K100">
            <v>1.2</v>
          </cell>
          <cell r="L100">
            <v>1.2</v>
          </cell>
          <cell r="M100">
            <v>1.2</v>
          </cell>
          <cell r="N100">
            <v>1.2</v>
          </cell>
        </row>
        <row r="101">
          <cell r="G101">
            <v>6.8000000000000005E-2</v>
          </cell>
          <cell r="H101">
            <v>2.5000000000000001E-2</v>
          </cell>
          <cell r="I101">
            <v>8.3000000000000004E-2</v>
          </cell>
          <cell r="J101">
            <v>0</v>
          </cell>
          <cell r="K101">
            <v>0</v>
          </cell>
          <cell r="L101">
            <v>0</v>
          </cell>
          <cell r="M101">
            <v>0</v>
          </cell>
          <cell r="N101">
            <v>0</v>
          </cell>
        </row>
        <row r="102">
          <cell r="G102">
            <v>3.3000000000000002E-2</v>
          </cell>
          <cell r="H102">
            <v>1.2E-2</v>
          </cell>
          <cell r="I102">
            <v>4.7E-2</v>
          </cell>
          <cell r="J102">
            <v>0</v>
          </cell>
          <cell r="K102">
            <v>0</v>
          </cell>
          <cell r="L102">
            <v>0</v>
          </cell>
          <cell r="M102">
            <v>0</v>
          </cell>
          <cell r="N102">
            <v>0</v>
          </cell>
        </row>
        <row r="103">
          <cell r="G103">
            <v>0</v>
          </cell>
          <cell r="H103">
            <v>0</v>
          </cell>
          <cell r="I103">
            <v>0</v>
          </cell>
        </row>
        <row r="106">
          <cell r="G106">
            <v>0</v>
          </cell>
          <cell r="H106">
            <v>0</v>
          </cell>
        </row>
        <row r="109">
          <cell r="G109">
            <v>5.25</v>
          </cell>
          <cell r="H109">
            <v>4.9219999999999997</v>
          </cell>
          <cell r="I109">
            <v>3.2080000000000002</v>
          </cell>
          <cell r="J109">
            <v>0</v>
          </cell>
          <cell r="K109">
            <v>0</v>
          </cell>
          <cell r="L109">
            <v>0</v>
          </cell>
          <cell r="M109">
            <v>0</v>
          </cell>
          <cell r="N109">
            <v>0</v>
          </cell>
        </row>
        <row r="110">
          <cell r="G110">
            <v>8.2100000000000009</v>
          </cell>
          <cell r="H110">
            <v>8.2100000000000009</v>
          </cell>
          <cell r="I110">
            <v>8.2100000000000009</v>
          </cell>
          <cell r="J110">
            <v>8.2100000000000009</v>
          </cell>
        </row>
        <row r="111">
          <cell r="G111">
            <v>7.3259999999999996</v>
          </cell>
          <cell r="H111">
            <v>6.31</v>
          </cell>
          <cell r="I111">
            <v>7.0060000000000002</v>
          </cell>
          <cell r="J111">
            <v>0</v>
          </cell>
          <cell r="K111">
            <v>0</v>
          </cell>
          <cell r="L111">
            <v>0</v>
          </cell>
          <cell r="M111">
            <v>0</v>
          </cell>
          <cell r="N111">
            <v>0</v>
          </cell>
        </row>
        <row r="112">
          <cell r="G112">
            <v>11.73</v>
          </cell>
          <cell r="H112">
            <v>11.73</v>
          </cell>
          <cell r="I112">
            <v>11.73</v>
          </cell>
          <cell r="J112">
            <v>11.73</v>
          </cell>
        </row>
        <row r="113">
          <cell r="G113">
            <v>36.23828125</v>
          </cell>
          <cell r="H113">
            <v>50.626206896551722</v>
          </cell>
          <cell r="I113">
            <v>59.231999999999999</v>
          </cell>
          <cell r="J113">
            <v>0</v>
          </cell>
          <cell r="K113">
            <v>0</v>
          </cell>
          <cell r="L113">
            <v>0</v>
          </cell>
          <cell r="M113">
            <v>0</v>
          </cell>
          <cell r="N113">
            <v>0</v>
          </cell>
        </row>
        <row r="114">
          <cell r="G114">
            <v>42.08</v>
          </cell>
          <cell r="H114">
            <v>42.08</v>
          </cell>
          <cell r="I114">
            <v>42.08</v>
          </cell>
          <cell r="J114">
            <v>42.08</v>
          </cell>
        </row>
        <row r="115">
          <cell r="G115">
            <v>43.362348178137651</v>
          </cell>
          <cell r="H115">
            <v>64.468085106382972</v>
          </cell>
          <cell r="I115">
            <v>69.462000000000003</v>
          </cell>
          <cell r="J115">
            <v>0</v>
          </cell>
          <cell r="K115">
            <v>0</v>
          </cell>
          <cell r="L115">
            <v>0</v>
          </cell>
          <cell r="M115">
            <v>0</v>
          </cell>
          <cell r="N115">
            <v>0</v>
          </cell>
        </row>
        <row r="116">
          <cell r="G116">
            <v>52.7</v>
          </cell>
          <cell r="H116">
            <v>52.7</v>
          </cell>
          <cell r="I116">
            <v>52.7</v>
          </cell>
          <cell r="J116">
            <v>52.7</v>
          </cell>
        </row>
        <row r="119">
          <cell r="G119">
            <v>0</v>
          </cell>
          <cell r="H119">
            <v>0.38500000000000001</v>
          </cell>
          <cell r="I119">
            <v>0</v>
          </cell>
          <cell r="K119">
            <v>0</v>
          </cell>
          <cell r="M119">
            <v>0</v>
          </cell>
          <cell r="N119">
            <v>0</v>
          </cell>
        </row>
        <row r="122">
          <cell r="G122">
            <v>1.694</v>
          </cell>
          <cell r="H122">
            <v>1.67</v>
          </cell>
          <cell r="I122">
            <v>1.1040000000000001</v>
          </cell>
          <cell r="J122">
            <v>0</v>
          </cell>
          <cell r="K122">
            <v>0</v>
          </cell>
          <cell r="L122">
            <v>0</v>
          </cell>
          <cell r="M122">
            <v>0</v>
          </cell>
          <cell r="N122">
            <v>0</v>
          </cell>
        </row>
        <row r="123">
          <cell r="G123">
            <v>9.1999999999999998E-2</v>
          </cell>
          <cell r="H123">
            <v>9.6000000000000002E-2</v>
          </cell>
          <cell r="I123">
            <v>8.7999999999999995E-2</v>
          </cell>
          <cell r="J123">
            <v>0</v>
          </cell>
          <cell r="K123">
            <v>0</v>
          </cell>
          <cell r="L123">
            <v>0</v>
          </cell>
          <cell r="M123">
            <v>0</v>
          </cell>
          <cell r="N123">
            <v>0</v>
          </cell>
        </row>
        <row r="124">
          <cell r="G124">
            <v>0</v>
          </cell>
          <cell r="H124">
            <v>0</v>
          </cell>
        </row>
        <row r="125">
          <cell r="G125">
            <v>0.9</v>
          </cell>
          <cell r="H125">
            <v>0.9</v>
          </cell>
          <cell r="I125">
            <v>0.9</v>
          </cell>
          <cell r="J125">
            <v>0.9</v>
          </cell>
          <cell r="K125">
            <v>0.9</v>
          </cell>
          <cell r="L125">
            <v>0.9</v>
          </cell>
          <cell r="M125">
            <v>0.9</v>
          </cell>
          <cell r="N125">
            <v>0.9</v>
          </cell>
        </row>
        <row r="128">
          <cell r="G128">
            <v>1.3859999999999999</v>
          </cell>
          <cell r="H128">
            <v>7.2999999999999995E-2</v>
          </cell>
          <cell r="I128">
            <v>0.21199999999999999</v>
          </cell>
          <cell r="J128">
            <v>0.57399999999999995</v>
          </cell>
        </row>
        <row r="129">
          <cell r="G129">
            <v>0</v>
          </cell>
          <cell r="H129">
            <v>0</v>
          </cell>
          <cell r="I129">
            <v>0</v>
          </cell>
        </row>
        <row r="133">
          <cell r="G133">
            <v>0</v>
          </cell>
          <cell r="H133">
            <v>0</v>
          </cell>
          <cell r="I133">
            <v>0</v>
          </cell>
        </row>
        <row r="136">
          <cell r="G136">
            <v>2.5300000000000001E-3</v>
          </cell>
          <cell r="H136">
            <v>7.92E-3</v>
          </cell>
          <cell r="I136">
            <v>6.0000000000000001E-3</v>
          </cell>
        </row>
        <row r="139">
          <cell r="G139">
            <v>2.121</v>
          </cell>
          <cell r="H139">
            <v>2.298</v>
          </cell>
          <cell r="I139">
            <v>2.0459999999999998</v>
          </cell>
          <cell r="J139">
            <v>0</v>
          </cell>
          <cell r="K139">
            <v>0</v>
          </cell>
          <cell r="L139">
            <v>0</v>
          </cell>
          <cell r="M139">
            <v>0</v>
          </cell>
          <cell r="N139">
            <v>0</v>
          </cell>
        </row>
        <row r="140">
          <cell r="G140">
            <v>81.477000000000004</v>
          </cell>
          <cell r="H140">
            <v>83.847999999999999</v>
          </cell>
          <cell r="I140">
            <v>53.015999999999998</v>
          </cell>
          <cell r="J140">
            <v>0</v>
          </cell>
          <cell r="K140">
            <v>0</v>
          </cell>
          <cell r="L140">
            <v>0</v>
          </cell>
          <cell r="M140">
            <v>0</v>
          </cell>
          <cell r="N140">
            <v>0</v>
          </cell>
        </row>
        <row r="141">
          <cell r="G141">
            <v>0</v>
          </cell>
          <cell r="H141">
            <v>0</v>
          </cell>
          <cell r="I141">
            <v>0</v>
          </cell>
          <cell r="J141">
            <v>0</v>
          </cell>
          <cell r="K141">
            <v>0</v>
          </cell>
          <cell r="L141">
            <v>0</v>
          </cell>
          <cell r="M141">
            <v>0</v>
          </cell>
          <cell r="N141">
            <v>0</v>
          </cell>
        </row>
        <row r="142">
          <cell r="G142">
            <v>0.152</v>
          </cell>
          <cell r="H142">
            <v>0.109</v>
          </cell>
          <cell r="I142">
            <v>4.2000000000000003E-2</v>
          </cell>
          <cell r="J142">
            <v>0</v>
          </cell>
          <cell r="K142">
            <v>0</v>
          </cell>
          <cell r="L142">
            <v>0</v>
          </cell>
          <cell r="M142">
            <v>0</v>
          </cell>
          <cell r="N142">
            <v>0</v>
          </cell>
        </row>
        <row r="143">
          <cell r="G143">
            <v>0</v>
          </cell>
          <cell r="H143">
            <v>0</v>
          </cell>
          <cell r="I143">
            <v>0</v>
          </cell>
          <cell r="J143">
            <v>0</v>
          </cell>
          <cell r="K143">
            <v>0</v>
          </cell>
          <cell r="L143">
            <v>0</v>
          </cell>
          <cell r="M143">
            <v>0</v>
          </cell>
          <cell r="N143">
            <v>0</v>
          </cell>
        </row>
      </sheetData>
      <sheetData sheetId="7"/>
      <sheetData sheetId="8"/>
      <sheetData sheetId="9">
        <row r="15">
          <cell r="C15" t="str">
            <v>£m nominal</v>
          </cell>
          <cell r="G15">
            <v>0</v>
          </cell>
          <cell r="H15">
            <v>0</v>
          </cell>
          <cell r="I15">
            <v>1.0380703168000547</v>
          </cell>
          <cell r="J15">
            <v>2.5803823811864972</v>
          </cell>
          <cell r="K15">
            <v>-8.4869152820624674</v>
          </cell>
          <cell r="L15">
            <v>0</v>
          </cell>
          <cell r="M15">
            <v>0</v>
          </cell>
          <cell r="N15">
            <v>0</v>
          </cell>
        </row>
        <row r="26">
          <cell r="G26">
            <v>0</v>
          </cell>
          <cell r="H26">
            <v>0</v>
          </cell>
          <cell r="I26">
            <v>0.18159945003598987</v>
          </cell>
          <cell r="J26">
            <v>-6.0952822537764406E-2</v>
          </cell>
          <cell r="K26">
            <v>0.21703590816288909</v>
          </cell>
          <cell r="L26">
            <v>0</v>
          </cell>
          <cell r="M26">
            <v>0</v>
          </cell>
          <cell r="N26">
            <v>0</v>
          </cell>
        </row>
        <row r="36">
          <cell r="G36">
            <v>0</v>
          </cell>
          <cell r="H36">
            <v>0</v>
          </cell>
          <cell r="I36">
            <v>0.69548608356912833</v>
          </cell>
          <cell r="J36">
            <v>1.3407913570018108</v>
          </cell>
          <cell r="K36">
            <v>-9.6717310652135833</v>
          </cell>
          <cell r="L36">
            <v>0</v>
          </cell>
          <cell r="M36">
            <v>0</v>
          </cell>
          <cell r="N36">
            <v>0</v>
          </cell>
        </row>
        <row r="46">
          <cell r="G46">
            <v>0</v>
          </cell>
          <cell r="H46">
            <v>0</v>
          </cell>
          <cell r="I46">
            <v>0.74621463881289607</v>
          </cell>
          <cell r="J46">
            <v>0.17915705177493801</v>
          </cell>
          <cell r="K46">
            <v>-2.9343642827416904E-3</v>
          </cell>
          <cell r="L46">
            <v>0</v>
          </cell>
          <cell r="M46">
            <v>0</v>
          </cell>
          <cell r="N46">
            <v>0</v>
          </cell>
        </row>
        <row r="56">
          <cell r="G56">
            <v>0</v>
          </cell>
          <cell r="H56">
            <v>0</v>
          </cell>
          <cell r="I56">
            <v>0.16703135860481916</v>
          </cell>
          <cell r="J56">
            <v>0.86514444983374805</v>
          </cell>
          <cell r="K56">
            <v>0.80475403696901882</v>
          </cell>
          <cell r="L56">
            <v>0</v>
          </cell>
          <cell r="M56">
            <v>0</v>
          </cell>
          <cell r="N56">
            <v>0</v>
          </cell>
        </row>
        <row r="67">
          <cell r="G67">
            <v>0</v>
          </cell>
          <cell r="H67">
            <v>0</v>
          </cell>
          <cell r="I67">
            <v>-0.7522612142227787</v>
          </cell>
          <cell r="J67">
            <v>0.25624234511376492</v>
          </cell>
          <cell r="K67">
            <v>0.16596020230194999</v>
          </cell>
          <cell r="L67">
            <v>0</v>
          </cell>
          <cell r="M67">
            <v>0</v>
          </cell>
          <cell r="N67">
            <v>0</v>
          </cell>
        </row>
        <row r="77">
          <cell r="G77">
            <v>0</v>
          </cell>
          <cell r="H77">
            <v>0</v>
          </cell>
          <cell r="I77">
            <v>0</v>
          </cell>
          <cell r="J77">
            <v>0</v>
          </cell>
          <cell r="K77">
            <v>0</v>
          </cell>
          <cell r="L77">
            <v>0</v>
          </cell>
          <cell r="M77">
            <v>0</v>
          </cell>
          <cell r="N77">
            <v>0</v>
          </cell>
        </row>
        <row r="87">
          <cell r="G87">
            <v>0</v>
          </cell>
          <cell r="H87">
            <v>0</v>
          </cell>
          <cell r="I87">
            <v>0</v>
          </cell>
          <cell r="J87">
            <v>0</v>
          </cell>
          <cell r="K87">
            <v>0</v>
          </cell>
          <cell r="L87">
            <v>0</v>
          </cell>
          <cell r="M87">
            <v>0</v>
          </cell>
          <cell r="N87">
            <v>0</v>
          </cell>
        </row>
      </sheetData>
      <sheetData sheetId="10"/>
      <sheetData sheetId="11"/>
      <sheetData sheetId="12">
        <row r="18">
          <cell r="C18" t="str">
            <v>£m nominal</v>
          </cell>
          <cell r="G18">
            <v>0</v>
          </cell>
          <cell r="H18">
            <v>0</v>
          </cell>
          <cell r="I18">
            <v>0</v>
          </cell>
          <cell r="J18">
            <v>0</v>
          </cell>
          <cell r="K18">
            <v>0</v>
          </cell>
          <cell r="L18">
            <v>0</v>
          </cell>
          <cell r="M18">
            <v>0</v>
          </cell>
          <cell r="N18">
            <v>0</v>
          </cell>
        </row>
      </sheetData>
      <sheetData sheetId="13">
        <row r="5">
          <cell r="T5" t="str">
            <v>ENWL</v>
          </cell>
        </row>
        <row r="9">
          <cell r="G9">
            <v>11.307214036158426</v>
          </cell>
          <cell r="H9">
            <v>3.9368775196877213</v>
          </cell>
          <cell r="I9">
            <v>0</v>
          </cell>
          <cell r="J9">
            <v>0</v>
          </cell>
          <cell r="K9">
            <v>0</v>
          </cell>
          <cell r="L9">
            <v>0</v>
          </cell>
          <cell r="M9">
            <v>0</v>
          </cell>
          <cell r="N9">
            <v>0</v>
          </cell>
        </row>
        <row r="15">
          <cell r="G15">
            <v>0</v>
          </cell>
          <cell r="H15">
            <v>0.45653999999999995</v>
          </cell>
          <cell r="I15">
            <v>0</v>
          </cell>
          <cell r="J15">
            <v>0</v>
          </cell>
          <cell r="K15">
            <v>0</v>
          </cell>
          <cell r="L15">
            <v>0</v>
          </cell>
          <cell r="M15">
            <v>0</v>
          </cell>
          <cell r="N15">
            <v>0</v>
          </cell>
        </row>
        <row r="34">
          <cell r="G34">
            <v>11.307214036158426</v>
          </cell>
          <cell r="H34">
            <v>3.4803375196877213</v>
          </cell>
          <cell r="I34">
            <v>0</v>
          </cell>
          <cell r="J34">
            <v>0</v>
          </cell>
        </row>
        <row r="38">
          <cell r="D38" t="str">
            <v>ENWLPPLD</v>
          </cell>
          <cell r="G38">
            <v>-10.891609996616232</v>
          </cell>
          <cell r="H38">
            <v>-10.496430370211733</v>
          </cell>
          <cell r="I38">
            <v>0</v>
          </cell>
          <cell r="J38">
            <v>0</v>
          </cell>
          <cell r="K38">
            <v>0</v>
          </cell>
          <cell r="L38">
            <v>0</v>
          </cell>
          <cell r="M38">
            <v>0</v>
          </cell>
          <cell r="N38">
            <v>0</v>
          </cell>
        </row>
        <row r="39">
          <cell r="D39" t="str">
            <v>NPgNPPLD</v>
          </cell>
          <cell r="G39">
            <v>-7.918319375370424</v>
          </cell>
          <cell r="H39">
            <v>-2.5287610007910422</v>
          </cell>
          <cell r="I39">
            <v>0</v>
          </cell>
          <cell r="J39">
            <v>0</v>
          </cell>
          <cell r="K39">
            <v>0</v>
          </cell>
          <cell r="L39">
            <v>0</v>
          </cell>
          <cell r="M39">
            <v>0</v>
          </cell>
          <cell r="N39">
            <v>0</v>
          </cell>
        </row>
        <row r="40">
          <cell r="D40" t="str">
            <v>NPgYPPLD</v>
          </cell>
          <cell r="G40">
            <v>-10.357690365140309</v>
          </cell>
          <cell r="H40">
            <v>-10.357690365140309</v>
          </cell>
          <cell r="I40">
            <v>-6.8190388210312705</v>
          </cell>
          <cell r="J40">
            <v>0</v>
          </cell>
          <cell r="K40">
            <v>0</v>
          </cell>
          <cell r="L40">
            <v>0</v>
          </cell>
          <cell r="M40">
            <v>0</v>
          </cell>
          <cell r="N40">
            <v>0</v>
          </cell>
        </row>
        <row r="41">
          <cell r="D41" t="str">
            <v>WMIDPPLD</v>
          </cell>
          <cell r="G41">
            <v>-11.855386158389942</v>
          </cell>
          <cell r="H41">
            <v>-8.8091099966733903</v>
          </cell>
          <cell r="I41">
            <v>0</v>
          </cell>
          <cell r="J41">
            <v>0</v>
          </cell>
          <cell r="K41">
            <v>0</v>
          </cell>
          <cell r="L41">
            <v>0</v>
          </cell>
          <cell r="M41">
            <v>0</v>
          </cell>
          <cell r="N41">
            <v>0</v>
          </cell>
        </row>
        <row r="42">
          <cell r="D42" t="str">
            <v>EMIDPPLD</v>
          </cell>
          <cell r="G42">
            <v>-11.901775319134018</v>
          </cell>
          <cell r="H42">
            <v>-55.126195683067778</v>
          </cell>
          <cell r="I42">
            <v>-11.901775319134018</v>
          </cell>
          <cell r="J42">
            <v>-2.8727313609163758</v>
          </cell>
          <cell r="K42">
            <v>0</v>
          </cell>
          <cell r="L42">
            <v>0</v>
          </cell>
          <cell r="M42">
            <v>0</v>
          </cell>
          <cell r="N42">
            <v>0</v>
          </cell>
        </row>
        <row r="43">
          <cell r="D43" t="str">
            <v>SWALESPPLD</v>
          </cell>
          <cell r="G43">
            <v>-6.1415926764762281</v>
          </cell>
          <cell r="H43">
            <v>-1.2652526700643429</v>
          </cell>
          <cell r="I43">
            <v>0</v>
          </cell>
          <cell r="J43">
            <v>0</v>
          </cell>
          <cell r="K43">
            <v>0</v>
          </cell>
          <cell r="L43">
            <v>0</v>
          </cell>
          <cell r="M43">
            <v>0</v>
          </cell>
          <cell r="N43">
            <v>0</v>
          </cell>
        </row>
        <row r="44">
          <cell r="D44" t="str">
            <v>SWESTPPLD</v>
          </cell>
          <cell r="G44">
            <v>-8.8621655000247266</v>
          </cell>
          <cell r="H44">
            <v>-1.7646239324255379</v>
          </cell>
          <cell r="I44">
            <v>0</v>
          </cell>
          <cell r="J44">
            <v>0</v>
          </cell>
          <cell r="K44">
            <v>0</v>
          </cell>
          <cell r="L44">
            <v>0</v>
          </cell>
          <cell r="M44">
            <v>0</v>
          </cell>
          <cell r="N44">
            <v>0</v>
          </cell>
        </row>
        <row r="45">
          <cell r="D45" t="str">
            <v>EPNPPLD</v>
          </cell>
          <cell r="G45">
            <v>-15.410612256895364</v>
          </cell>
          <cell r="H45">
            <v>-59.101064107232716</v>
          </cell>
          <cell r="I45">
            <v>-3.8102122828532003</v>
          </cell>
          <cell r="J45">
            <v>0</v>
          </cell>
          <cell r="K45">
            <v>0</v>
          </cell>
          <cell r="L45">
            <v>0</v>
          </cell>
          <cell r="M45">
            <v>0</v>
          </cell>
          <cell r="N45">
            <v>0</v>
          </cell>
        </row>
        <row r="46">
          <cell r="D46" t="str">
            <v>LPNPPLD</v>
          </cell>
          <cell r="G46">
            <v>-2.4813513781281475</v>
          </cell>
          <cell r="H46">
            <v>0</v>
          </cell>
          <cell r="I46">
            <v>0</v>
          </cell>
          <cell r="J46">
            <v>0</v>
          </cell>
          <cell r="K46">
            <v>0</v>
          </cell>
          <cell r="L46">
            <v>0</v>
          </cell>
          <cell r="M46">
            <v>0</v>
          </cell>
          <cell r="N46">
            <v>0</v>
          </cell>
        </row>
        <row r="47">
          <cell r="D47" t="str">
            <v>SPNPPLD</v>
          </cell>
          <cell r="G47">
            <v>-9.6544132614295357</v>
          </cell>
          <cell r="H47">
            <v>0</v>
          </cell>
          <cell r="I47">
            <v>0</v>
          </cell>
          <cell r="J47">
            <v>0</v>
          </cell>
          <cell r="K47">
            <v>0</v>
          </cell>
          <cell r="L47">
            <v>0</v>
          </cell>
          <cell r="M47">
            <v>0</v>
          </cell>
          <cell r="N47">
            <v>0</v>
          </cell>
        </row>
        <row r="48">
          <cell r="D48" t="str">
            <v>SPDPPLD</v>
          </cell>
          <cell r="G48">
            <v>10.655040327775916</v>
          </cell>
          <cell r="H48">
            <v>3.2152938985919643</v>
          </cell>
          <cell r="I48">
            <v>0</v>
          </cell>
          <cell r="J48">
            <v>0</v>
          </cell>
          <cell r="K48">
            <v>0</v>
          </cell>
          <cell r="L48">
            <v>0</v>
          </cell>
          <cell r="M48">
            <v>0</v>
          </cell>
          <cell r="N48">
            <v>0</v>
          </cell>
        </row>
        <row r="49">
          <cell r="D49" t="str">
            <v>SPMWPPLD</v>
          </cell>
          <cell r="G49">
            <v>5.4205794532931968</v>
          </cell>
          <cell r="H49">
            <v>0</v>
          </cell>
          <cell r="I49">
            <v>0</v>
          </cell>
          <cell r="J49">
            <v>0</v>
          </cell>
          <cell r="K49">
            <v>0</v>
          </cell>
          <cell r="L49">
            <v>0</v>
          </cell>
          <cell r="M49">
            <v>0</v>
          </cell>
          <cell r="N49">
            <v>0</v>
          </cell>
        </row>
        <row r="50">
          <cell r="D50" t="str">
            <v>SSESPPLD</v>
          </cell>
          <cell r="G50">
            <v>15.447403729421062</v>
          </cell>
          <cell r="H50">
            <v>27.541583515422559</v>
          </cell>
          <cell r="I50">
            <v>7.4655138810891444</v>
          </cell>
          <cell r="J50">
            <v>0</v>
          </cell>
          <cell r="K50">
            <v>0</v>
          </cell>
          <cell r="L50">
            <v>0</v>
          </cell>
          <cell r="M50">
            <v>0</v>
          </cell>
          <cell r="N50">
            <v>0</v>
          </cell>
        </row>
        <row r="51">
          <cell r="D51" t="str">
            <v>SSEHPPLD</v>
          </cell>
          <cell r="G51">
            <v>8.1615658943609084</v>
          </cell>
          <cell r="H51">
            <v>8.1179142893721536</v>
          </cell>
          <cell r="I51">
            <v>7.8752465689755766</v>
          </cell>
          <cell r="J51">
            <v>0</v>
          </cell>
          <cell r="K51">
            <v>0</v>
          </cell>
          <cell r="L51">
            <v>0</v>
          </cell>
          <cell r="M51">
            <v>0</v>
          </cell>
          <cell r="N51">
            <v>0</v>
          </cell>
        </row>
      </sheetData>
      <sheetData sheetId="14">
        <row r="14">
          <cell r="C14" t="str">
            <v>£m nominal</v>
          </cell>
          <cell r="G14">
            <v>3.7028664247015106</v>
          </cell>
          <cell r="H14">
            <v>0</v>
          </cell>
          <cell r="I14">
            <v>7.8740371441001509</v>
          </cell>
          <cell r="J14">
            <v>-6.6621856688094905</v>
          </cell>
          <cell r="K14">
            <v>-4.1512868316908751</v>
          </cell>
          <cell r="L14">
            <v>-426.84255169902337</v>
          </cell>
          <cell r="M14">
            <v>-404.74909154333517</v>
          </cell>
          <cell r="N14">
            <v>-433.24518997450866</v>
          </cell>
        </row>
        <row r="80">
          <cell r="B80" t="str">
            <v>K_ENWL</v>
          </cell>
          <cell r="C80" t="str">
            <v>£m</v>
          </cell>
          <cell r="G80">
            <v>0</v>
          </cell>
          <cell r="H80">
            <v>14.952778218228747</v>
          </cell>
        </row>
        <row r="81">
          <cell r="B81" t="str">
            <v>K_NPgN</v>
          </cell>
          <cell r="C81" t="str">
            <v>£m</v>
          </cell>
          <cell r="G81">
            <v>0</v>
          </cell>
          <cell r="H81">
            <v>3.7769237531955406</v>
          </cell>
        </row>
        <row r="82">
          <cell r="B82" t="str">
            <v>K_NPgY</v>
          </cell>
          <cell r="C82" t="str">
            <v>£m</v>
          </cell>
          <cell r="G82">
            <v>0</v>
          </cell>
          <cell r="H82">
            <v>3.7769237531955406</v>
          </cell>
        </row>
        <row r="83">
          <cell r="B83" t="str">
            <v>K_SPD</v>
          </cell>
          <cell r="C83" t="str">
            <v>£m</v>
          </cell>
          <cell r="G83">
            <v>3.7028664247015106</v>
          </cell>
          <cell r="H83">
            <v>0</v>
          </cell>
        </row>
        <row r="84">
          <cell r="B84" t="str">
            <v>K_SPMW</v>
          </cell>
          <cell r="C84" t="str">
            <v>£m</v>
          </cell>
          <cell r="G84">
            <v>3.7028664247015106</v>
          </cell>
          <cell r="H84">
            <v>0</v>
          </cell>
        </row>
        <row r="85">
          <cell r="B85" t="str">
            <v>K_SSEH</v>
          </cell>
          <cell r="C85" t="str">
            <v>£m</v>
          </cell>
          <cell r="G85">
            <v>0</v>
          </cell>
          <cell r="H85">
            <v>3.7769237531955406</v>
          </cell>
        </row>
        <row r="86">
          <cell r="B86" t="str">
            <v>K_SSES</v>
          </cell>
          <cell r="C86" t="str">
            <v>£m</v>
          </cell>
          <cell r="G86">
            <v>0</v>
          </cell>
          <cell r="H86">
            <v>3.7769237531955406</v>
          </cell>
        </row>
        <row r="87">
          <cell r="B87" t="str">
            <v>K_EPN</v>
          </cell>
          <cell r="C87" t="str">
            <v>£m</v>
          </cell>
          <cell r="G87">
            <v>0</v>
          </cell>
          <cell r="H87">
            <v>3.7769237531955406</v>
          </cell>
        </row>
        <row r="88">
          <cell r="B88" t="str">
            <v>K_LPN</v>
          </cell>
          <cell r="C88" t="str">
            <v>£m</v>
          </cell>
          <cell r="G88">
            <v>0</v>
          </cell>
          <cell r="H88">
            <v>3.7769237531955406</v>
          </cell>
        </row>
        <row r="89">
          <cell r="B89" t="str">
            <v>K_SPN</v>
          </cell>
          <cell r="C89" t="str">
            <v>£m</v>
          </cell>
          <cell r="G89">
            <v>0</v>
          </cell>
          <cell r="H89">
            <v>3.7769237531955406</v>
          </cell>
        </row>
        <row r="90">
          <cell r="B90" t="str">
            <v>K_EMID</v>
          </cell>
          <cell r="C90" t="str">
            <v>£m</v>
          </cell>
          <cell r="G90">
            <v>0</v>
          </cell>
          <cell r="H90">
            <v>3.7769237531955406</v>
          </cell>
        </row>
        <row r="91">
          <cell r="B91" t="str">
            <v>K_WMID</v>
          </cell>
          <cell r="C91" t="str">
            <v>£m</v>
          </cell>
          <cell r="G91">
            <v>0</v>
          </cell>
          <cell r="H91">
            <v>3.7769237531955406</v>
          </cell>
        </row>
        <row r="92">
          <cell r="B92" t="str">
            <v>K_SWALES</v>
          </cell>
          <cell r="C92" t="str">
            <v>£m</v>
          </cell>
          <cell r="G92">
            <v>0</v>
          </cell>
          <cell r="H92">
            <v>3.7769237531955406</v>
          </cell>
        </row>
        <row r="93">
          <cell r="B93" t="str">
            <v>K_SWEST</v>
          </cell>
          <cell r="C93" t="str">
            <v>£m</v>
          </cell>
          <cell r="G93">
            <v>0</v>
          </cell>
          <cell r="H93">
            <v>3.7769237531955406</v>
          </cell>
        </row>
      </sheetData>
      <sheetData sheetId="15"/>
      <sheetData sheetId="16"/>
      <sheetData sheetId="17"/>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GcaSummary"/>
      <sheetName val="MarginSummary"/>
    </sheetNames>
    <sheetDataSet>
      <sheetData sheetId="0"/>
      <sheetData sheetId="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Year ROIC Trees"/>
      <sheetName val="5 Year ROIC Trees"/>
      <sheetName val="Beta"/>
      <sheetName val="Cost of Debt (Industrial)"/>
      <sheetName val="Spread"/>
      <sheetName val="IBES Estimates"/>
      <sheetName val="Sheet4"/>
      <sheetName val="Risk-Free Rate"/>
      <sheetName val="Sheet3"/>
      <sheetName val="Operating Leases"/>
      <sheetName val="Sheet1"/>
      <sheetName val="Sheet2"/>
      <sheetName val="Spread|Growth"/>
      <sheetName val="Summary"/>
      <sheetName val="ABS"/>
      <sheetName val="ABS (Adjusted)"/>
      <sheetName val="ABS (2)"/>
      <sheetName val="AHMY"/>
      <sheetName val="AHMY (Adjusted)"/>
      <sheetName val="AHMY (2)"/>
      <sheetName val="BJ"/>
      <sheetName val="BJ (Adjusted)"/>
      <sheetName val="BJ (2)"/>
      <sheetName val="CAUFM"/>
      <sheetName val="CAUFM (Adjusted) "/>
      <sheetName val="CAUFM (2)"/>
      <sheetName val="COST"/>
      <sheetName val="COST (Adjusted)"/>
      <sheetName val="COST (2)"/>
      <sheetName val="DEFI"/>
      <sheetName val="DEFI (Adjusted) "/>
      <sheetName val="DEFI (2)"/>
      <sheetName val="GAP"/>
      <sheetName val="GAP (Adjusted) "/>
      <sheetName val="GAP (2)"/>
      <sheetName val="KM"/>
      <sheetName val="KM (Adjusted)"/>
      <sheetName val="KM (2)"/>
      <sheetName val="KR"/>
      <sheetName val="KR (Adjusted)"/>
      <sheetName val="KR (2)"/>
      <sheetName val="IMKTA"/>
      <sheetName val="IMKTA (Adjusted) "/>
      <sheetName val="IMKTA (2)"/>
      <sheetName val="METOL"/>
      <sheetName val="METOL (Adjusted)"/>
      <sheetName val="METOL (2)"/>
      <sheetName val="PUSH"/>
      <sheetName val="PUSH (Adjusted)"/>
      <sheetName val="PUSH (2)"/>
      <sheetName val="RDK"/>
      <sheetName val="RDK (Adjusted)"/>
      <sheetName val="RDK (2)"/>
      <sheetName val="SAGFO"/>
      <sheetName val="SAGFO (Adjusted) "/>
      <sheetName val="SAGFO (2)"/>
      <sheetName val="SVU"/>
      <sheetName val="SVU (Adjusted)"/>
      <sheetName val="SVU (2)"/>
      <sheetName val="SWY"/>
      <sheetName val="SWY (Adjusted)"/>
      <sheetName val="SWY (2)"/>
      <sheetName val="TEPH"/>
      <sheetName val="TEPH (Adjusted) "/>
      <sheetName val="TEPH (2)"/>
      <sheetName val="WIN"/>
      <sheetName val="WIN (Adjusted)"/>
      <sheetName val="WIN (2)"/>
      <sheetName val="WMK"/>
      <sheetName val="WMK (Adjusted)"/>
      <sheetName val="WMK (2)"/>
      <sheetName val="WMT"/>
      <sheetName val="WMT (Adjusted)"/>
      <sheetName val="WMT (2)"/>
      <sheetName val="3_Year_ROIC_Trees"/>
      <sheetName val="5_Year_ROIC_Trees"/>
      <sheetName val="Cost_of_Debt_(Industrial)"/>
      <sheetName val="IBES_Estimates"/>
      <sheetName val="Risk-Free_Rate"/>
      <sheetName val="Operating_Leases"/>
      <sheetName val="ABS_(Adjusted)"/>
      <sheetName val="ABS_(2)"/>
      <sheetName val="AHMY_(Adjusted)"/>
      <sheetName val="AHMY_(2)"/>
      <sheetName val="BJ_(Adjusted)"/>
      <sheetName val="BJ_(2)"/>
      <sheetName val="CAUFM_(Adjusted)_"/>
      <sheetName val="CAUFM_(2)"/>
      <sheetName val="COST_(Adjusted)"/>
      <sheetName val="COST_(2)"/>
      <sheetName val="DEFI_(Adjusted)_"/>
      <sheetName val="DEFI_(2)"/>
      <sheetName val="GAP_(Adjusted)_"/>
      <sheetName val="GAP_(2)"/>
      <sheetName val="KM_(Adjusted)"/>
      <sheetName val="KM_(2)"/>
      <sheetName val="KR_(Adjusted)"/>
      <sheetName val="KR_(2)"/>
      <sheetName val="IMKTA_(Adjusted)_"/>
      <sheetName val="IMKTA_(2)"/>
      <sheetName val="METOL_(Adjusted)"/>
      <sheetName val="METOL_(2)"/>
      <sheetName val="PUSH_(Adjusted)"/>
      <sheetName val="PUSH_(2)"/>
      <sheetName val="RDK_(Adjusted)"/>
      <sheetName val="RDK_(2)"/>
      <sheetName val="SAGFO_(Adjusted)_"/>
      <sheetName val="SAGFO_(2)"/>
      <sheetName val="SVU_(Adjusted)"/>
      <sheetName val="SVU_(2)"/>
      <sheetName val="SWY_(Adjusted)"/>
      <sheetName val="SWY_(2)"/>
      <sheetName val="TEPH_(Adjusted)_"/>
      <sheetName val="TEPH_(2)"/>
      <sheetName val="WIN_(Adjusted)"/>
      <sheetName val="WIN_(2)"/>
      <sheetName val="WMK_(Adjusted)"/>
      <sheetName val="WMK_(2)"/>
      <sheetName val="WMT_(Adjusted)"/>
      <sheetName val="WMT_(2)"/>
      <sheetName val="3_Year_ROIC_Trees1"/>
      <sheetName val="5_Year_ROIC_Trees1"/>
      <sheetName val="Cost_of_Debt_(Industrial)1"/>
      <sheetName val="IBES_Estimates1"/>
      <sheetName val="Risk-Free_Rate1"/>
      <sheetName val="Operating_Leases1"/>
      <sheetName val="ABS_(Adjusted)1"/>
      <sheetName val="ABS_(2)1"/>
      <sheetName val="AHMY_(Adjusted)1"/>
      <sheetName val="AHMY_(2)1"/>
      <sheetName val="BJ_(Adjusted)1"/>
      <sheetName val="BJ_(2)1"/>
      <sheetName val="CAUFM_(Adjusted)_1"/>
      <sheetName val="CAUFM_(2)1"/>
      <sheetName val="COST_(Adjusted)1"/>
      <sheetName val="COST_(2)1"/>
      <sheetName val="DEFI_(Adjusted)_1"/>
      <sheetName val="DEFI_(2)1"/>
      <sheetName val="GAP_(Adjusted)_1"/>
      <sheetName val="GAP_(2)1"/>
      <sheetName val="KM_(Adjusted)1"/>
      <sheetName val="KM_(2)1"/>
      <sheetName val="KR_(Adjusted)1"/>
      <sheetName val="KR_(2)1"/>
      <sheetName val="IMKTA_(Adjusted)_1"/>
      <sheetName val="IMKTA_(2)1"/>
      <sheetName val="METOL_(Adjusted)1"/>
      <sheetName val="METOL_(2)1"/>
      <sheetName val="PUSH_(Adjusted)1"/>
      <sheetName val="PUSH_(2)1"/>
      <sheetName val="RDK_(Adjusted)1"/>
      <sheetName val="RDK_(2)1"/>
      <sheetName val="SAGFO_(Adjusted)_1"/>
      <sheetName val="SAGFO_(2)1"/>
      <sheetName val="SVU_(Adjusted)1"/>
      <sheetName val="SVU_(2)1"/>
      <sheetName val="SWY_(Adjusted)1"/>
      <sheetName val="SWY_(2)1"/>
      <sheetName val="TEPH_(Adjusted)_1"/>
      <sheetName val="TEPH_(2)1"/>
      <sheetName val="WIN_(Adjusted)1"/>
      <sheetName val="WIN_(2)1"/>
      <sheetName val="WMK_(Adjusted)1"/>
      <sheetName val="WMK_(2)1"/>
      <sheetName val="WMT_(Adjusted)1"/>
      <sheetName val="WMT_(2)1"/>
      <sheetName val="3_Year_ROIC_Trees2"/>
      <sheetName val="5_Year_ROIC_Trees2"/>
      <sheetName val="Cost_of_Debt_(Industrial)2"/>
      <sheetName val="IBES_Estimates2"/>
      <sheetName val="Risk-Free_Rate2"/>
      <sheetName val="Operating_Leases2"/>
      <sheetName val="ABS_(Adjusted)2"/>
      <sheetName val="ABS_(2)2"/>
      <sheetName val="AHMY_(Adjusted)2"/>
      <sheetName val="AHMY_(2)2"/>
      <sheetName val="BJ_(Adjusted)2"/>
      <sheetName val="BJ_(2)2"/>
      <sheetName val="CAUFM_(Adjusted)_2"/>
      <sheetName val="CAUFM_(2)2"/>
      <sheetName val="COST_(Adjusted)2"/>
      <sheetName val="COST_(2)2"/>
      <sheetName val="DEFI_(Adjusted)_2"/>
      <sheetName val="DEFI_(2)2"/>
      <sheetName val="GAP_(Adjusted)_2"/>
      <sheetName val="GAP_(2)2"/>
      <sheetName val="KM_(Adjusted)2"/>
      <sheetName val="KM_(2)2"/>
      <sheetName val="KR_(Adjusted)2"/>
      <sheetName val="KR_(2)2"/>
      <sheetName val="IMKTA_(Adjusted)_2"/>
      <sheetName val="IMKTA_(2)2"/>
      <sheetName val="METOL_(Adjusted)2"/>
      <sheetName val="METOL_(2)2"/>
      <sheetName val="PUSH_(Adjusted)2"/>
      <sheetName val="PUSH_(2)2"/>
      <sheetName val="RDK_(Adjusted)2"/>
      <sheetName val="RDK_(2)2"/>
      <sheetName val="SAGFO_(Adjusted)_2"/>
      <sheetName val="SAGFO_(2)2"/>
      <sheetName val="SVU_(Adjusted)2"/>
      <sheetName val="SVU_(2)2"/>
      <sheetName val="SWY_(Adjusted)2"/>
      <sheetName val="SWY_(2)2"/>
      <sheetName val="TEPH_(Adjusted)_2"/>
      <sheetName val="TEPH_(2)2"/>
      <sheetName val="WIN_(Adjusted)2"/>
      <sheetName val="WIN_(2)2"/>
      <sheetName val="WMK_(Adjusted)2"/>
      <sheetName val="WMK_(2)2"/>
      <sheetName val="WMT_(Adjusted)2"/>
      <sheetName val="WMT_(2)2"/>
      <sheetName val="Valuation worksheet"/>
      <sheetName val="3_Year_ROIC_Trees3"/>
      <sheetName val="5_Year_ROIC_Trees3"/>
      <sheetName val="Cost_of_Debt_(Industrial)3"/>
      <sheetName val="IBES_Estimates3"/>
      <sheetName val="Risk-Free_Rate3"/>
      <sheetName val="Operating_Leases3"/>
      <sheetName val="ABS_(Adjusted)3"/>
      <sheetName val="ABS_(2)3"/>
      <sheetName val="AHMY_(Adjusted)3"/>
      <sheetName val="AHMY_(2)3"/>
      <sheetName val="BJ_(Adjusted)3"/>
      <sheetName val="BJ_(2)3"/>
      <sheetName val="CAUFM_(Adjusted)_3"/>
      <sheetName val="CAUFM_(2)3"/>
      <sheetName val="COST_(Adjusted)3"/>
      <sheetName val="COST_(2)3"/>
      <sheetName val="DEFI_(Adjusted)_3"/>
      <sheetName val="DEFI_(2)3"/>
      <sheetName val="GAP_(Adjusted)_3"/>
      <sheetName val="GAP_(2)3"/>
      <sheetName val="KM_(Adjusted)3"/>
      <sheetName val="KM_(2)3"/>
      <sheetName val="KR_(Adjusted)3"/>
      <sheetName val="KR_(2)3"/>
      <sheetName val="IMKTA_(Adjusted)_3"/>
      <sheetName val="IMKTA_(2)3"/>
      <sheetName val="METOL_(Adjusted)3"/>
      <sheetName val="METOL_(2)3"/>
      <sheetName val="PUSH_(Adjusted)3"/>
      <sheetName val="PUSH_(2)3"/>
      <sheetName val="RDK_(Adjusted)3"/>
      <sheetName val="RDK_(2)3"/>
      <sheetName val="SAGFO_(Adjusted)_3"/>
      <sheetName val="SAGFO_(2)3"/>
      <sheetName val="SVU_(Adjusted)3"/>
      <sheetName val="SVU_(2)3"/>
      <sheetName val="SWY_(Adjusted)3"/>
      <sheetName val="SWY_(2)3"/>
      <sheetName val="TEPH_(Adjusted)_3"/>
      <sheetName val="TEPH_(2)3"/>
      <sheetName val="WIN_(Adjusted)3"/>
      <sheetName val="WIN_(2)3"/>
      <sheetName val="WMK_(Adjusted)3"/>
      <sheetName val="WMK_(2)3"/>
      <sheetName val="WMT_(Adjusted)3"/>
      <sheetName val="WMT_(2)3"/>
      <sheetName val="model inputs"/>
      <sheetName val="3_Year_ROIC_Trees4"/>
      <sheetName val="5_Year_ROIC_Trees4"/>
      <sheetName val="Cost_of_Debt_(Industrial)4"/>
      <sheetName val="IBES_Estimates4"/>
      <sheetName val="Risk-Free_Rate4"/>
      <sheetName val="Operating_Leases4"/>
      <sheetName val="ABS_(Adjusted)4"/>
      <sheetName val="ABS_(2)4"/>
      <sheetName val="AHMY_(Adjusted)4"/>
      <sheetName val="AHMY_(2)4"/>
      <sheetName val="BJ_(Adjusted)4"/>
      <sheetName val="BJ_(2)4"/>
      <sheetName val="CAUFM_(Adjusted)_4"/>
      <sheetName val="CAUFM_(2)4"/>
      <sheetName val="COST_(Adjusted)4"/>
      <sheetName val="COST_(2)4"/>
      <sheetName val="DEFI_(Adjusted)_4"/>
      <sheetName val="DEFI_(2)4"/>
      <sheetName val="GAP_(Adjusted)_4"/>
      <sheetName val="GAP_(2)4"/>
      <sheetName val="KM_(Adjusted)4"/>
      <sheetName val="KM_(2)4"/>
      <sheetName val="KR_(Adjusted)4"/>
      <sheetName val="KR_(2)4"/>
      <sheetName val="IMKTA_(Adjusted)_4"/>
      <sheetName val="IMKTA_(2)4"/>
      <sheetName val="METOL_(Adjusted)4"/>
      <sheetName val="METOL_(2)4"/>
      <sheetName val="PUSH_(Adjusted)4"/>
      <sheetName val="PUSH_(2)4"/>
      <sheetName val="RDK_(Adjusted)4"/>
      <sheetName val="RDK_(2)4"/>
      <sheetName val="SAGFO_(Adjusted)_4"/>
      <sheetName val="SAGFO_(2)4"/>
      <sheetName val="SVU_(Adjusted)4"/>
      <sheetName val="SVU_(2)4"/>
      <sheetName val="SWY_(Adjusted)4"/>
      <sheetName val="SWY_(2)4"/>
      <sheetName val="TEPH_(Adjusted)_4"/>
      <sheetName val="TEPH_(2)4"/>
      <sheetName val="WIN_(Adjusted)4"/>
      <sheetName val="WIN_(2)4"/>
      <sheetName val="WMK_(Adjusted)4"/>
      <sheetName val="WMK_(2)4"/>
      <sheetName val="WMT_(Adjusted)4"/>
      <sheetName val="WMT_(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5">
          <cell r="A15" t="e">
            <v>#NAME?</v>
          </cell>
          <cell r="D15" t="e">
            <v>#NAME?</v>
          </cell>
          <cell r="G15" t="e">
            <v>#NAME?</v>
          </cell>
          <cell r="J15" t="e">
            <v>#NAME?</v>
          </cell>
          <cell r="M15" t="e">
            <v>#NAME?</v>
          </cell>
          <cell r="P15" t="e">
            <v>#NAME?</v>
          </cell>
          <cell r="S15" t="e">
            <v>#NAME?</v>
          </cell>
          <cell r="V15" t="e">
            <v>#NAME?</v>
          </cell>
          <cell r="Y15" t="e">
            <v>#NAME?</v>
          </cell>
          <cell r="AB15" t="e">
            <v>#NAME?</v>
          </cell>
          <cell r="AE15" t="e">
            <v>#NAME?</v>
          </cell>
          <cell r="AH15" t="e">
            <v>#NAME?</v>
          </cell>
          <cell r="AK15" t="e">
            <v>#NAME?</v>
          </cell>
          <cell r="AN15" t="e">
            <v>#NAME?</v>
          </cell>
          <cell r="AQ15" t="e">
            <v>#NAME?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row r="15">
          <cell r="A1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ow r="5">
          <cell r="B5" t="str">
            <v>WMT</v>
          </cell>
        </row>
      </sheetData>
      <sheetData sheetId="123"/>
      <sheetData sheetId="124">
        <row r="15">
          <cell r="A15"/>
        </row>
      </sheetData>
      <sheetData sheetId="125">
        <row r="11">
          <cell r="D11" t="str">
            <v>WMT</v>
          </cell>
        </row>
      </sheetData>
      <sheetData sheetId="126">
        <row r="82">
          <cell r="Z82" t="str">
            <v>Mid-Year ROIC w/o GW</v>
          </cell>
        </row>
      </sheetData>
      <sheetData sheetId="127">
        <row r="637">
          <cell r="B637" t="str">
            <v>ROIC</v>
          </cell>
        </row>
      </sheetData>
      <sheetData sheetId="128">
        <row r="82">
          <cell r="Z82" t="str">
            <v>Mid-Year ROIC w/o GW</v>
          </cell>
        </row>
      </sheetData>
      <sheetData sheetId="129">
        <row r="637">
          <cell r="B637" t="str">
            <v>ROIC</v>
          </cell>
        </row>
      </sheetData>
      <sheetData sheetId="130">
        <row r="82">
          <cell r="Z82" t="str">
            <v>Mid-Year ROIC w/o GW</v>
          </cell>
        </row>
      </sheetData>
      <sheetData sheetId="131">
        <row r="637">
          <cell r="B637" t="str">
            <v>ROIC</v>
          </cell>
        </row>
      </sheetData>
      <sheetData sheetId="132">
        <row r="82">
          <cell r="Z82" t="str">
            <v>Mid-Year ROIC w/o GW</v>
          </cell>
        </row>
      </sheetData>
      <sheetData sheetId="133">
        <row r="637">
          <cell r="B637" t="str">
            <v>ROIC</v>
          </cell>
        </row>
      </sheetData>
      <sheetData sheetId="134">
        <row r="82">
          <cell r="Z82" t="str">
            <v>Mid-Year ROIC w/o GW</v>
          </cell>
        </row>
      </sheetData>
      <sheetData sheetId="135">
        <row r="637">
          <cell r="B637" t="str">
            <v>ROIC</v>
          </cell>
        </row>
      </sheetData>
      <sheetData sheetId="136">
        <row r="82">
          <cell r="Z82" t="str">
            <v>Mid-Year ROIC w/o GW</v>
          </cell>
        </row>
      </sheetData>
      <sheetData sheetId="137">
        <row r="637">
          <cell r="B637" t="str">
            <v>ROIC</v>
          </cell>
        </row>
      </sheetData>
      <sheetData sheetId="138">
        <row r="82">
          <cell r="Z82" t="str">
            <v>Mid-Year ROIC w/o GW</v>
          </cell>
        </row>
      </sheetData>
      <sheetData sheetId="139">
        <row r="637">
          <cell r="B637" t="str">
            <v>ROIC</v>
          </cell>
        </row>
      </sheetData>
      <sheetData sheetId="140">
        <row r="82">
          <cell r="Z82" t="str">
            <v>Mid-Year ROIC w/o GW</v>
          </cell>
        </row>
      </sheetData>
      <sheetData sheetId="141">
        <row r="637">
          <cell r="B637" t="str">
            <v>ROIC</v>
          </cell>
        </row>
      </sheetData>
      <sheetData sheetId="142">
        <row r="82">
          <cell r="Z82" t="str">
            <v>Mid-Year ROIC w/o GW</v>
          </cell>
        </row>
      </sheetData>
      <sheetData sheetId="143">
        <row r="637">
          <cell r="B637" t="str">
            <v>ROIC</v>
          </cell>
        </row>
      </sheetData>
      <sheetData sheetId="144">
        <row r="82">
          <cell r="Z82" t="str">
            <v>Mid-Year ROIC w/o GW</v>
          </cell>
        </row>
      </sheetData>
      <sheetData sheetId="145">
        <row r="578">
          <cell r="I578">
            <v>638.01157331319416</v>
          </cell>
        </row>
      </sheetData>
      <sheetData sheetId="146">
        <row r="82">
          <cell r="Z82" t="str">
            <v>Mid-Year ROIC w/o GW</v>
          </cell>
        </row>
      </sheetData>
      <sheetData sheetId="147">
        <row r="637">
          <cell r="B637" t="str">
            <v>ROIC</v>
          </cell>
        </row>
      </sheetData>
      <sheetData sheetId="148">
        <row r="82">
          <cell r="Z82" t="str">
            <v>Mid-Year ROIC w/o GW</v>
          </cell>
        </row>
      </sheetData>
      <sheetData sheetId="149">
        <row r="636">
          <cell r="B636" t="str">
            <v>ROIC</v>
          </cell>
        </row>
      </sheetData>
      <sheetData sheetId="150">
        <row r="82">
          <cell r="Z82" t="str">
            <v>Mid-Year ROIC w/o GW</v>
          </cell>
        </row>
      </sheetData>
      <sheetData sheetId="151">
        <row r="578">
          <cell r="I578">
            <v>721.97970823114861</v>
          </cell>
        </row>
      </sheetData>
      <sheetData sheetId="152">
        <row r="82">
          <cell r="Z82" t="str">
            <v>Mid-Year ROIC w/o GW</v>
          </cell>
        </row>
      </sheetData>
      <sheetData sheetId="153">
        <row r="637">
          <cell r="B637" t="str">
            <v>ROIC</v>
          </cell>
        </row>
      </sheetData>
      <sheetData sheetId="154">
        <row r="82">
          <cell r="Z82" t="str">
            <v>Mid-Year ROIC w/o GW</v>
          </cell>
        </row>
      </sheetData>
      <sheetData sheetId="155">
        <row r="637">
          <cell r="B637" t="str">
            <v>ROIC</v>
          </cell>
        </row>
      </sheetData>
      <sheetData sheetId="156">
        <row r="13">
          <cell r="AD13">
            <v>1679.8990687479065</v>
          </cell>
        </row>
      </sheetData>
      <sheetData sheetId="157">
        <row r="578">
          <cell r="I578">
            <v>9046.6720141866208</v>
          </cell>
        </row>
      </sheetData>
      <sheetData sheetId="158">
        <row r="82">
          <cell r="Z82" t="str">
            <v>Mid-Year ROIC w/o GW</v>
          </cell>
        </row>
      </sheetData>
      <sheetData sheetId="159">
        <row r="637">
          <cell r="B637" t="str">
            <v>ROIC</v>
          </cell>
        </row>
      </sheetData>
      <sheetData sheetId="160">
        <row r="82">
          <cell r="Z82" t="str">
            <v>Mid-Year ROIC w/o GW</v>
          </cell>
        </row>
      </sheetData>
      <sheetData sheetId="161">
        <row r="637">
          <cell r="B637" t="str">
            <v>ROIC</v>
          </cell>
        </row>
      </sheetData>
      <sheetData sheetId="162">
        <row r="82">
          <cell r="Z82" t="str">
            <v>Mid-Year ROIC w/o GW</v>
          </cell>
        </row>
      </sheetData>
      <sheetData sheetId="163">
        <row r="637">
          <cell r="B637" t="str">
            <v>ROIC</v>
          </cell>
        </row>
      </sheetData>
      <sheetData sheetId="164">
        <row r="82">
          <cell r="Z82" t="str">
            <v>Mid-Year ROIC w/o GW</v>
          </cell>
        </row>
      </sheetData>
      <sheetData sheetId="165">
        <row r="637">
          <cell r="B637" t="str">
            <v>ROIC</v>
          </cell>
        </row>
      </sheetData>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hanges Log"/>
      <sheetName val="Navigation"/>
      <sheetName val="Data Change Log"/>
      <sheetName val="Check Sheet"/>
      <sheetName val="I1 - PCFM Inputs 12-13"/>
      <sheetName val="I2 - PCFM Inputs Nominal"/>
      <sheetName val="I3 - Licence Values"/>
      <sheetName val="I4 - Revenue Pack Inputs"/>
      <sheetName val="I5 - Theft Recovery"/>
      <sheetName val="I6 - RPI"/>
      <sheetName val="F2 - Net Debt &amp; Tax Clawback"/>
      <sheetName val="F8 - Reconciliation to Reg Accs"/>
      <sheetName val="SI1 - Performance Summary"/>
      <sheetName val="S1 - Summary of C1s"/>
      <sheetName val="S2 - Summary of C1s (Real)"/>
      <sheetName val="S3 - C1 Movements (Real)"/>
      <sheetName val="S4 - C1 In Year Summary"/>
      <sheetName val="C1 - Cost Matrix 2011"/>
      <sheetName val="C1 - Cost Matrix 2012"/>
      <sheetName val="C1 - Cost Matrix 2013"/>
      <sheetName val="C1 - Cost Matrix 2014"/>
      <sheetName val="C1 - Cost Matrix 2015"/>
      <sheetName val="C1 - Cost Matrix 2016"/>
      <sheetName val="C1 - Cost Matrix 2017"/>
      <sheetName val="C1 - Cost Matrix 2018"/>
      <sheetName val="C1 - Cost Matrix 2019"/>
      <sheetName val="C1 - Cost Matrix 2020"/>
      <sheetName val="C1 - Cost Matrix 2021"/>
      <sheetName val="C1 - Cost Matrix 2022"/>
      <sheetName val="C1 - Cost Matrix 2023"/>
      <sheetName val="C2 - Connections Inside PC"/>
      <sheetName val="CV1 - Primary Reinforcement"/>
      <sheetName val="CV2 - Secondary Reinforcement"/>
      <sheetName val="CV3 - Fault Level Reinforcement"/>
      <sheetName val="CV4 - NTCC"/>
      <sheetName val="CV5 - Diversions"/>
      <sheetName val="CV6 - Diversions Rail Elec"/>
      <sheetName val="CV7 - Asset Replacement"/>
      <sheetName val="CV8 - Refurbishment no SDI"/>
      <sheetName val="CV9 - Refurbishment SDI"/>
      <sheetName val="CV10 - Civil Works Cond Driven"/>
      <sheetName val="CV11 - Op IT and Telecoms"/>
      <sheetName val="CV12 - Black Start"/>
      <sheetName val="CV13 - BT21CN"/>
      <sheetName val="CV14 - Legal and Safety"/>
      <sheetName val="CV15 - QoS &amp; North of Scot Res"/>
      <sheetName val="CV16 - Flood Mitigation"/>
      <sheetName val="C3 - Physical Security"/>
      <sheetName val="CV17 - RLMs"/>
      <sheetName val="CV18 - OH Clearances"/>
      <sheetName val="CV19 - WSC"/>
      <sheetName val="CV20 - Visual Amenity"/>
      <sheetName val="CV21 - Losses"/>
      <sheetName val="CV22 - Environmental Reporting "/>
      <sheetName val="C4 - IT&amp;T (Non-Op)"/>
      <sheetName val="C5 - Property (Non Op)"/>
      <sheetName val="C6 - V&amp;T (Non Op)"/>
      <sheetName val="C7 - STEPM (Non Op)"/>
      <sheetName val="CV23 - HVP"/>
      <sheetName val="CV23a - HVP1"/>
      <sheetName val="CV23b - HVP2"/>
      <sheetName val="CV23c - HVP3"/>
      <sheetName val="CV23d - HVP4"/>
      <sheetName val="CV23e - HVP5"/>
      <sheetName val="CV24 - HVP DPCR5"/>
      <sheetName val="CV25 - Moorside"/>
      <sheetName val="CV26 - Faults"/>
      <sheetName val="CV27 - Severe Weather 1 in 20"/>
      <sheetName val="CV28 - ONIs"/>
      <sheetName val="CV29 - Tree Cutting"/>
      <sheetName val="CV30 - Inspections"/>
      <sheetName val="CV31 - Repairs and Maint"/>
      <sheetName val="CV32 - Dismantlement"/>
      <sheetName val="C8 - Remote Generation Opex"/>
      <sheetName val="CV33 - Substation Electricity"/>
      <sheetName val="CV34 - Smart Meter Intv DNO"/>
      <sheetName val="C9 - Core CAI"/>
      <sheetName val="C10 - Wayleaves (CAI)"/>
      <sheetName val="CV35 - Op Training (CAI)"/>
      <sheetName val="C11 - V&amp;T (CAI)"/>
      <sheetName val="C12 - Core BS"/>
      <sheetName val="C13 - IT&amp;T (BS)"/>
      <sheetName val="C14 - Property Mgt (BS)"/>
      <sheetName val="C15 - Atypicals 2011"/>
      <sheetName val="C15 - Atypicals 2012"/>
      <sheetName val="C15 - Atypicals 2013"/>
      <sheetName val="C15 - Atypicals 2014"/>
      <sheetName val="C15 - Atypicals 2015"/>
      <sheetName val="C15 - Atypicals 2016"/>
      <sheetName val="C15 - Atypicals 2017"/>
      <sheetName val="C15 - Atypicals 2018"/>
      <sheetName val="C15 - Atypicals 2019"/>
      <sheetName val="C15 - Atypicals 2020"/>
      <sheetName val="C15 - Atypicals 2021"/>
      <sheetName val="C15 - Atypicals 2022"/>
      <sheetName val="C15 - Atypicals 2023"/>
      <sheetName val="CV36 - NIA"/>
      <sheetName val="CV37 - NIC"/>
      <sheetName val="CV38 - IFI &amp; LCN Fund"/>
      <sheetName val="CV39 - DRS"/>
      <sheetName val="C16 - Smart Meter Outside PC"/>
      <sheetName val="C17 - Legacy Meters"/>
      <sheetName val="C18 - De Minimis"/>
      <sheetName val="C19 - Other Consented Activity"/>
      <sheetName val="C20 - Connections Outside PC"/>
      <sheetName val="C21 - Out of Area Networks"/>
      <sheetName val="C22 - Pass-through"/>
      <sheetName val="C23 - Other NABC"/>
      <sheetName val="C24 - Related Party Margin"/>
      <sheetName val="V1 - Total Asset Movements"/>
      <sheetName val="V2 - Cleansing"/>
      <sheetName val="V3 - Connections"/>
      <sheetName val="V4 - Other Asset Movements"/>
      <sheetName val="V5 - Volume Matrix 2011"/>
      <sheetName val="V5 - Volume Matrix 2012"/>
      <sheetName val="V5 - Volume Matrix 2013"/>
      <sheetName val="V5 - Volume Matrix 2014"/>
      <sheetName val="V5 - Volume Matrix 2015"/>
      <sheetName val="V5 - Volume Matrix 2016"/>
      <sheetName val="V5 - Volume Matrix 2017"/>
      <sheetName val="V5 - Volume Matrix 2018"/>
      <sheetName val="V5 - Volume Matrix 2019"/>
      <sheetName val="V5 - Volume Matrix 2020"/>
      <sheetName val="V5 - Volume Matrix 2021"/>
      <sheetName val="V5 - Volume Matrix 2022"/>
      <sheetName val="V5 - Volume Matrix 2023"/>
      <sheetName val="AP1 - Age Profile"/>
      <sheetName val="M1 - Flood Mitigation (site)"/>
      <sheetName val="M2 - DPCR5 WSC Schemes"/>
      <sheetName val="M3 - ED1 WSC Schemes"/>
      <sheetName val="M4 - Enablers for RIIO-ED2"/>
      <sheetName val="M5 - Severe Weather "/>
      <sheetName val="M6 - Metal Theft"/>
      <sheetName val="M7 - Protection Summary"/>
      <sheetName val="M8 - Link Boxes"/>
      <sheetName val="M9a - Trad Streetworks (ex ante"/>
      <sheetName val="M9b - Permit &amp; Lane (ex ante)"/>
      <sheetName val="M9c - Permit &amp; Lane (reopener)"/>
      <sheetName val="M10 - Shetland (SSEH)"/>
      <sheetName val="M11 - Subsea Cables"/>
      <sheetName val="M12 - Moorside (ENWL)"/>
      <sheetName val="M13 - Uncertainty Mech Info"/>
      <sheetName val="M14 - Drivers"/>
      <sheetName val="M15 - MEAV"/>
      <sheetName val="M16 - Forecasts C1"/>
      <sheetName val="M17 - Forecasts TOTEX"/>
    </sheetNames>
    <sheetDataSet>
      <sheetData sheetId="0">
        <row r="12">
          <cell r="D12" t="str">
            <v>SPD</v>
          </cell>
        </row>
        <row r="20">
          <cell r="D20" t="str">
            <v>ENWL</v>
          </cell>
        </row>
        <row r="21">
          <cell r="D21" t="str">
            <v>NPgN</v>
          </cell>
        </row>
        <row r="22">
          <cell r="D22" t="str">
            <v>NPgY</v>
          </cell>
        </row>
        <row r="23">
          <cell r="D23" t="str">
            <v>WMID</v>
          </cell>
        </row>
        <row r="24">
          <cell r="D24" t="str">
            <v>EMID</v>
          </cell>
        </row>
        <row r="25">
          <cell r="D25" t="str">
            <v>SWALES</v>
          </cell>
        </row>
        <row r="26">
          <cell r="D26" t="str">
            <v>SWEST</v>
          </cell>
        </row>
        <row r="27">
          <cell r="D27" t="str">
            <v>LPN</v>
          </cell>
        </row>
        <row r="28">
          <cell r="D28" t="str">
            <v>SPN</v>
          </cell>
        </row>
        <row r="29">
          <cell r="D29" t="str">
            <v>EPN</v>
          </cell>
        </row>
        <row r="30">
          <cell r="D30" t="str">
            <v>SPD</v>
          </cell>
        </row>
        <row r="31">
          <cell r="D31" t="str">
            <v>SPMW</v>
          </cell>
        </row>
        <row r="32">
          <cell r="D32" t="str">
            <v>SSEH</v>
          </cell>
        </row>
        <row r="33">
          <cell r="D33" t="str">
            <v>SSES</v>
          </cell>
        </row>
      </sheetData>
      <sheetData sheetId="1"/>
      <sheetData sheetId="2"/>
      <sheetData sheetId="3"/>
      <sheetData sheetId="4">
        <row r="9">
          <cell r="K9">
            <v>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80">
          <cell r="CB80">
            <v>321.63553062186429</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ow r="21">
          <cell r="S21">
            <v>196.23888280638121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CASHFLOW Gen Income"/>
      <sheetName val="OBR CPI forecast, outturn"/>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RESULT_093"/>
      <sheetName val="Latest_check3"/>
      <sheetName val="Nom__Input3"/>
      <sheetName val="Social_sec_&amp;_TC3"/>
      <sheetName val="Pub_sec_pensions3"/>
      <sheetName val="RESULT_103"/>
      <sheetName val="AYLs_re-forecast_benefits_+CPS3"/>
      <sheetName val="Re-forecast_benefits3"/>
      <sheetName val="4_6_ten_year_bonds3"/>
      <sheetName val="Foreca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sion Pack cover"/>
      <sheetName val="Version control"/>
      <sheetName val="Contents"/>
      <sheetName val="Changes Log"/>
      <sheetName val="P1.1 PDAM Licensee provided"/>
      <sheetName val="P1.2 PDAM Actuary provided data"/>
      <sheetName val="P1.3 Deleted "/>
      <sheetName val="P1.4 Pensions_PPF_Admin"/>
      <sheetName val="P1.5 Calculation of Vrr - L1"/>
      <sheetName val="P1.6 IBAPA and PBAPA - L1"/>
      <sheetName val="controls - do not change"/>
      <sheetName val="P2.1 PDAM Licensee provided"/>
      <sheetName val="P2.2 PDAM Actuary provided"/>
      <sheetName val="P2.3 Deleted"/>
      <sheetName val="P2.4 Pensions_PPF_Admin"/>
      <sheetName val="P2.5 Calculation of Vrr - L2"/>
      <sheetName val="P2.6 IBAPA and PBAPA - L2"/>
      <sheetName val="controls - do not change (2)"/>
      <sheetName val="Para 6.20 adjustments"/>
    </sheetNames>
    <sheetDataSet>
      <sheetData sheetId="0">
        <row r="12">
          <cell r="D12" t="str">
            <v xml:space="preserve">NWO Group Name </v>
          </cell>
        </row>
        <row r="80">
          <cell r="B80" t="str">
            <v>[Year]</v>
          </cell>
        </row>
        <row r="81">
          <cell r="B81">
            <v>2010</v>
          </cell>
        </row>
        <row r="82">
          <cell r="B82">
            <v>2011</v>
          </cell>
        </row>
        <row r="83">
          <cell r="B83">
            <v>2012</v>
          </cell>
        </row>
        <row r="84">
          <cell r="B84">
            <v>2013</v>
          </cell>
        </row>
        <row r="85">
          <cell r="B85">
            <v>2014</v>
          </cell>
        </row>
        <row r="86">
          <cell r="B86">
            <v>2015</v>
          </cell>
        </row>
        <row r="87">
          <cell r="B87">
            <v>2016</v>
          </cell>
        </row>
        <row r="88">
          <cell r="B88">
            <v>2017</v>
          </cell>
        </row>
        <row r="89">
          <cell r="B89">
            <v>2018</v>
          </cell>
        </row>
        <row r="90">
          <cell r="B90">
            <v>2019</v>
          </cell>
        </row>
        <row r="91">
          <cell r="B91">
            <v>2020</v>
          </cell>
        </row>
        <row r="92">
          <cell r="B92">
            <v>2021</v>
          </cell>
        </row>
        <row r="93">
          <cell r="B93">
            <v>2022</v>
          </cell>
        </row>
        <row r="94">
          <cell r="B94">
            <v>2023</v>
          </cell>
        </row>
        <row r="95">
          <cell r="B95">
            <v>2024</v>
          </cell>
        </row>
        <row r="96">
          <cell r="B96">
            <v>2025</v>
          </cell>
        </row>
        <row r="97">
          <cell r="B97" t="str">
            <v>2012-13</v>
          </cell>
        </row>
        <row r="98">
          <cell r="B98" t="str">
            <v>2010-13</v>
          </cell>
        </row>
        <row r="99">
          <cell r="B99" t="str">
            <v>2010-12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activeCell="C12" sqref="C12"/>
    </sheetView>
  </sheetViews>
  <sheetFormatPr defaultRowHeight="12.75"/>
  <cols>
    <col min="1" max="1" width="8.375" customWidth="1"/>
    <col min="2" max="2" width="41.5" customWidth="1"/>
    <col min="3" max="6" width="14.125" customWidth="1"/>
    <col min="7" max="7" width="40.875" style="34" customWidth="1"/>
    <col min="8" max="8" width="3.5" customWidth="1"/>
    <col min="9" max="9" width="14.125" customWidth="1"/>
  </cols>
  <sheetData>
    <row r="1" spans="1:10" s="877" customFormat="1" ht="57" customHeight="1"/>
    <row r="2" spans="1:10" ht="20.25">
      <c r="A2" s="823" t="s">
        <v>0</v>
      </c>
      <c r="B2" s="94"/>
      <c r="C2" s="94"/>
      <c r="D2" s="95"/>
      <c r="E2" s="96"/>
      <c r="F2" s="94"/>
      <c r="G2" s="97"/>
      <c r="H2" s="94"/>
      <c r="I2" s="94"/>
    </row>
    <row r="3" spans="1:10" ht="20.25">
      <c r="A3" s="823" t="str">
        <f>Licensee</f>
        <v>NGED-SWALES</v>
      </c>
      <c r="B3" s="94"/>
      <c r="C3" s="94"/>
      <c r="D3" s="96"/>
      <c r="E3" s="96"/>
      <c r="F3" s="94"/>
      <c r="G3" s="97"/>
      <c r="H3" s="94"/>
      <c r="I3" s="94"/>
    </row>
    <row r="4" spans="1:10" ht="20.25">
      <c r="A4" s="823" t="s">
        <v>1</v>
      </c>
      <c r="B4" s="94"/>
      <c r="C4" s="94"/>
      <c r="D4" s="96"/>
      <c r="E4" s="96"/>
      <c r="F4" s="94"/>
      <c r="G4" s="97"/>
      <c r="H4" s="94"/>
      <c r="I4" s="94"/>
    </row>
    <row r="5" spans="1:10" ht="20.25">
      <c r="A5" s="154"/>
      <c r="B5" s="155"/>
      <c r="C5" s="155"/>
      <c r="D5" s="156"/>
      <c r="E5" s="156"/>
      <c r="F5" s="155"/>
      <c r="G5" s="276"/>
      <c r="H5" s="155"/>
      <c r="I5" s="155"/>
    </row>
    <row r="6" spans="1:10" ht="14.25">
      <c r="A6" s="7"/>
      <c r="B6" s="189" t="s">
        <v>2</v>
      </c>
      <c r="C6" s="196" cm="1">
        <f t="array" ref="C6">INDEX(Data!$E$63:'Data'!$E$91,MATCH(Licensee,Data!$B$63:$B$91,0),0)</f>
        <v>2024</v>
      </c>
      <c r="D6" s="156"/>
      <c r="E6" s="156"/>
      <c r="H6" s="277"/>
    </row>
    <row r="7" spans="1:10" ht="13.5" customHeight="1">
      <c r="A7" s="7"/>
      <c r="B7" s="189" t="s">
        <v>3</v>
      </c>
      <c r="C7" s="190" t="s">
        <v>79</v>
      </c>
      <c r="D7" s="156"/>
      <c r="E7" s="156"/>
      <c r="F7" s="191"/>
      <c r="G7" s="278" t="s">
        <v>5</v>
      </c>
      <c r="H7" s="277"/>
    </row>
    <row r="8" spans="1:10" ht="13.5" customHeight="1">
      <c r="A8" s="7"/>
      <c r="B8" s="189" t="s">
        <v>6</v>
      </c>
      <c r="C8" s="754" t="str">
        <f>INDEX(Data!$A$63:$A$91,MATCH($C$7,Data!$B$63:$B$91,0),0)&amp;"2"</f>
        <v>ED2</v>
      </c>
      <c r="D8" s="156"/>
      <c r="E8" s="156"/>
      <c r="F8" s="193"/>
      <c r="G8" s="278" t="s">
        <v>7</v>
      </c>
      <c r="H8" s="277"/>
    </row>
    <row r="9" spans="1:10" ht="25.5">
      <c r="A9" s="7"/>
      <c r="B9" s="194" t="s">
        <v>8</v>
      </c>
      <c r="C9" s="195">
        <v>2026</v>
      </c>
      <c r="D9" s="156"/>
      <c r="E9" s="156"/>
      <c r="F9" s="196"/>
      <c r="G9" s="279" t="s">
        <v>9</v>
      </c>
      <c r="H9" s="277"/>
    </row>
    <row r="10" spans="1:10" ht="14.25">
      <c r="A10" s="7"/>
      <c r="B10" s="189" t="s">
        <v>10</v>
      </c>
      <c r="C10" s="195">
        <v>1</v>
      </c>
      <c r="D10" s="156"/>
      <c r="E10" s="156"/>
      <c r="F10" s="197"/>
      <c r="G10" s="278" t="s">
        <v>11</v>
      </c>
      <c r="H10" s="277"/>
    </row>
    <row r="11" spans="1:10" ht="14.25">
      <c r="A11" s="7"/>
      <c r="B11" s="189" t="s">
        <v>12</v>
      </c>
      <c r="C11" s="198">
        <v>46295</v>
      </c>
      <c r="D11" s="156"/>
      <c r="E11" s="156"/>
      <c r="F11" s="199"/>
      <c r="G11" s="278" t="s">
        <v>13</v>
      </c>
      <c r="H11" s="277"/>
    </row>
    <row r="12" spans="1:10" ht="14.25">
      <c r="A12" s="7"/>
      <c r="D12" s="156"/>
      <c r="E12" s="156"/>
      <c r="F12" s="200"/>
      <c r="G12" s="278" t="s">
        <v>14</v>
      </c>
      <c r="H12" s="277"/>
    </row>
    <row r="13" spans="1:10" ht="14.25">
      <c r="A13" s="7"/>
      <c r="D13" s="156"/>
      <c r="E13" s="156"/>
      <c r="F13" s="201"/>
      <c r="G13" s="278" t="s">
        <v>15</v>
      </c>
      <c r="H13" s="277"/>
    </row>
    <row r="14" spans="1:10">
      <c r="A14" s="7"/>
      <c r="D14" s="156"/>
      <c r="E14" s="156"/>
      <c r="F14" s="2"/>
      <c r="G14" s="280"/>
    </row>
    <row r="15" spans="1:10">
      <c r="C15" s="156"/>
      <c r="F15" s="156"/>
      <c r="G15"/>
      <c r="H15" s="156"/>
      <c r="J15" s="156"/>
    </row>
    <row r="16" spans="1:10">
      <c r="C16" s="156"/>
      <c r="F16" s="156"/>
      <c r="G16"/>
      <c r="H16" s="156"/>
      <c r="J16" s="156"/>
    </row>
    <row r="17" spans="3:10">
      <c r="C17" s="156"/>
      <c r="F17" s="156"/>
      <c r="G17"/>
      <c r="H17" s="156"/>
      <c r="J17" s="156"/>
    </row>
    <row r="18" spans="3:10">
      <c r="C18" s="156"/>
      <c r="F18" s="156"/>
      <c r="G18"/>
      <c r="H18" s="156"/>
      <c r="J18" s="156"/>
    </row>
    <row r="19" spans="3:10">
      <c r="C19" s="156"/>
      <c r="F19" s="156"/>
      <c r="G19"/>
      <c r="H19" s="156"/>
      <c r="J19" s="156"/>
    </row>
    <row r="20" spans="3:10">
      <c r="C20" s="156"/>
      <c r="F20" s="156"/>
      <c r="G20"/>
      <c r="H20" s="156"/>
      <c r="J20" s="156"/>
    </row>
    <row r="21" spans="3:10">
      <c r="J21" s="156"/>
    </row>
    <row r="22" spans="3:10">
      <c r="C22" s="156"/>
      <c r="F22" s="156"/>
      <c r="G22"/>
      <c r="H22" s="156"/>
      <c r="J22" s="156"/>
    </row>
    <row r="23" spans="3:10">
      <c r="C23" s="156"/>
      <c r="F23" s="156"/>
      <c r="G23"/>
      <c r="H23" s="156"/>
      <c r="J23" s="156"/>
    </row>
    <row r="24" spans="3:10">
      <c r="C24" s="156"/>
      <c r="F24" s="156"/>
      <c r="G24"/>
      <c r="H24" s="156"/>
      <c r="J24" s="156"/>
    </row>
    <row r="25" spans="3:10">
      <c r="C25" s="156"/>
      <c r="F25" s="156"/>
      <c r="G25"/>
      <c r="H25" s="156"/>
      <c r="J25" s="156"/>
    </row>
    <row r="26" spans="3:10">
      <c r="C26" s="156"/>
      <c r="F26" s="156"/>
      <c r="G26"/>
      <c r="H26" s="156"/>
      <c r="J26" s="156"/>
    </row>
    <row r="27" spans="3:10">
      <c r="C27" s="156"/>
      <c r="F27" s="156"/>
      <c r="G27"/>
      <c r="H27" s="156"/>
      <c r="J27" s="156"/>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Footer>&amp;C_x000D_&amp;1#&amp;"Calibri"&amp;10&amp;K000000 OFFICIAL-InternalOnly</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zoomScale="80" zoomScaleNormal="80" workbookViewId="0">
      <selection activeCell="H42" sqref="H42:I55"/>
    </sheetView>
  </sheetViews>
  <sheetFormatPr defaultRowHeight="12.75"/>
  <cols>
    <col min="1" max="1" width="9.25" customWidth="1"/>
    <col min="2" max="2" width="84.875" bestFit="1" customWidth="1"/>
    <col min="3" max="3" width="17.75" customWidth="1"/>
    <col min="4" max="4" width="16.875" customWidth="1"/>
    <col min="5" max="5" width="11.75" customWidth="1"/>
    <col min="6" max="6" width="13.125" bestFit="1" customWidth="1"/>
    <col min="7" max="7" width="19.5" customWidth="1"/>
    <col min="8" max="8" width="11.5" bestFit="1" customWidth="1"/>
    <col min="9" max="9" width="11.875" customWidth="1"/>
    <col min="10" max="10" width="12.375" customWidth="1"/>
    <col min="11" max="11" width="11.25" customWidth="1"/>
    <col min="12" max="12" width="15.875" customWidth="1"/>
    <col min="13" max="13" width="11.875" customWidth="1"/>
    <col min="14" max="14" width="12.75" customWidth="1"/>
  </cols>
  <sheetData>
    <row r="1" spans="1:14" ht="20.25">
      <c r="A1" s="824" t="s">
        <v>16</v>
      </c>
      <c r="B1" s="847"/>
      <c r="C1" s="847"/>
      <c r="D1" s="847"/>
      <c r="E1" s="847"/>
      <c r="F1" s="847"/>
      <c r="G1" s="847"/>
      <c r="H1" s="847"/>
      <c r="I1" s="847"/>
      <c r="J1" s="847"/>
      <c r="K1" s="847"/>
      <c r="L1" s="847"/>
      <c r="M1" s="847"/>
      <c r="N1" s="236"/>
    </row>
    <row r="2" spans="1:14" ht="20.25">
      <c r="A2" s="825" t="str">
        <f>Licensee</f>
        <v>NGED-SWALES</v>
      </c>
      <c r="B2" s="96"/>
      <c r="C2" s="96"/>
      <c r="D2" s="96"/>
      <c r="E2" s="96"/>
      <c r="F2" s="96"/>
      <c r="G2" s="96"/>
      <c r="H2" s="96"/>
      <c r="I2" s="96"/>
      <c r="J2" s="96"/>
      <c r="K2" s="96"/>
      <c r="L2" s="96"/>
      <c r="M2" s="96"/>
      <c r="N2" s="98"/>
    </row>
    <row r="3" spans="1:14" ht="20.25">
      <c r="A3" s="823">
        <f>Reporting_Year</f>
        <v>2026</v>
      </c>
      <c r="B3" s="202"/>
      <c r="C3" s="202"/>
      <c r="D3" s="202"/>
      <c r="E3" s="202"/>
      <c r="F3" s="202"/>
      <c r="G3" s="202"/>
      <c r="H3" s="202"/>
      <c r="I3" s="202"/>
      <c r="J3" s="202"/>
      <c r="K3" s="202"/>
      <c r="L3" s="202"/>
      <c r="M3" s="202"/>
      <c r="N3" s="99"/>
    </row>
    <row r="6" spans="1:14">
      <c r="B6" s="189" t="s">
        <v>17</v>
      </c>
      <c r="C6" s="205">
        <f>INDEX(O63:U91,MATCH(Licensee,Data!B63:B91,0),MATCH(Reporting_Year,Data!O62:U62,0))</f>
        <v>5.4475396000000002E-2</v>
      </c>
      <c r="F6" s="791" t="s">
        <v>18</v>
      </c>
      <c r="G6" s="34"/>
      <c r="H6" s="182" t="s">
        <v>19</v>
      </c>
      <c r="I6" s="204" t="s">
        <v>20</v>
      </c>
    </row>
    <row r="7" spans="1:14">
      <c r="B7" s="189" t="s">
        <v>21</v>
      </c>
      <c r="C7" s="205">
        <f>SUMIF(Data!$B$62:$B$91,'RFPR cover'!C7,Data!$C$62:$C$91)</f>
        <v>0.5</v>
      </c>
      <c r="F7" s="206">
        <v>0.1</v>
      </c>
      <c r="G7" s="69"/>
      <c r="H7" s="182" t="s">
        <v>22</v>
      </c>
      <c r="I7" s="183" t="s">
        <v>23</v>
      </c>
    </row>
    <row r="8" spans="1:14">
      <c r="B8" s="189" t="s">
        <v>24</v>
      </c>
      <c r="C8" s="203">
        <f>SUMIF(Data!$B$62:$B$91,'RFPR cover'!C7,Data!$D$62:$D$91)</f>
        <v>0.6</v>
      </c>
      <c r="H8" s="182" t="s">
        <v>25</v>
      </c>
      <c r="I8" s="183" t="s">
        <v>23</v>
      </c>
    </row>
    <row r="9" spans="1:14">
      <c r="B9" s="132" t="s">
        <v>26</v>
      </c>
      <c r="C9" s="192" t="str">
        <f>INDEX(Data!$F$63:$F$91,MATCH('RFPR cover'!$C$7,Data!$B$63:$B$91,0),0)</f>
        <v>£m 20/21</v>
      </c>
      <c r="H9" s="182" t="s">
        <v>27</v>
      </c>
      <c r="I9" s="183" t="s">
        <v>23</v>
      </c>
    </row>
    <row r="10" spans="1:14">
      <c r="B10" s="132" t="s">
        <v>28</v>
      </c>
      <c r="C10" s="268" t="e">
        <f>INDEX(Data!$M$315:$S$343,MATCH('RFPR cover'!$C$7,Data!$L$315:$L$343,0),MATCH(#REF!,Data!$M$314:$S$314,0))</f>
        <v>#REF!</v>
      </c>
      <c r="H10" s="182" t="s">
        <v>29</v>
      </c>
      <c r="I10" s="183" t="s">
        <v>23</v>
      </c>
    </row>
    <row r="11" spans="1:14">
      <c r="B11" s="132" t="s">
        <v>30</v>
      </c>
      <c r="C11" s="268" t="e">
        <f>INDEX(Data!$M$350:$S$378,MATCH('RFPR cover'!$C$7,Data!$L$350:$L$378,0),MATCH(#REF!,Data!$M$349:$S$349,0))</f>
        <v>#REF!</v>
      </c>
      <c r="H11" s="115"/>
      <c r="I11" s="265"/>
    </row>
    <row r="13" spans="1:14">
      <c r="A13" s="7"/>
      <c r="B13" s="207" t="s">
        <v>31</v>
      </c>
      <c r="C13" s="153">
        <v>0.19</v>
      </c>
      <c r="D13" s="222">
        <v>0.19</v>
      </c>
      <c r="E13" s="222">
        <v>0.19</v>
      </c>
      <c r="F13" s="222">
        <v>0.19</v>
      </c>
      <c r="G13" s="153">
        <v>0.19</v>
      </c>
      <c r="H13" s="153">
        <v>0.25</v>
      </c>
      <c r="I13" s="153">
        <v>0.25</v>
      </c>
      <c r="J13" s="153">
        <v>0.25</v>
      </c>
      <c r="K13" s="152">
        <v>0.25</v>
      </c>
      <c r="L13" s="152">
        <v>0.25</v>
      </c>
      <c r="M13" s="152">
        <v>0.25</v>
      </c>
      <c r="N13" s="152">
        <v>0.25</v>
      </c>
    </row>
    <row r="15" spans="1:14">
      <c r="A15" s="1" t="s">
        <v>32</v>
      </c>
      <c r="B15" s="1" t="s">
        <v>33</v>
      </c>
    </row>
    <row r="16" spans="1:14">
      <c r="B16" s="207" t="s">
        <v>34</v>
      </c>
      <c r="C16" s="208" t="str">
        <f t="shared" ref="C16:N16" si="0">IF(VALUE(C18)&lt;=Reporting_Year,"Actual","Forecast")</f>
        <v>Actual</v>
      </c>
      <c r="D16" s="208" t="str">
        <f t="shared" si="0"/>
        <v>Actual</v>
      </c>
      <c r="E16" s="208" t="str">
        <f t="shared" si="0"/>
        <v>Actual</v>
      </c>
      <c r="F16" s="208" t="str">
        <f t="shared" si="0"/>
        <v>Actual</v>
      </c>
      <c r="G16" s="208" t="str">
        <f t="shared" si="0"/>
        <v>Actual</v>
      </c>
      <c r="H16" s="208" t="str">
        <f t="shared" si="0"/>
        <v>Actual</v>
      </c>
      <c r="I16" s="208" t="str">
        <f t="shared" si="0"/>
        <v>Actual</v>
      </c>
      <c r="J16" s="208" t="str">
        <f t="shared" si="0"/>
        <v>Actual</v>
      </c>
      <c r="K16" s="208" t="str">
        <f t="shared" si="0"/>
        <v>Forecast</v>
      </c>
      <c r="L16" s="208" t="str">
        <f t="shared" si="0"/>
        <v>Forecast</v>
      </c>
      <c r="M16" s="208" t="str">
        <f t="shared" si="0"/>
        <v>Forecast</v>
      </c>
      <c r="N16" s="208" t="str">
        <f t="shared" si="0"/>
        <v>Forecast</v>
      </c>
    </row>
    <row r="17" spans="1:22">
      <c r="B17" s="207" t="s">
        <v>35</v>
      </c>
      <c r="C17" s="209">
        <v>43555</v>
      </c>
      <c r="D17" s="210">
        <v>43921</v>
      </c>
      <c r="E17" s="210">
        <v>44286</v>
      </c>
      <c r="F17" s="210">
        <v>44651</v>
      </c>
      <c r="G17" s="210">
        <v>45016</v>
      </c>
      <c r="H17" s="209">
        <v>45382</v>
      </c>
      <c r="I17" s="209">
        <v>45747</v>
      </c>
      <c r="J17" s="209">
        <v>46112</v>
      </c>
      <c r="K17" s="209">
        <v>46477</v>
      </c>
      <c r="L17" s="209">
        <v>46843</v>
      </c>
      <c r="M17" s="209">
        <v>47208</v>
      </c>
      <c r="N17" s="209">
        <v>47573</v>
      </c>
    </row>
    <row r="18" spans="1:22">
      <c r="B18" s="207" t="s">
        <v>36</v>
      </c>
      <c r="C18" s="211">
        <v>2019</v>
      </c>
      <c r="D18" s="212">
        <v>2020</v>
      </c>
      <c r="E18" s="211">
        <v>2021</v>
      </c>
      <c r="F18" s="212">
        <v>2022</v>
      </c>
      <c r="G18" s="211">
        <v>2023</v>
      </c>
      <c r="H18" s="212">
        <v>2024</v>
      </c>
      <c r="I18" s="211">
        <v>2025</v>
      </c>
      <c r="J18" s="212">
        <v>2026</v>
      </c>
      <c r="K18" s="211">
        <v>2027</v>
      </c>
      <c r="L18" s="212">
        <v>2028</v>
      </c>
      <c r="M18" s="211">
        <v>2029</v>
      </c>
      <c r="N18" s="212">
        <v>2030</v>
      </c>
    </row>
    <row r="19" spans="1:22">
      <c r="B19" s="213" t="s">
        <v>37</v>
      </c>
      <c r="C19" s="262">
        <v>283.30833333333334</v>
      </c>
      <c r="D19" s="263">
        <v>290.64166666666665</v>
      </c>
      <c r="E19" s="263">
        <v>294.16666666666669</v>
      </c>
      <c r="F19" s="263">
        <v>307.32821397646848</v>
      </c>
      <c r="G19" s="263">
        <v>334.29358180068937</v>
      </c>
      <c r="H19" s="263">
        <v>352.83651735739545</v>
      </c>
      <c r="I19" s="263">
        <v>364.17963178219367</v>
      </c>
      <c r="J19" s="263">
        <v>374.87823436926919</v>
      </c>
      <c r="K19" s="275">
        <f t="shared" ref="K19:N21" si="1">J19*(1+K$22)</f>
        <v>382.37579905665456</v>
      </c>
      <c r="L19" s="275">
        <f t="shared" si="1"/>
        <v>390.02331503778765</v>
      </c>
      <c r="M19" s="275">
        <f t="shared" si="1"/>
        <v>397.82378133854343</v>
      </c>
      <c r="N19" s="275">
        <f t="shared" si="1"/>
        <v>405.78025696531432</v>
      </c>
    </row>
    <row r="20" spans="1:22">
      <c r="B20" s="213" t="s">
        <v>38</v>
      </c>
      <c r="C20" s="262">
        <v>286.64999999999998</v>
      </c>
      <c r="D20" s="263">
        <v>292.60000000000002</v>
      </c>
      <c r="E20" s="263">
        <v>298.42363263445759</v>
      </c>
      <c r="F20" s="263">
        <v>319.91658048382931</v>
      </c>
      <c r="G20" s="263">
        <v>346.54233410371501</v>
      </c>
      <c r="H20" s="263">
        <v>358.36090841458258</v>
      </c>
      <c r="I20" s="263">
        <v>370.2598320965842</v>
      </c>
      <c r="J20" s="263">
        <v>378.51933470976837</v>
      </c>
      <c r="K20" s="275">
        <f t="shared" si="1"/>
        <v>386.08972140396372</v>
      </c>
      <c r="L20" s="275">
        <f t="shared" si="1"/>
        <v>393.81151583204303</v>
      </c>
      <c r="M20" s="275">
        <f t="shared" si="1"/>
        <v>401.68774614868391</v>
      </c>
      <c r="N20" s="275">
        <f t="shared" si="1"/>
        <v>409.7215010716576</v>
      </c>
    </row>
    <row r="21" spans="1:22">
      <c r="A21" s="7"/>
      <c r="B21" s="109" t="s">
        <v>39</v>
      </c>
      <c r="C21" s="264">
        <v>106.43333333333334</v>
      </c>
      <c r="D21" s="264">
        <v>108.24166666666663</v>
      </c>
      <c r="E21" s="264">
        <v>109.10833333333335</v>
      </c>
      <c r="F21" s="264">
        <v>113.11666666666667</v>
      </c>
      <c r="G21" s="264">
        <v>123.04166666666664</v>
      </c>
      <c r="H21" s="264">
        <v>129.86666666666665</v>
      </c>
      <c r="I21" s="264">
        <v>134.04166666666663</v>
      </c>
      <c r="J21" s="264">
        <v>137.97944461091365</v>
      </c>
      <c r="K21" s="275">
        <f t="shared" si="1"/>
        <v>140.73903350313194</v>
      </c>
      <c r="L21" s="275">
        <f t="shared" si="1"/>
        <v>143.55381417319458</v>
      </c>
      <c r="M21" s="275">
        <f t="shared" si="1"/>
        <v>146.42489045665849</v>
      </c>
      <c r="N21" s="275">
        <f t="shared" si="1"/>
        <v>149.35338826579166</v>
      </c>
      <c r="U21" s="107"/>
      <c r="V21" s="107"/>
    </row>
    <row r="22" spans="1:22" ht="15">
      <c r="A22" s="7"/>
      <c r="B22" s="207" t="s">
        <v>40</v>
      </c>
      <c r="C22" s="109"/>
      <c r="D22" s="109"/>
      <c r="E22" s="109"/>
      <c r="F22" s="109"/>
      <c r="G22" s="109"/>
      <c r="H22" s="110"/>
      <c r="I22" s="109"/>
      <c r="J22" s="109"/>
      <c r="K22" s="153">
        <v>0.02</v>
      </c>
      <c r="L22" s="153">
        <v>0.02</v>
      </c>
      <c r="M22" s="153">
        <v>0.02</v>
      </c>
      <c r="N22" s="153">
        <v>0.02</v>
      </c>
      <c r="O22" s="817" t="s">
        <v>41</v>
      </c>
      <c r="U22" s="107"/>
      <c r="V22" s="107"/>
    </row>
    <row r="23" spans="1:22" ht="15">
      <c r="A23" s="7"/>
      <c r="H23" s="108"/>
      <c r="K23" s="760"/>
      <c r="L23" s="760"/>
      <c r="M23" s="760"/>
      <c r="N23" s="760"/>
      <c r="O23" s="817"/>
      <c r="U23" s="107"/>
      <c r="V23" s="107"/>
    </row>
    <row r="24" spans="1:22">
      <c r="A24" s="761" t="s">
        <v>42</v>
      </c>
      <c r="B24" s="1" t="s">
        <v>43</v>
      </c>
      <c r="U24" s="107"/>
      <c r="V24" s="107"/>
    </row>
    <row r="25" spans="1:22">
      <c r="A25" s="7"/>
      <c r="B25" s="207" t="s">
        <v>34</v>
      </c>
      <c r="C25" s="208" t="str">
        <f t="shared" ref="C25:N25" si="2">IF(VALUE(C27)&lt;=Reporting_Year,"Actual","Forecast")</f>
        <v>Actual</v>
      </c>
      <c r="D25" s="208" t="str">
        <f t="shared" si="2"/>
        <v>Actual</v>
      </c>
      <c r="E25" s="208" t="str">
        <f t="shared" si="2"/>
        <v>Actual</v>
      </c>
      <c r="F25" s="208" t="str">
        <f t="shared" si="2"/>
        <v>Actual</v>
      </c>
      <c r="G25" s="208" t="str">
        <f t="shared" si="2"/>
        <v>Actual</v>
      </c>
      <c r="H25" s="208" t="str">
        <f t="shared" si="2"/>
        <v>Actual</v>
      </c>
      <c r="I25" s="208" t="str">
        <f t="shared" si="2"/>
        <v>Actual</v>
      </c>
      <c r="J25" s="208" t="str">
        <f t="shared" si="2"/>
        <v>Actual</v>
      </c>
      <c r="K25" s="208" t="str">
        <f t="shared" si="2"/>
        <v>Forecast</v>
      </c>
      <c r="L25" s="208" t="str">
        <f t="shared" si="2"/>
        <v>Forecast</v>
      </c>
      <c r="M25" s="208" t="str">
        <f t="shared" si="2"/>
        <v>Forecast</v>
      </c>
      <c r="N25" s="208" t="str">
        <f t="shared" si="2"/>
        <v>Forecast</v>
      </c>
      <c r="U25" s="107"/>
      <c r="V25" s="107"/>
    </row>
    <row r="26" spans="1:22">
      <c r="A26" s="7"/>
      <c r="B26" s="207" t="s">
        <v>35</v>
      </c>
      <c r="C26" s="209">
        <v>43555</v>
      </c>
      <c r="D26" s="210">
        <v>43921</v>
      </c>
      <c r="E26" s="210">
        <v>44286</v>
      </c>
      <c r="F26" s="210">
        <v>44651</v>
      </c>
      <c r="G26" s="210">
        <v>45016</v>
      </c>
      <c r="H26" s="209">
        <v>45382</v>
      </c>
      <c r="I26" s="209">
        <v>45747</v>
      </c>
      <c r="J26" s="209">
        <v>46112</v>
      </c>
      <c r="K26" s="209">
        <v>46477</v>
      </c>
      <c r="L26" s="209">
        <v>46843</v>
      </c>
      <c r="M26" s="209">
        <v>47208</v>
      </c>
      <c r="N26" s="209">
        <v>47573</v>
      </c>
      <c r="U26" s="107"/>
      <c r="V26" s="107"/>
    </row>
    <row r="27" spans="1:22">
      <c r="A27" s="7"/>
      <c r="B27" s="207" t="s">
        <v>36</v>
      </c>
      <c r="C27" s="211">
        <v>2019</v>
      </c>
      <c r="D27" s="212">
        <v>2020</v>
      </c>
      <c r="E27" s="211">
        <v>2021</v>
      </c>
      <c r="F27" s="212">
        <v>2022</v>
      </c>
      <c r="G27" s="211">
        <v>2023</v>
      </c>
      <c r="H27" s="212">
        <v>2024</v>
      </c>
      <c r="I27" s="211">
        <v>2025</v>
      </c>
      <c r="J27" s="212">
        <v>2026</v>
      </c>
      <c r="K27" s="775">
        <v>2027</v>
      </c>
      <c r="L27" s="776">
        <v>2028</v>
      </c>
      <c r="M27" s="775">
        <v>2029</v>
      </c>
      <c r="N27" s="776">
        <v>2030</v>
      </c>
      <c r="U27" s="107"/>
      <c r="V27" s="107"/>
    </row>
    <row r="28" spans="1:22">
      <c r="A28" s="7"/>
      <c r="B28" s="213" t="s">
        <v>37</v>
      </c>
      <c r="C28" s="262">
        <v>283.30833333333334</v>
      </c>
      <c r="D28" s="263">
        <v>290.64166666666665</v>
      </c>
      <c r="E28" s="263">
        <v>294.16666666666669</v>
      </c>
      <c r="F28" s="263">
        <v>311.1583333333333</v>
      </c>
      <c r="G28" s="263">
        <v>351.2166666666667</v>
      </c>
      <c r="H28" s="263">
        <v>376.71650221738128</v>
      </c>
      <c r="I28" s="263">
        <v>388.82731892752673</v>
      </c>
      <c r="J28" s="774">
        <v>403.54885061710502</v>
      </c>
      <c r="K28" s="777">
        <v>415.14146471244845</v>
      </c>
      <c r="L28" s="778">
        <v>423.32586339557884</v>
      </c>
      <c r="M28" s="779">
        <f t="shared" ref="M28:M29" si="3">L28*(1+M$22)</f>
        <v>431.79238066349041</v>
      </c>
      <c r="N28" s="779">
        <f t="shared" ref="N28:N29" si="4">M28*(1+N$22)</f>
        <v>440.42822827676019</v>
      </c>
      <c r="U28" s="107"/>
      <c r="V28" s="107"/>
    </row>
    <row r="29" spans="1:22">
      <c r="A29" s="7"/>
      <c r="B29" s="207" t="s">
        <v>38</v>
      </c>
      <c r="C29" s="262">
        <v>286.64999999999998</v>
      </c>
      <c r="D29" s="263">
        <v>292.60000000000002</v>
      </c>
      <c r="E29" s="263">
        <v>299</v>
      </c>
      <c r="F29" s="263">
        <v>329.05</v>
      </c>
      <c r="G29" s="263">
        <v>369.68596214511041</v>
      </c>
      <c r="H29" s="263">
        <v>382.61478420795106</v>
      </c>
      <c r="I29" s="263">
        <v>397.11875631590988</v>
      </c>
      <c r="J29" s="774">
        <v>409.88225177091368</v>
      </c>
      <c r="K29" s="777">
        <v>419.20303076761189</v>
      </c>
      <c r="L29" s="778">
        <v>427.13291546835188</v>
      </c>
      <c r="M29" s="779">
        <f t="shared" si="3"/>
        <v>435.67557377771891</v>
      </c>
      <c r="N29" s="779">
        <f t="shared" si="4"/>
        <v>444.38908525327332</v>
      </c>
      <c r="U29" s="107"/>
      <c r="V29" s="107"/>
    </row>
    <row r="31" spans="1:22" ht="14.25" customHeight="1">
      <c r="B31" s="1" t="s">
        <v>44</v>
      </c>
      <c r="M31" s="10"/>
    </row>
    <row r="32" spans="1:22" ht="48.75" customHeight="1">
      <c r="E32" s="208" t="str">
        <f>IF(E33&lt;='RFPR cover'!$C$9,"Actuals","Forecast")</f>
        <v>Actuals</v>
      </c>
      <c r="F32" s="208" t="str">
        <f>IF(F33&lt;='RFPR cover'!$C$9,"Actuals","Forecast")</f>
        <v>Actuals</v>
      </c>
      <c r="G32" s="208" t="str">
        <f>IF(G33&lt;='RFPR cover'!$C$9,"Actuals","Forecast")</f>
        <v>Actuals</v>
      </c>
      <c r="H32" s="208" t="str">
        <f>IF(H33&lt;='RFPR cover'!$C$9,"Actuals","Forecast")</f>
        <v>Actuals</v>
      </c>
      <c r="I32" s="208" t="str">
        <f>IF(I33&lt;='RFPR cover'!$C$9,"Actuals","Forecast")</f>
        <v>Actuals</v>
      </c>
      <c r="J32" s="208" t="str">
        <f>IF(J33&lt;='RFPR cover'!$C$9,"Actuals","Forecast")</f>
        <v>Actuals</v>
      </c>
      <c r="K32" s="208" t="str">
        <f>IF(K33&lt;='RFPR cover'!$C$9,"Actuals","Forecast")</f>
        <v>Forecast</v>
      </c>
      <c r="L32" s="208" t="str">
        <f>IF(L33&lt;='RFPR cover'!$C$9,"Actuals","Forecast")</f>
        <v>Forecast</v>
      </c>
      <c r="M32" s="115"/>
      <c r="N32" s="292"/>
      <c r="O32" s="292"/>
      <c r="P32" s="292"/>
      <c r="Q32" s="292"/>
      <c r="R32" s="292"/>
      <c r="S32" s="292"/>
    </row>
    <row r="33" spans="1:23" ht="58.5" customHeight="1">
      <c r="E33" s="133">
        <v>2021</v>
      </c>
      <c r="F33" s="134">
        <f t="shared" ref="F33:L33" si="5">E33+1</f>
        <v>2022</v>
      </c>
      <c r="G33" s="134">
        <f t="shared" si="5"/>
        <v>2023</v>
      </c>
      <c r="H33" s="134">
        <f t="shared" si="5"/>
        <v>2024</v>
      </c>
      <c r="I33" s="134">
        <f t="shared" si="5"/>
        <v>2025</v>
      </c>
      <c r="J33" s="134">
        <f t="shared" si="5"/>
        <v>2026</v>
      </c>
      <c r="K33" s="134">
        <f t="shared" si="5"/>
        <v>2027</v>
      </c>
      <c r="L33" s="134">
        <f t="shared" si="5"/>
        <v>2028</v>
      </c>
      <c r="M33" s="115"/>
    </row>
    <row r="34" spans="1:23" ht="71.25" customHeight="1">
      <c r="A34" s="106"/>
      <c r="D34" s="214" t="s">
        <v>45</v>
      </c>
      <c r="E34" s="801">
        <f>IF(SectorCov="ED2",E28/INDEX($C$28:$N$28,MATCH($E$27,$C$27:$N$27,0)),E19/INDEX($C$19:$N$19,MATCH($C$18,$C$18:$N$18,0)))</f>
        <v>1</v>
      </c>
      <c r="F34" s="801">
        <f t="shared" ref="F34:L34" si="6">IF(SectorCov="ED2",F28/INDEX($C$28:$N$28,MATCH($E$27,$C$27:$N$27,0)),F19/INDEX($C$19:$N$19,MATCH($C$18,$C$18:$N$18,0)))</f>
        <v>1.0577620396600564</v>
      </c>
      <c r="G34" s="801">
        <f t="shared" si="6"/>
        <v>1.1939376770538244</v>
      </c>
      <c r="H34" s="801">
        <f t="shared" si="6"/>
        <v>1.2806226704273584</v>
      </c>
      <c r="I34" s="801">
        <f t="shared" si="6"/>
        <v>1.321792585589326</v>
      </c>
      <c r="J34" s="801">
        <f t="shared" si="6"/>
        <v>1.3718374525227366</v>
      </c>
      <c r="K34" s="801">
        <f t="shared" si="6"/>
        <v>1.4112457723935923</v>
      </c>
      <c r="L34" s="801">
        <f t="shared" si="6"/>
        <v>1.4390680908631575</v>
      </c>
    </row>
    <row r="35" spans="1:23" ht="59.65" customHeight="1">
      <c r="A35" s="106"/>
      <c r="B35" s="106"/>
      <c r="C35" s="106"/>
      <c r="D35" s="121" t="s">
        <v>46</v>
      </c>
      <c r="E35" s="801">
        <f>IF(Sector="ED2",INDEX(Data!$C$28:$N$28,MATCH(E$33,Data!$C$27:$N$27,0))/INDEX(Data!$C$28:$N$28,MATCH(E$33-1,Data!$C$27:$N$27,0)),INDEX(Data!$C$19:$N$19,MATCH(E$33,Data!$C$18:$N$18,0))/INDEX(Data!$C$19:$N$19,MATCH(E$33-1,Data!$C$18:$N$18,0)))</f>
        <v>1.0121283367262093</v>
      </c>
      <c r="F35" s="801">
        <f>IF(Sector="ED2",INDEX(Data!$C$28:$N$28,MATCH(F$33,Data!$C$27:$N$27,0))/INDEX(Data!$C$28:$N$28,MATCH(F$33-1,Data!$C$27:$N$27,0)),INDEX(Data!$C$19:$N$19,MATCH(F$33,Data!$C$18:$N$18,0))/INDEX(Data!$C$19:$N$19,MATCH(F$33-1,Data!$C$18:$N$18,0)))</f>
        <v>1.0577620396600564</v>
      </c>
      <c r="G35" s="801">
        <f>IF(Sector="ED2",INDEX(Data!$C$28:$N$28,MATCH(G$33,Data!$C$27:$N$27,0))/INDEX(Data!$C$28:$N$28,MATCH(G$33-1,Data!$C$27:$N$27,0)),INDEX(Data!$C$19:$N$19,MATCH(G$33,Data!$C$18:$N$18,0))/INDEX(Data!$C$19:$N$19,MATCH(G$33-1,Data!$C$18:$N$18,0)))</f>
        <v>1.1287393877714991</v>
      </c>
      <c r="H35" s="801">
        <f>IF(Sector="ED2",INDEX(Data!$C$28:$N$28,MATCH(H$33,Data!$C$27:$N$27,0))/INDEX(Data!$C$28:$N$28,MATCH(H$33-1,Data!$C$27:$N$27,0)),INDEX(Data!$C$19:$N$19,MATCH(H$33,Data!$C$18:$N$18,0))/INDEX(Data!$C$19:$N$19,MATCH(H$33-1,Data!$C$18:$N$18,0)))</f>
        <v>1.0726042866721812</v>
      </c>
      <c r="I35" s="801">
        <f>IF(Sector="ED2",INDEX(Data!$C$28:$N$28,MATCH(I$33,Data!$C$27:$N$27,0))/INDEX(Data!$C$28:$N$28,MATCH(I$33-1,Data!$C$27:$N$27,0)),INDEX(Data!$C$19:$N$19,MATCH(I$33,Data!$C$18:$N$18,0))/INDEX(Data!$C$19:$N$19,MATCH(I$33-1,Data!$C$18:$N$18,0)))</f>
        <v>1.0321483572895276</v>
      </c>
      <c r="J35" s="801">
        <f>IF(Sector="ED2",INDEX(Data!$C$28:$N$28,MATCH(J$33,Data!$C$27:$N$27,0))/INDEX(Data!$C$28:$N$28,MATCH(J$33-1,Data!$C$27:$N$27,0)),INDEX(Data!$C$19:$N$19,MATCH(J$33,Data!$C$18:$N$18,0))/INDEX(Data!$C$19:$N$19,MATCH(J$33-1,Data!$C$18:$N$18,0)))</f>
        <v>1.0378613615169416</v>
      </c>
      <c r="K35" s="801">
        <f>IF(Sector="ED2",INDEX(Data!$C$28:$N$28,MATCH(K$33,Data!$C$27:$N$27,0))/INDEX(Data!$C$28:$N$28,MATCH(K$33-1,Data!$C$27:$N$27,0)),INDEX(Data!$C$19:$N$19,MATCH(K$33,Data!$C$18:$N$18,0))/INDEX(Data!$C$19:$N$19,MATCH(K$33-1,Data!$C$18:$N$18,0)))</f>
        <v>1.0287266685993928</v>
      </c>
      <c r="L35" s="801">
        <f>IF(Sector="ED2",INDEX(Data!$C$28:$N$28,MATCH(L$33,Data!$C$27:$N$27,0))/INDEX(Data!$C$28:$N$28,MATCH(L$33-1,Data!$C$27:$N$27,0)),INDEX(Data!$C$19:$N$19,MATCH(L$33,Data!$C$18:$N$18,0))/INDEX(Data!$C$19:$N$19,MATCH(L$33-1,Data!$C$18:$N$18,0)))</f>
        <v>1.0197147222785836</v>
      </c>
      <c r="M35" s="115"/>
      <c r="N35" s="108"/>
      <c r="O35" s="108"/>
      <c r="P35" s="108"/>
      <c r="Q35" s="108"/>
      <c r="R35" s="108"/>
      <c r="S35" s="108"/>
      <c r="T35" s="108"/>
      <c r="U35" s="108"/>
      <c r="V35" s="108"/>
      <c r="W35" s="108"/>
    </row>
    <row r="36" spans="1:23" ht="63.75">
      <c r="A36" s="106"/>
      <c r="D36" s="121" t="s">
        <v>47</v>
      </c>
      <c r="E36" s="801">
        <f>IF(SectorCov="ED2",INDEX(Data!$C$29:$N$29,MATCH(E$33,Data!$C$27:$N$27,0))/Data!$E$28,INDEX(Data!$C$20:$N$20,MATCH(E$33,Data!$C$18:$N$18,0))/Data!$C$19)</f>
        <v>1.0164305949008499</v>
      </c>
      <c r="F36" s="801">
        <f>IF(SectorCov="ED2",INDEX(Data!$C$29:$N$29,MATCH(F$33,Data!$C$27:$N$27,0))/Data!$E$28,INDEX(Data!$C$20:$N$20,MATCH(F$33,Data!$C$18:$N$18,0))/Data!$C$19)</f>
        <v>1.1185835694050992</v>
      </c>
      <c r="G36" s="801">
        <f>IF(SectorCov="ED2",INDEX(Data!$C$29:$N$29,MATCH(G$33,Data!$C$27:$N$27,0))/Data!$E$28,INDEX(Data!$C$20:$N$20,MATCH(G$33,Data!$C$18:$N$18,0))/Data!$C$19)</f>
        <v>1.2567228174904603</v>
      </c>
      <c r="H36" s="801">
        <f>IF(SectorCov="ED2",INDEX(Data!$C$29:$N$29,MATCH(H$33,Data!$C$27:$N$27,0))/Data!$E$28,INDEX(Data!$C$20:$N$20,MATCH(H$33,Data!$C$18:$N$18,0))/Data!$C$19)</f>
        <v>1.3006734873924681</v>
      </c>
      <c r="I36" s="801">
        <f>IF(SectorCov="ED2",INDEX(Data!$C$29:$N$29,MATCH(I$33,Data!$C$27:$N$27,0))/Data!$E$28,INDEX(Data!$C$20:$N$20,MATCH(I$33,Data!$C$18:$N$18,0))/Data!$C$19)</f>
        <v>1.3499787750115915</v>
      </c>
      <c r="J36" s="801">
        <f>IF(SectorCov="ED2",INDEX(Data!$C$29:$N$29,MATCH(J$33,Data!$C$27:$N$27,0))/Data!$E$28,INDEX(Data!$C$20:$N$20,MATCH(J$33,Data!$C$18:$N$18,0))/Data!$C$19)</f>
        <v>1.3933674281164203</v>
      </c>
      <c r="K36" s="801">
        <f>IF(SectorCov="ED2",INDEX(Data!$C$29:$N$29,MATCH(K$33,Data!$C$27:$N$27,0))/Data!$E$28,INDEX(Data!$C$20:$N$20,MATCH(K$33,Data!$C$18:$N$18,0))/Data!$C$19)</f>
        <v>1.4250527958105785</v>
      </c>
      <c r="L36" s="801">
        <f>IF(SectorCov="ED2",INDEX(Data!$C$29:$N$29,MATCH(L$33,Data!$C$27:$N$27,0))/Data!$E$28,INDEX(Data!$C$20:$N$20,MATCH(L$33,Data!$C$18:$N$18,0))/Data!$C$19)</f>
        <v>1.4520099109405729</v>
      </c>
      <c r="M36" s="115"/>
    </row>
    <row r="37" spans="1:23" ht="93.75" customHeight="1">
      <c r="A37" s="106"/>
      <c r="B37" s="842" t="s">
        <v>48</v>
      </c>
      <c r="C37" s="11"/>
      <c r="D37" s="11"/>
      <c r="E37" s="11"/>
      <c r="F37" s="11"/>
      <c r="G37" s="11"/>
      <c r="H37" s="11"/>
      <c r="I37" s="11"/>
      <c r="J37" s="11"/>
      <c r="K37" s="11"/>
      <c r="L37" s="11"/>
      <c r="M37" s="11"/>
      <c r="N37" s="11"/>
      <c r="O37" s="11"/>
      <c r="P37" s="11"/>
      <c r="Q37" s="37"/>
    </row>
    <row r="38" spans="1:23">
      <c r="B38" s="86"/>
      <c r="C38" s="106"/>
      <c r="D38" s="106"/>
      <c r="E38" s="106"/>
      <c r="F38" s="106"/>
      <c r="G38" s="106"/>
      <c r="H38" s="106"/>
      <c r="I38" s="106"/>
      <c r="J38" s="106"/>
    </row>
    <row r="39" spans="1:23">
      <c r="B39" s="53"/>
      <c r="C39" s="53"/>
      <c r="D39" s="38"/>
      <c r="E39" s="53"/>
      <c r="F39" s="54"/>
      <c r="G39" s="55"/>
      <c r="H39" s="55"/>
      <c r="I39" s="55"/>
      <c r="J39" s="56"/>
      <c r="K39" s="56"/>
      <c r="L39" s="38"/>
      <c r="M39" s="38"/>
      <c r="N39" s="38"/>
      <c r="O39" s="38"/>
      <c r="P39" s="38"/>
      <c r="Q39" s="38"/>
      <c r="R39" s="38"/>
      <c r="S39" s="38"/>
      <c r="T39" s="38"/>
    </row>
    <row r="40" spans="1:23">
      <c r="B40" s="52" t="s">
        <v>49</v>
      </c>
      <c r="C40" s="34"/>
      <c r="I40" s="14"/>
    </row>
    <row r="41" spans="1:23">
      <c r="C41" s="133">
        <v>2022</v>
      </c>
      <c r="D41" s="134">
        <f t="shared" ref="D41" si="7">C41+1</f>
        <v>2023</v>
      </c>
      <c r="E41" s="134">
        <f t="shared" ref="E41" si="8">D41+1</f>
        <v>2024</v>
      </c>
      <c r="F41" s="134">
        <f t="shared" ref="F41" si="9">E41+1</f>
        <v>2025</v>
      </c>
      <c r="G41" s="134">
        <f t="shared" ref="G41" si="10">F41+1</f>
        <v>2026</v>
      </c>
      <c r="H41" s="134">
        <f t="shared" ref="H41" si="11">G41+1</f>
        <v>2027</v>
      </c>
      <c r="I41" s="134">
        <f t="shared" ref="I41" si="12">H41+1</f>
        <v>2028</v>
      </c>
    </row>
    <row r="42" spans="1:23">
      <c r="B42" s="131" t="s">
        <v>50</v>
      </c>
      <c r="C42" s="122"/>
      <c r="D42" s="123"/>
      <c r="E42" s="117">
        <v>3.04E-2</v>
      </c>
      <c r="F42" s="117">
        <v>3.1099999999999999E-2</v>
      </c>
      <c r="G42" s="117">
        <v>3.1300000000000001E-2</v>
      </c>
      <c r="H42" s="117">
        <v>3.1399999999999997E-2</v>
      </c>
      <c r="I42" s="117">
        <v>3.1399999999999997E-2</v>
      </c>
    </row>
    <row r="43" spans="1:23">
      <c r="B43" s="749" t="s">
        <v>51</v>
      </c>
      <c r="C43" s="750"/>
      <c r="D43" s="751"/>
      <c r="E43" s="752">
        <v>3.04E-2</v>
      </c>
      <c r="F43" s="752">
        <v>3.1099999999999999E-2</v>
      </c>
      <c r="G43" s="752">
        <v>3.1300000000000001E-2</v>
      </c>
      <c r="H43" s="117">
        <v>3.1399999999999997E-2</v>
      </c>
      <c r="I43" s="117">
        <v>3.1399999999999997E-2</v>
      </c>
    </row>
    <row r="44" spans="1:23">
      <c r="B44" s="749" t="s">
        <v>52</v>
      </c>
      <c r="C44" s="750"/>
      <c r="D44" s="751"/>
      <c r="E44" s="752">
        <v>3.04E-2</v>
      </c>
      <c r="F44" s="752">
        <v>3.1099999999999999E-2</v>
      </c>
      <c r="G44" s="752">
        <v>3.1300000000000001E-2</v>
      </c>
      <c r="H44" s="117">
        <v>3.1399999999999997E-2</v>
      </c>
      <c r="I44" s="117">
        <v>3.1399999999999997E-2</v>
      </c>
    </row>
    <row r="45" spans="1:23">
      <c r="A45" s="111"/>
      <c r="B45" s="125" t="s">
        <v>53</v>
      </c>
      <c r="C45" s="124"/>
      <c r="D45" s="70"/>
      <c r="E45" s="118">
        <v>3.1E-2</v>
      </c>
      <c r="F45" s="118">
        <v>3.1699999999999999E-2</v>
      </c>
      <c r="G45" s="118">
        <v>3.1899999999999998E-2</v>
      </c>
      <c r="H45" s="118">
        <v>3.2000000000000001E-2</v>
      </c>
      <c r="I45" s="118">
        <v>3.2000000000000001E-2</v>
      </c>
    </row>
    <row r="46" spans="1:23">
      <c r="A46" s="111"/>
      <c r="B46" s="125" t="s">
        <v>54</v>
      </c>
      <c r="C46" s="125">
        <v>1.8184707641684131E-2</v>
      </c>
      <c r="D46" s="118">
        <v>1.5816904422859705E-2</v>
      </c>
      <c r="E46" s="118">
        <v>1.8016000499583691E-2</v>
      </c>
      <c r="F46" s="118">
        <v>2.3111514046595519E-2</v>
      </c>
      <c r="G46" s="118">
        <v>2.6621070489787287E-2</v>
      </c>
      <c r="H46" s="70"/>
      <c r="I46" s="126"/>
    </row>
    <row r="47" spans="1:23">
      <c r="A47" s="112"/>
      <c r="B47" s="125" t="s">
        <v>55</v>
      </c>
      <c r="C47" s="125">
        <v>2.0500000000000001E-2</v>
      </c>
      <c r="D47" s="118">
        <v>1.9E-2</v>
      </c>
      <c r="E47" s="118">
        <v>1.9199999999999998E-2</v>
      </c>
      <c r="F47" s="118">
        <v>2.1100000000000001E-2</v>
      </c>
      <c r="G47" s="118">
        <v>2.2599999999999999E-2</v>
      </c>
      <c r="H47" s="70"/>
      <c r="I47" s="126"/>
      <c r="N47" s="100"/>
      <c r="O47" s="100"/>
      <c r="P47" s="100"/>
      <c r="Q47" s="100"/>
      <c r="R47" s="100"/>
    </row>
    <row r="48" spans="1:23">
      <c r="A48" s="111"/>
      <c r="B48" s="125" t="s">
        <v>25</v>
      </c>
      <c r="C48" s="125">
        <v>2.0500000000000001E-2</v>
      </c>
      <c r="D48" s="118">
        <v>1.9E-2</v>
      </c>
      <c r="E48" s="118">
        <v>1.9199999999999998E-2</v>
      </c>
      <c r="F48" s="118">
        <v>2.1100000000000001E-2</v>
      </c>
      <c r="G48" s="118">
        <v>2.2599999999999999E-2</v>
      </c>
      <c r="H48" s="70"/>
      <c r="I48" s="126"/>
    </row>
    <row r="49" spans="1:23">
      <c r="A49" s="111"/>
      <c r="B49" s="125" t="s">
        <v>56</v>
      </c>
      <c r="C49" s="125">
        <v>2.1100000000000001E-2</v>
      </c>
      <c r="D49" s="118">
        <v>1.9599999999999999E-2</v>
      </c>
      <c r="E49" s="118">
        <v>1.9799999999999998E-2</v>
      </c>
      <c r="F49" s="118">
        <v>2.1700000000000001E-2</v>
      </c>
      <c r="G49" s="118">
        <v>2.3199999999999998E-2</v>
      </c>
      <c r="H49" s="70"/>
      <c r="I49" s="126"/>
    </row>
    <row r="50" spans="1:23">
      <c r="A50" s="111"/>
      <c r="B50" s="125" t="s">
        <v>27</v>
      </c>
      <c r="C50" s="125">
        <v>2.0500000000000001E-2</v>
      </c>
      <c r="D50" s="118">
        <v>1.9E-2</v>
      </c>
      <c r="E50" s="118">
        <v>1.9199999999999998E-2</v>
      </c>
      <c r="F50" s="118">
        <v>2.1100000000000001E-2</v>
      </c>
      <c r="G50" s="118">
        <v>2.2599999999999999E-2</v>
      </c>
      <c r="H50" s="70"/>
      <c r="I50" s="126"/>
    </row>
    <row r="51" spans="1:23">
      <c r="A51" s="111"/>
      <c r="B51" s="127" t="s">
        <v>29</v>
      </c>
      <c r="C51" s="127">
        <v>-5.9999999999999995E-4</v>
      </c>
      <c r="D51" s="128">
        <v>2.12E-2</v>
      </c>
      <c r="E51" s="128">
        <v>5.0099999999999999E-2</v>
      </c>
      <c r="F51" s="128">
        <v>4.7300000000000002E-2</v>
      </c>
      <c r="G51" s="128">
        <v>4.19E-2</v>
      </c>
      <c r="H51" s="129"/>
      <c r="I51" s="130"/>
    </row>
    <row r="52" spans="1:23">
      <c r="C52" s="163"/>
      <c r="D52" s="163"/>
      <c r="E52" s="163"/>
      <c r="F52" s="163"/>
      <c r="G52" s="163"/>
      <c r="H52" s="14"/>
    </row>
    <row r="53" spans="1:23">
      <c r="B53" s="52" t="s">
        <v>57</v>
      </c>
      <c r="C53" s="34"/>
      <c r="D53" s="34"/>
      <c r="E53" s="34"/>
      <c r="F53" s="34"/>
      <c r="G53" s="34"/>
      <c r="I53" s="14"/>
    </row>
    <row r="54" spans="1:23">
      <c r="A54" s="12" t="s">
        <v>6</v>
      </c>
      <c r="C54" s="133">
        <v>2022</v>
      </c>
      <c r="D54" s="134">
        <f t="shared" ref="D54:I54" si="13">C54+1</f>
        <v>2023</v>
      </c>
      <c r="E54" s="134">
        <f t="shared" si="13"/>
        <v>2024</v>
      </c>
      <c r="F54" s="134">
        <f t="shared" si="13"/>
        <v>2025</v>
      </c>
      <c r="G54" s="134">
        <f t="shared" si="13"/>
        <v>2026</v>
      </c>
      <c r="H54" s="134">
        <f t="shared" si="13"/>
        <v>2027</v>
      </c>
      <c r="I54" s="134">
        <f t="shared" si="13"/>
        <v>2028</v>
      </c>
    </row>
    <row r="55" spans="1:23">
      <c r="A55" s="12" t="s">
        <v>42</v>
      </c>
      <c r="B55" s="125" t="s">
        <v>19</v>
      </c>
      <c r="C55" s="124"/>
      <c r="D55" s="70"/>
      <c r="E55" s="118">
        <v>5.2833944000000001E-2</v>
      </c>
      <c r="F55" s="118">
        <v>5.5875458000000003E-2</v>
      </c>
      <c r="G55" s="118">
        <v>5.4475396000000002E-2</v>
      </c>
      <c r="H55" s="118">
        <v>5.6672044999999997E-2</v>
      </c>
      <c r="I55" s="51">
        <v>5.5271982999999997E-2</v>
      </c>
    </row>
    <row r="56" spans="1:23">
      <c r="A56" s="12" t="s">
        <v>58</v>
      </c>
      <c r="B56" s="125" t="s">
        <v>22</v>
      </c>
      <c r="C56" s="125">
        <v>4.2439449777777784E-2</v>
      </c>
      <c r="D56" s="118">
        <v>4.2616093333333334E-2</v>
      </c>
      <c r="E56" s="118">
        <v>4.909683911111111E-2</v>
      </c>
      <c r="F56" s="118">
        <v>5.2011518222222233E-2</v>
      </c>
      <c r="G56" s="118">
        <v>5.0933685333333333E-2</v>
      </c>
      <c r="H56" s="70"/>
      <c r="I56" s="126"/>
      <c r="N56" s="100"/>
      <c r="O56" s="100"/>
      <c r="P56" s="100"/>
      <c r="Q56" s="100"/>
      <c r="R56" s="100"/>
    </row>
    <row r="57" spans="1:23">
      <c r="A57" s="12" t="s">
        <v>59</v>
      </c>
      <c r="B57" s="125" t="s">
        <v>25</v>
      </c>
      <c r="C57" s="125">
        <v>4.5181881000000007E-2</v>
      </c>
      <c r="D57" s="118">
        <v>4.5568105000000005E-2</v>
      </c>
      <c r="E57" s="118">
        <v>5.2833944000000001E-2</v>
      </c>
      <c r="F57" s="118">
        <v>5.5875458000000003E-2</v>
      </c>
      <c r="G57" s="118">
        <v>5.4475395999999995E-2</v>
      </c>
      <c r="H57" s="70"/>
      <c r="I57" s="126"/>
    </row>
    <row r="58" spans="1:23">
      <c r="A58" s="12" t="s">
        <v>60</v>
      </c>
      <c r="B58" s="125" t="s">
        <v>27</v>
      </c>
      <c r="C58" s="223">
        <v>4.5181881000000007E-2</v>
      </c>
      <c r="D58" s="224">
        <v>4.5568105000000005E-2</v>
      </c>
      <c r="E58" s="224">
        <v>5.2833944000000001E-2</v>
      </c>
      <c r="F58" s="224">
        <v>5.5875458000000003E-2</v>
      </c>
      <c r="G58" s="224">
        <v>5.4475395999999995E-2</v>
      </c>
      <c r="H58" s="70"/>
      <c r="I58" s="126"/>
    </row>
    <row r="59" spans="1:23">
      <c r="A59" s="12" t="s">
        <v>61</v>
      </c>
      <c r="B59" s="127" t="s">
        <v>29</v>
      </c>
      <c r="C59" s="225">
        <v>7.5718976000000007E-2</v>
      </c>
      <c r="D59" s="225">
        <v>7.5510080000000007E-2</v>
      </c>
      <c r="E59" s="225">
        <v>7.1580223999999998E-2</v>
      </c>
      <c r="F59" s="225">
        <v>6.9935168000000006E-2</v>
      </c>
      <c r="G59" s="225">
        <v>7.0313792E-2</v>
      </c>
      <c r="H59" s="165"/>
      <c r="I59" s="130"/>
    </row>
    <row r="60" spans="1:23" ht="13.5" thickBot="1">
      <c r="A60" s="111"/>
      <c r="B60" s="163"/>
      <c r="C60" s="163"/>
      <c r="D60" s="163"/>
      <c r="E60" s="163"/>
      <c r="F60" s="163"/>
      <c r="G60" s="163"/>
      <c r="H60" s="164"/>
      <c r="I60" s="164"/>
    </row>
    <row r="61" spans="1:23" s="108" customFormat="1" ht="39" thickBot="1">
      <c r="A61"/>
      <c r="B61" s="3"/>
      <c r="C61" s="180" t="s">
        <v>62</v>
      </c>
      <c r="D61" s="180" t="s">
        <v>63</v>
      </c>
      <c r="E61" s="180" t="s">
        <v>64</v>
      </c>
      <c r="F61" s="180" t="s">
        <v>65</v>
      </c>
      <c r="G61" s="181" t="s">
        <v>66</v>
      </c>
      <c r="H61" s="911" t="s">
        <v>67</v>
      </c>
      <c r="I61" s="912"/>
      <c r="J61" s="912"/>
      <c r="K61" s="912"/>
      <c r="L61" s="912"/>
      <c r="M61" s="912"/>
      <c r="N61" s="912"/>
      <c r="O61" s="908" t="s">
        <v>68</v>
      </c>
      <c r="P61" s="909"/>
      <c r="Q61" s="909"/>
      <c r="R61" s="909"/>
      <c r="S61" s="909"/>
      <c r="T61" s="909"/>
      <c r="U61" s="910"/>
      <c r="V61"/>
      <c r="W61"/>
    </row>
    <row r="62" spans="1:23" ht="13.5" thickBot="1">
      <c r="A62" s="48" t="s">
        <v>6</v>
      </c>
      <c r="B62" s="176" t="s">
        <v>69</v>
      </c>
      <c r="C62" s="177"/>
      <c r="D62" s="177"/>
      <c r="E62" s="178"/>
      <c r="F62" s="179"/>
      <c r="G62" s="740"/>
      <c r="H62" s="744">
        <v>2022</v>
      </c>
      <c r="I62" s="745">
        <f t="shared" ref="I62:N62" si="14">H62+1</f>
        <v>2023</v>
      </c>
      <c r="J62" s="745">
        <f t="shared" si="14"/>
        <v>2024</v>
      </c>
      <c r="K62" s="746">
        <f t="shared" si="14"/>
        <v>2025</v>
      </c>
      <c r="L62" s="746">
        <f t="shared" si="14"/>
        <v>2026</v>
      </c>
      <c r="M62" s="746">
        <f t="shared" si="14"/>
        <v>2027</v>
      </c>
      <c r="N62" s="747">
        <f t="shared" si="14"/>
        <v>2028</v>
      </c>
      <c r="O62" s="729">
        <v>2022</v>
      </c>
      <c r="P62" s="167">
        <f t="shared" ref="P62:U62" si="15">O62+1</f>
        <v>2023</v>
      </c>
      <c r="Q62" s="167">
        <f t="shared" si="15"/>
        <v>2024</v>
      </c>
      <c r="R62" s="168">
        <f t="shared" si="15"/>
        <v>2025</v>
      </c>
      <c r="S62" s="168">
        <f t="shared" si="15"/>
        <v>2026</v>
      </c>
      <c r="T62" s="168">
        <f t="shared" si="15"/>
        <v>2027</v>
      </c>
      <c r="U62" s="730">
        <f t="shared" si="15"/>
        <v>2028</v>
      </c>
    </row>
    <row r="63" spans="1:23">
      <c r="A63" s="12" t="s">
        <v>19</v>
      </c>
      <c r="B63" s="171" t="s">
        <v>70</v>
      </c>
      <c r="C63" s="170">
        <v>0.50600000000000001</v>
      </c>
      <c r="D63" s="118">
        <v>0.6</v>
      </c>
      <c r="E63" s="172">
        <v>2024</v>
      </c>
      <c r="F63" s="723" t="str">
        <f t="shared" ref="F63:F91" si="16">VLOOKUP($A63,$H$6:$I$10,2,FALSE)</f>
        <v>£m 20/21</v>
      </c>
      <c r="G63" s="741" t="s">
        <v>53</v>
      </c>
      <c r="H63" s="748"/>
      <c r="I63" s="169"/>
      <c r="J63" s="727">
        <f t="shared" ref="J63:N76" si="17">INDEX($C$42:$I$51,MATCH($G63,$B$42:$B$51,0),MATCH(J$62,$C$41:$I$41))</f>
        <v>3.1E-2</v>
      </c>
      <c r="K63" s="727">
        <f t="shared" si="17"/>
        <v>3.1699999999999999E-2</v>
      </c>
      <c r="L63" s="727">
        <f t="shared" si="17"/>
        <v>3.1899999999999998E-2</v>
      </c>
      <c r="M63" s="726">
        <f t="shared" si="17"/>
        <v>3.2000000000000001E-2</v>
      </c>
      <c r="N63" s="732">
        <f t="shared" si="17"/>
        <v>3.2000000000000001E-2</v>
      </c>
      <c r="O63" s="731"/>
      <c r="P63" s="123"/>
      <c r="Q63" s="728">
        <f t="shared" ref="Q63:U76" si="18">INDEX($C$55:$I$59,MATCH($A63,$B$55:$B$59,0),MATCH(Q$62,$C$54:$I$54))</f>
        <v>5.2833944000000001E-2</v>
      </c>
      <c r="R63" s="728">
        <f t="shared" si="18"/>
        <v>5.5875458000000003E-2</v>
      </c>
      <c r="S63" s="728">
        <f t="shared" si="18"/>
        <v>5.4475396000000002E-2</v>
      </c>
      <c r="T63" s="726">
        <f t="shared" si="18"/>
        <v>5.6672044999999997E-2</v>
      </c>
      <c r="U63" s="732">
        <f t="shared" si="18"/>
        <v>5.5271982999999997E-2</v>
      </c>
    </row>
    <row r="64" spans="1:23">
      <c r="A64" s="12" t="s">
        <v>19</v>
      </c>
      <c r="B64" s="173" t="s">
        <v>71</v>
      </c>
      <c r="C64" s="118">
        <v>0.501</v>
      </c>
      <c r="D64" s="118">
        <v>0.6</v>
      </c>
      <c r="E64" s="49">
        <v>2024</v>
      </c>
      <c r="F64" s="724" t="str">
        <f t="shared" si="16"/>
        <v>£m 20/21</v>
      </c>
      <c r="G64" s="742" t="s">
        <v>53</v>
      </c>
      <c r="H64" s="733"/>
      <c r="I64" s="70"/>
      <c r="J64" s="726">
        <f t="shared" si="17"/>
        <v>3.1E-2</v>
      </c>
      <c r="K64" s="726">
        <f t="shared" si="17"/>
        <v>3.1699999999999999E-2</v>
      </c>
      <c r="L64" s="726">
        <f t="shared" si="17"/>
        <v>3.1899999999999998E-2</v>
      </c>
      <c r="M64" s="726">
        <f t="shared" si="17"/>
        <v>3.2000000000000001E-2</v>
      </c>
      <c r="N64" s="732">
        <f t="shared" si="17"/>
        <v>3.2000000000000001E-2</v>
      </c>
      <c r="O64" s="733"/>
      <c r="P64" s="70"/>
      <c r="Q64" s="726">
        <f t="shared" si="18"/>
        <v>5.2833944000000001E-2</v>
      </c>
      <c r="R64" s="726">
        <f t="shared" si="18"/>
        <v>5.5875458000000003E-2</v>
      </c>
      <c r="S64" s="726">
        <f t="shared" si="18"/>
        <v>5.4475396000000002E-2</v>
      </c>
      <c r="T64" s="726">
        <f t="shared" si="18"/>
        <v>5.6672044999999997E-2</v>
      </c>
      <c r="U64" s="732">
        <f t="shared" si="18"/>
        <v>5.5271982999999997E-2</v>
      </c>
    </row>
    <row r="65" spans="1:21">
      <c r="A65" s="12" t="s">
        <v>19</v>
      </c>
      <c r="B65" s="173" t="s">
        <v>72</v>
      </c>
      <c r="C65" s="118">
        <v>0.501</v>
      </c>
      <c r="D65" s="118">
        <v>0.6</v>
      </c>
      <c r="E65" s="49">
        <v>2024</v>
      </c>
      <c r="F65" s="724" t="str">
        <f t="shared" si="16"/>
        <v>£m 20/21</v>
      </c>
      <c r="G65" s="742" t="s">
        <v>53</v>
      </c>
      <c r="H65" s="733"/>
      <c r="I65" s="70"/>
      <c r="J65" s="726">
        <f t="shared" si="17"/>
        <v>3.1E-2</v>
      </c>
      <c r="K65" s="726">
        <f t="shared" si="17"/>
        <v>3.1699999999999999E-2</v>
      </c>
      <c r="L65" s="726">
        <f t="shared" si="17"/>
        <v>3.1899999999999998E-2</v>
      </c>
      <c r="M65" s="726">
        <f t="shared" si="17"/>
        <v>3.2000000000000001E-2</v>
      </c>
      <c r="N65" s="732">
        <f t="shared" si="17"/>
        <v>3.2000000000000001E-2</v>
      </c>
      <c r="O65" s="733"/>
      <c r="P65" s="70"/>
      <c r="Q65" s="726">
        <f t="shared" si="18"/>
        <v>5.2833944000000001E-2</v>
      </c>
      <c r="R65" s="726">
        <f t="shared" si="18"/>
        <v>5.5875458000000003E-2</v>
      </c>
      <c r="S65" s="726">
        <f t="shared" si="18"/>
        <v>5.4475396000000002E-2</v>
      </c>
      <c r="T65" s="726">
        <f t="shared" si="18"/>
        <v>5.6672044999999997E-2</v>
      </c>
      <c r="U65" s="732">
        <f t="shared" si="18"/>
        <v>5.5271982999999997E-2</v>
      </c>
    </row>
    <row r="66" spans="1:21">
      <c r="A66" s="12" t="s">
        <v>19</v>
      </c>
      <c r="B66" s="173" t="s">
        <v>52</v>
      </c>
      <c r="C66" s="118">
        <v>0.5</v>
      </c>
      <c r="D66" s="118">
        <v>0.6</v>
      </c>
      <c r="E66" s="49">
        <v>2024</v>
      </c>
      <c r="F66" s="724" t="str">
        <f t="shared" si="16"/>
        <v>£m 20/21</v>
      </c>
      <c r="G66" s="742" t="s">
        <v>52</v>
      </c>
      <c r="H66" s="733"/>
      <c r="I66" s="70"/>
      <c r="J66" s="726">
        <f t="shared" si="17"/>
        <v>3.04E-2</v>
      </c>
      <c r="K66" s="726">
        <f t="shared" si="17"/>
        <v>3.1099999999999999E-2</v>
      </c>
      <c r="L66" s="726">
        <f t="shared" si="17"/>
        <v>3.1300000000000001E-2</v>
      </c>
      <c r="M66" s="726">
        <f t="shared" si="17"/>
        <v>3.1399999999999997E-2</v>
      </c>
      <c r="N66" s="732">
        <f t="shared" si="17"/>
        <v>3.1399999999999997E-2</v>
      </c>
      <c r="O66" s="733"/>
      <c r="P66" s="70"/>
      <c r="Q66" s="726">
        <f t="shared" si="18"/>
        <v>5.2833944000000001E-2</v>
      </c>
      <c r="R66" s="726">
        <f t="shared" si="18"/>
        <v>5.5875458000000003E-2</v>
      </c>
      <c r="S66" s="726">
        <f t="shared" si="18"/>
        <v>5.4475396000000002E-2</v>
      </c>
      <c r="T66" s="726">
        <f t="shared" si="18"/>
        <v>5.6672044999999997E-2</v>
      </c>
      <c r="U66" s="732">
        <f t="shared" si="18"/>
        <v>5.5271982999999997E-2</v>
      </c>
    </row>
    <row r="67" spans="1:21">
      <c r="A67" s="12" t="s">
        <v>19</v>
      </c>
      <c r="B67" s="173" t="s">
        <v>73</v>
      </c>
      <c r="C67" s="118">
        <v>0.5</v>
      </c>
      <c r="D67" s="118">
        <v>0.6</v>
      </c>
      <c r="E67" s="49">
        <v>2024</v>
      </c>
      <c r="F67" s="724" t="str">
        <f t="shared" si="16"/>
        <v>£m 20/21</v>
      </c>
      <c r="G67" s="742" t="s">
        <v>53</v>
      </c>
      <c r="H67" s="733"/>
      <c r="I67" s="70"/>
      <c r="J67" s="726">
        <f t="shared" si="17"/>
        <v>3.1E-2</v>
      </c>
      <c r="K67" s="726">
        <f t="shared" si="17"/>
        <v>3.1699999999999999E-2</v>
      </c>
      <c r="L67" s="726">
        <f t="shared" si="17"/>
        <v>3.1899999999999998E-2</v>
      </c>
      <c r="M67" s="726">
        <f t="shared" si="17"/>
        <v>3.2000000000000001E-2</v>
      </c>
      <c r="N67" s="732">
        <f t="shared" si="17"/>
        <v>3.2000000000000001E-2</v>
      </c>
      <c r="O67" s="733"/>
      <c r="P67" s="70"/>
      <c r="Q67" s="726">
        <f t="shared" si="18"/>
        <v>5.2833944000000001E-2</v>
      </c>
      <c r="R67" s="726">
        <f t="shared" si="18"/>
        <v>5.5875458000000003E-2</v>
      </c>
      <c r="S67" s="726">
        <f t="shared" si="18"/>
        <v>5.4475396000000002E-2</v>
      </c>
      <c r="T67" s="726">
        <f t="shared" si="18"/>
        <v>5.6672044999999997E-2</v>
      </c>
      <c r="U67" s="732">
        <f t="shared" si="18"/>
        <v>5.5271982999999997E-2</v>
      </c>
    </row>
    <row r="68" spans="1:21">
      <c r="A68" s="12" t="s">
        <v>19</v>
      </c>
      <c r="B68" s="173" t="s">
        <v>74</v>
      </c>
      <c r="C68" s="118">
        <v>0.5</v>
      </c>
      <c r="D68" s="118">
        <v>0.6</v>
      </c>
      <c r="E68" s="49">
        <v>2024</v>
      </c>
      <c r="F68" s="724" t="str">
        <f t="shared" si="16"/>
        <v>£m 20/21</v>
      </c>
      <c r="G68" s="742" t="s">
        <v>53</v>
      </c>
      <c r="H68" s="733"/>
      <c r="I68" s="70"/>
      <c r="J68" s="726">
        <f t="shared" si="17"/>
        <v>3.1E-2</v>
      </c>
      <c r="K68" s="726">
        <f t="shared" si="17"/>
        <v>3.1699999999999999E-2</v>
      </c>
      <c r="L68" s="726">
        <f t="shared" si="17"/>
        <v>3.1899999999999998E-2</v>
      </c>
      <c r="M68" s="726">
        <f t="shared" si="17"/>
        <v>3.2000000000000001E-2</v>
      </c>
      <c r="N68" s="732">
        <f t="shared" si="17"/>
        <v>3.2000000000000001E-2</v>
      </c>
      <c r="O68" s="733"/>
      <c r="P68" s="70"/>
      <c r="Q68" s="726">
        <f t="shared" si="18"/>
        <v>5.2833944000000001E-2</v>
      </c>
      <c r="R68" s="726">
        <f t="shared" si="18"/>
        <v>5.5875458000000003E-2</v>
      </c>
      <c r="S68" s="726">
        <f t="shared" si="18"/>
        <v>5.4475396000000002E-2</v>
      </c>
      <c r="T68" s="726">
        <f t="shared" si="18"/>
        <v>5.6672044999999997E-2</v>
      </c>
      <c r="U68" s="732">
        <f t="shared" si="18"/>
        <v>5.5271982999999997E-2</v>
      </c>
    </row>
    <row r="69" spans="1:21">
      <c r="A69" s="12" t="s">
        <v>19</v>
      </c>
      <c r="B69" s="173" t="s">
        <v>75</v>
      </c>
      <c r="C69" s="118">
        <v>0.5</v>
      </c>
      <c r="D69" s="118">
        <v>0.6</v>
      </c>
      <c r="E69" s="49">
        <v>2024</v>
      </c>
      <c r="F69" s="724" t="str">
        <f t="shared" si="16"/>
        <v>£m 20/21</v>
      </c>
      <c r="G69" s="742" t="s">
        <v>53</v>
      </c>
      <c r="H69" s="733"/>
      <c r="I69" s="70"/>
      <c r="J69" s="726">
        <f t="shared" si="17"/>
        <v>3.1E-2</v>
      </c>
      <c r="K69" s="726">
        <f t="shared" si="17"/>
        <v>3.1699999999999999E-2</v>
      </c>
      <c r="L69" s="726">
        <f t="shared" si="17"/>
        <v>3.1899999999999998E-2</v>
      </c>
      <c r="M69" s="726">
        <f t="shared" si="17"/>
        <v>3.2000000000000001E-2</v>
      </c>
      <c r="N69" s="732">
        <f t="shared" si="17"/>
        <v>3.2000000000000001E-2</v>
      </c>
      <c r="O69" s="733"/>
      <c r="P69" s="70"/>
      <c r="Q69" s="726">
        <f t="shared" si="18"/>
        <v>5.2833944000000001E-2</v>
      </c>
      <c r="R69" s="726">
        <f t="shared" si="18"/>
        <v>5.5875458000000003E-2</v>
      </c>
      <c r="S69" s="726">
        <f t="shared" si="18"/>
        <v>5.4475396000000002E-2</v>
      </c>
      <c r="T69" s="726">
        <f t="shared" si="18"/>
        <v>5.6672044999999997E-2</v>
      </c>
      <c r="U69" s="732">
        <f t="shared" si="18"/>
        <v>5.5271982999999997E-2</v>
      </c>
    </row>
    <row r="70" spans="1:21">
      <c r="A70" s="12" t="s">
        <v>19</v>
      </c>
      <c r="B70" s="173" t="s">
        <v>76</v>
      </c>
      <c r="C70" s="118">
        <v>0.5</v>
      </c>
      <c r="D70" s="118">
        <v>0.6</v>
      </c>
      <c r="E70" s="49">
        <v>2024</v>
      </c>
      <c r="F70" s="724" t="str">
        <f t="shared" si="16"/>
        <v>£m 20/21</v>
      </c>
      <c r="G70" s="742" t="s">
        <v>53</v>
      </c>
      <c r="H70" s="733"/>
      <c r="I70" s="70"/>
      <c r="J70" s="726">
        <f t="shared" si="17"/>
        <v>3.1E-2</v>
      </c>
      <c r="K70" s="726">
        <f t="shared" si="17"/>
        <v>3.1699999999999999E-2</v>
      </c>
      <c r="L70" s="726">
        <f t="shared" si="17"/>
        <v>3.1899999999999998E-2</v>
      </c>
      <c r="M70" s="726">
        <f t="shared" si="17"/>
        <v>3.2000000000000001E-2</v>
      </c>
      <c r="N70" s="732">
        <f t="shared" si="17"/>
        <v>3.2000000000000001E-2</v>
      </c>
      <c r="O70" s="733"/>
      <c r="P70" s="70"/>
      <c r="Q70" s="726">
        <f t="shared" si="18"/>
        <v>5.2833944000000001E-2</v>
      </c>
      <c r="R70" s="726">
        <f t="shared" si="18"/>
        <v>5.5875458000000003E-2</v>
      </c>
      <c r="S70" s="726">
        <f t="shared" si="18"/>
        <v>5.4475396000000002E-2</v>
      </c>
      <c r="T70" s="726">
        <f t="shared" si="18"/>
        <v>5.6672044999999997E-2</v>
      </c>
      <c r="U70" s="732">
        <f t="shared" si="18"/>
        <v>5.5271982999999997E-2</v>
      </c>
    </row>
    <row r="71" spans="1:21">
      <c r="A71" s="12" t="s">
        <v>19</v>
      </c>
      <c r="B71" s="173" t="s">
        <v>77</v>
      </c>
      <c r="C71" s="118">
        <v>0.50700000000000001</v>
      </c>
      <c r="D71" s="118">
        <v>0.6</v>
      </c>
      <c r="E71" s="49">
        <v>2024</v>
      </c>
      <c r="F71" s="724" t="str">
        <f t="shared" si="16"/>
        <v>£m 20/21</v>
      </c>
      <c r="G71" s="742" t="s">
        <v>53</v>
      </c>
      <c r="H71" s="733"/>
      <c r="I71" s="70"/>
      <c r="J71" s="726">
        <f t="shared" si="17"/>
        <v>3.1E-2</v>
      </c>
      <c r="K71" s="726">
        <f t="shared" si="17"/>
        <v>3.1699999999999999E-2</v>
      </c>
      <c r="L71" s="726">
        <f t="shared" si="17"/>
        <v>3.1899999999999998E-2</v>
      </c>
      <c r="M71" s="726">
        <f t="shared" si="17"/>
        <v>3.2000000000000001E-2</v>
      </c>
      <c r="N71" s="732">
        <f t="shared" si="17"/>
        <v>3.2000000000000001E-2</v>
      </c>
      <c r="O71" s="733"/>
      <c r="P71" s="70"/>
      <c r="Q71" s="726">
        <f t="shared" si="18"/>
        <v>5.2833944000000001E-2</v>
      </c>
      <c r="R71" s="726">
        <f t="shared" si="18"/>
        <v>5.5875458000000003E-2</v>
      </c>
      <c r="S71" s="726">
        <f t="shared" si="18"/>
        <v>5.4475396000000002E-2</v>
      </c>
      <c r="T71" s="726">
        <f t="shared" si="18"/>
        <v>5.6672044999999997E-2</v>
      </c>
      <c r="U71" s="732">
        <f t="shared" si="18"/>
        <v>5.5271982999999997E-2</v>
      </c>
    </row>
    <row r="72" spans="1:21">
      <c r="A72" s="12" t="s">
        <v>19</v>
      </c>
      <c r="B72" s="173" t="s">
        <v>50</v>
      </c>
      <c r="C72" s="118">
        <v>0.50700000000000001</v>
      </c>
      <c r="D72" s="118">
        <v>0.6</v>
      </c>
      <c r="E72" s="49">
        <v>2024</v>
      </c>
      <c r="F72" s="724" t="str">
        <f t="shared" si="16"/>
        <v>£m 20/21</v>
      </c>
      <c r="G72" s="742" t="s">
        <v>50</v>
      </c>
      <c r="H72" s="733"/>
      <c r="I72" s="70"/>
      <c r="J72" s="726">
        <f t="shared" si="17"/>
        <v>3.04E-2</v>
      </c>
      <c r="K72" s="726">
        <f t="shared" si="17"/>
        <v>3.1099999999999999E-2</v>
      </c>
      <c r="L72" s="726">
        <f t="shared" si="17"/>
        <v>3.1300000000000001E-2</v>
      </c>
      <c r="M72" s="726">
        <f t="shared" si="17"/>
        <v>3.1399999999999997E-2</v>
      </c>
      <c r="N72" s="732">
        <f t="shared" si="17"/>
        <v>3.1399999999999997E-2</v>
      </c>
      <c r="O72" s="733"/>
      <c r="P72" s="70"/>
      <c r="Q72" s="726">
        <f t="shared" si="18"/>
        <v>5.2833944000000001E-2</v>
      </c>
      <c r="R72" s="726">
        <f t="shared" si="18"/>
        <v>5.5875458000000003E-2</v>
      </c>
      <c r="S72" s="726">
        <f t="shared" si="18"/>
        <v>5.4475396000000002E-2</v>
      </c>
      <c r="T72" s="726">
        <f t="shared" si="18"/>
        <v>5.6672044999999997E-2</v>
      </c>
      <c r="U72" s="732">
        <f t="shared" si="18"/>
        <v>5.5271982999999997E-2</v>
      </c>
    </row>
    <row r="73" spans="1:21">
      <c r="A73" s="12" t="s">
        <v>19</v>
      </c>
      <c r="B73" s="173" t="s">
        <v>51</v>
      </c>
      <c r="C73" s="118">
        <v>0.5</v>
      </c>
      <c r="D73" s="118">
        <v>0.6</v>
      </c>
      <c r="E73" s="49">
        <v>2024</v>
      </c>
      <c r="F73" s="724" t="str">
        <f t="shared" si="16"/>
        <v>£m 20/21</v>
      </c>
      <c r="G73" s="742" t="s">
        <v>51</v>
      </c>
      <c r="H73" s="733"/>
      <c r="I73" s="70"/>
      <c r="J73" s="726">
        <f t="shared" si="17"/>
        <v>3.04E-2</v>
      </c>
      <c r="K73" s="726">
        <f t="shared" si="17"/>
        <v>3.1099999999999999E-2</v>
      </c>
      <c r="L73" s="726">
        <f t="shared" si="17"/>
        <v>3.1300000000000001E-2</v>
      </c>
      <c r="M73" s="726">
        <f t="shared" si="17"/>
        <v>3.1399999999999997E-2</v>
      </c>
      <c r="N73" s="732">
        <f t="shared" si="17"/>
        <v>3.1399999999999997E-2</v>
      </c>
      <c r="O73" s="733"/>
      <c r="P73" s="70"/>
      <c r="Q73" s="726">
        <f t="shared" si="18"/>
        <v>5.2833944000000001E-2</v>
      </c>
      <c r="R73" s="726">
        <f t="shared" si="18"/>
        <v>5.5875458000000003E-2</v>
      </c>
      <c r="S73" s="726">
        <f t="shared" si="18"/>
        <v>5.4475396000000002E-2</v>
      </c>
      <c r="T73" s="726">
        <f t="shared" si="18"/>
        <v>5.6672044999999997E-2</v>
      </c>
      <c r="U73" s="732">
        <f t="shared" si="18"/>
        <v>5.5271982999999997E-2</v>
      </c>
    </row>
    <row r="74" spans="1:21">
      <c r="A74" s="12" t="s">
        <v>19</v>
      </c>
      <c r="B74" s="173" t="s">
        <v>78</v>
      </c>
      <c r="C74" s="118">
        <v>0.5</v>
      </c>
      <c r="D74" s="118">
        <v>0.6</v>
      </c>
      <c r="E74" s="49">
        <v>2024</v>
      </c>
      <c r="F74" s="724" t="str">
        <f t="shared" si="16"/>
        <v>£m 20/21</v>
      </c>
      <c r="G74" s="742" t="s">
        <v>53</v>
      </c>
      <c r="H74" s="733"/>
      <c r="I74" s="70"/>
      <c r="J74" s="726">
        <f t="shared" si="17"/>
        <v>3.1E-2</v>
      </c>
      <c r="K74" s="726">
        <f t="shared" si="17"/>
        <v>3.1699999999999999E-2</v>
      </c>
      <c r="L74" s="726">
        <f t="shared" si="17"/>
        <v>3.1899999999999998E-2</v>
      </c>
      <c r="M74" s="726">
        <f t="shared" si="17"/>
        <v>3.2000000000000001E-2</v>
      </c>
      <c r="N74" s="732">
        <f t="shared" si="17"/>
        <v>3.2000000000000001E-2</v>
      </c>
      <c r="O74" s="733"/>
      <c r="P74" s="70"/>
      <c r="Q74" s="726">
        <f t="shared" si="18"/>
        <v>5.2833944000000001E-2</v>
      </c>
      <c r="R74" s="726">
        <f t="shared" si="18"/>
        <v>5.5875458000000003E-2</v>
      </c>
      <c r="S74" s="726">
        <f t="shared" si="18"/>
        <v>5.4475396000000002E-2</v>
      </c>
      <c r="T74" s="726">
        <f t="shared" si="18"/>
        <v>5.6672044999999997E-2</v>
      </c>
      <c r="U74" s="732">
        <f t="shared" si="18"/>
        <v>5.5271982999999997E-2</v>
      </c>
    </row>
    <row r="75" spans="1:21">
      <c r="A75" s="12" t="s">
        <v>19</v>
      </c>
      <c r="B75" s="173" t="s">
        <v>79</v>
      </c>
      <c r="C75" s="118">
        <v>0.5</v>
      </c>
      <c r="D75" s="118">
        <v>0.6</v>
      </c>
      <c r="E75" s="49">
        <v>2024</v>
      </c>
      <c r="F75" s="724" t="str">
        <f t="shared" si="16"/>
        <v>£m 20/21</v>
      </c>
      <c r="G75" s="742" t="s">
        <v>53</v>
      </c>
      <c r="H75" s="733"/>
      <c r="I75" s="70"/>
      <c r="J75" s="726">
        <f t="shared" si="17"/>
        <v>3.1E-2</v>
      </c>
      <c r="K75" s="726">
        <f t="shared" si="17"/>
        <v>3.1699999999999999E-2</v>
      </c>
      <c r="L75" s="726">
        <f t="shared" si="17"/>
        <v>3.1899999999999998E-2</v>
      </c>
      <c r="M75" s="726">
        <f t="shared" si="17"/>
        <v>3.2000000000000001E-2</v>
      </c>
      <c r="N75" s="732">
        <f t="shared" si="17"/>
        <v>3.2000000000000001E-2</v>
      </c>
      <c r="O75" s="733"/>
      <c r="P75" s="70"/>
      <c r="Q75" s="726">
        <f t="shared" si="18"/>
        <v>5.2833944000000001E-2</v>
      </c>
      <c r="R75" s="726">
        <f t="shared" si="18"/>
        <v>5.5875458000000003E-2</v>
      </c>
      <c r="S75" s="726">
        <f t="shared" si="18"/>
        <v>5.4475396000000002E-2</v>
      </c>
      <c r="T75" s="726">
        <f t="shared" si="18"/>
        <v>5.6672044999999997E-2</v>
      </c>
      <c r="U75" s="732">
        <f t="shared" si="18"/>
        <v>5.5271982999999997E-2</v>
      </c>
    </row>
    <row r="76" spans="1:21">
      <c r="A76" s="12" t="s">
        <v>19</v>
      </c>
      <c r="B76" s="173" t="s">
        <v>80</v>
      </c>
      <c r="C76" s="118">
        <v>0.5</v>
      </c>
      <c r="D76" s="118">
        <v>0.6</v>
      </c>
      <c r="E76" s="49">
        <v>2024</v>
      </c>
      <c r="F76" s="724" t="str">
        <f t="shared" si="16"/>
        <v>£m 20/21</v>
      </c>
      <c r="G76" s="742" t="s">
        <v>53</v>
      </c>
      <c r="H76" s="733"/>
      <c r="I76" s="70"/>
      <c r="J76" s="726">
        <f t="shared" si="17"/>
        <v>3.1E-2</v>
      </c>
      <c r="K76" s="726">
        <f t="shared" si="17"/>
        <v>3.1699999999999999E-2</v>
      </c>
      <c r="L76" s="726">
        <f t="shared" si="17"/>
        <v>3.1899999999999998E-2</v>
      </c>
      <c r="M76" s="726">
        <f t="shared" si="17"/>
        <v>3.2000000000000001E-2</v>
      </c>
      <c r="N76" s="732">
        <f t="shared" si="17"/>
        <v>3.2000000000000001E-2</v>
      </c>
      <c r="O76" s="733"/>
      <c r="P76" s="70"/>
      <c r="Q76" s="726">
        <f t="shared" si="18"/>
        <v>5.2833944000000001E-2</v>
      </c>
      <c r="R76" s="726">
        <f t="shared" si="18"/>
        <v>5.5875458000000003E-2</v>
      </c>
      <c r="S76" s="726">
        <f t="shared" si="18"/>
        <v>5.4475396000000002E-2</v>
      </c>
      <c r="T76" s="726">
        <f t="shared" si="18"/>
        <v>5.6672044999999997E-2</v>
      </c>
      <c r="U76" s="732">
        <f t="shared" si="18"/>
        <v>5.5271982999999997E-2</v>
      </c>
    </row>
    <row r="77" spans="1:21">
      <c r="A77" s="12" t="s">
        <v>25</v>
      </c>
      <c r="B77" s="173" t="s">
        <v>81</v>
      </c>
      <c r="C77" s="118">
        <v>0.5</v>
      </c>
      <c r="D77" s="118">
        <v>0.6</v>
      </c>
      <c r="E77" s="49">
        <v>2022</v>
      </c>
      <c r="F77" s="724" t="str">
        <f t="shared" si="16"/>
        <v>£m 18/19</v>
      </c>
      <c r="G77" s="742" t="s">
        <v>25</v>
      </c>
      <c r="H77" s="734">
        <f t="shared" ref="H77:L91" si="19">INDEX($C$42:$I$51,MATCH($G77,$B$42:$B$51,0),MATCH(H$62,$C$41:$I$41))</f>
        <v>2.0500000000000001E-2</v>
      </c>
      <c r="I77" s="726">
        <f t="shared" si="19"/>
        <v>1.9E-2</v>
      </c>
      <c r="J77" s="726">
        <f t="shared" si="19"/>
        <v>1.9199999999999998E-2</v>
      </c>
      <c r="K77" s="726">
        <f t="shared" si="19"/>
        <v>2.1100000000000001E-2</v>
      </c>
      <c r="L77" s="726">
        <f t="shared" si="19"/>
        <v>2.2599999999999999E-2</v>
      </c>
      <c r="M77" s="70"/>
      <c r="N77" s="735"/>
      <c r="O77" s="734">
        <f t="shared" ref="O77:S91" si="20">INDEX($C$55:$I$59,MATCH($A77,$B$55:$B$59,0),MATCH(O$62,$C$54:$I$54))</f>
        <v>4.5181881000000007E-2</v>
      </c>
      <c r="P77" s="726">
        <f t="shared" si="20"/>
        <v>4.5568105000000005E-2</v>
      </c>
      <c r="Q77" s="726">
        <f t="shared" si="20"/>
        <v>5.2833944000000001E-2</v>
      </c>
      <c r="R77" s="726">
        <f t="shared" si="20"/>
        <v>5.5875458000000003E-2</v>
      </c>
      <c r="S77" s="726">
        <f t="shared" si="20"/>
        <v>5.4475395999999995E-2</v>
      </c>
      <c r="T77" s="70"/>
      <c r="U77" s="735"/>
    </row>
    <row r="78" spans="1:21">
      <c r="A78" s="12" t="s">
        <v>25</v>
      </c>
      <c r="B78" s="173" t="s">
        <v>82</v>
      </c>
      <c r="C78" s="118">
        <v>0.5</v>
      </c>
      <c r="D78" s="118">
        <v>0.6</v>
      </c>
      <c r="E78" s="49">
        <v>2022</v>
      </c>
      <c r="F78" s="724" t="str">
        <f t="shared" si="16"/>
        <v>£m 18/19</v>
      </c>
      <c r="G78" s="742" t="s">
        <v>25</v>
      </c>
      <c r="H78" s="734">
        <f t="shared" si="19"/>
        <v>2.0500000000000001E-2</v>
      </c>
      <c r="I78" s="726">
        <f t="shared" si="19"/>
        <v>1.9E-2</v>
      </c>
      <c r="J78" s="726">
        <f t="shared" si="19"/>
        <v>1.9199999999999998E-2</v>
      </c>
      <c r="K78" s="726">
        <f t="shared" si="19"/>
        <v>2.1100000000000001E-2</v>
      </c>
      <c r="L78" s="726">
        <f t="shared" si="19"/>
        <v>2.2599999999999999E-2</v>
      </c>
      <c r="M78" s="70"/>
      <c r="N78" s="735"/>
      <c r="O78" s="734">
        <f t="shared" si="20"/>
        <v>4.5181881000000007E-2</v>
      </c>
      <c r="P78" s="726">
        <f t="shared" si="20"/>
        <v>4.5568105000000005E-2</v>
      </c>
      <c r="Q78" s="726">
        <f t="shared" si="20"/>
        <v>5.2833944000000001E-2</v>
      </c>
      <c r="R78" s="726">
        <f t="shared" si="20"/>
        <v>5.5875458000000003E-2</v>
      </c>
      <c r="S78" s="726">
        <f t="shared" si="20"/>
        <v>5.4475395999999995E-2</v>
      </c>
      <c r="T78" s="70"/>
      <c r="U78" s="735"/>
    </row>
    <row r="79" spans="1:21">
      <c r="A79" s="12" t="s">
        <v>25</v>
      </c>
      <c r="B79" s="173" t="s">
        <v>83</v>
      </c>
      <c r="C79" s="118">
        <v>0.5</v>
      </c>
      <c r="D79" s="118">
        <v>0.6</v>
      </c>
      <c r="E79" s="49">
        <v>2022</v>
      </c>
      <c r="F79" s="724" t="str">
        <f t="shared" si="16"/>
        <v>£m 18/19</v>
      </c>
      <c r="G79" s="742" t="s">
        <v>25</v>
      </c>
      <c r="H79" s="734">
        <f t="shared" si="19"/>
        <v>2.0500000000000001E-2</v>
      </c>
      <c r="I79" s="726">
        <f t="shared" si="19"/>
        <v>1.9E-2</v>
      </c>
      <c r="J79" s="726">
        <f t="shared" si="19"/>
        <v>1.9199999999999998E-2</v>
      </c>
      <c r="K79" s="726">
        <f t="shared" si="19"/>
        <v>2.1100000000000001E-2</v>
      </c>
      <c r="L79" s="726">
        <f t="shared" si="19"/>
        <v>2.2599999999999999E-2</v>
      </c>
      <c r="M79" s="70"/>
      <c r="N79" s="735"/>
      <c r="O79" s="734">
        <f t="shared" si="20"/>
        <v>4.5181881000000007E-2</v>
      </c>
      <c r="P79" s="726">
        <f t="shared" si="20"/>
        <v>4.5568105000000005E-2</v>
      </c>
      <c r="Q79" s="726">
        <f t="shared" si="20"/>
        <v>5.2833944000000001E-2</v>
      </c>
      <c r="R79" s="726">
        <f t="shared" si="20"/>
        <v>5.5875458000000003E-2</v>
      </c>
      <c r="S79" s="726">
        <f t="shared" si="20"/>
        <v>5.4475395999999995E-2</v>
      </c>
      <c r="T79" s="70"/>
      <c r="U79" s="735"/>
    </row>
    <row r="80" spans="1:21">
      <c r="A80" s="12" t="s">
        <v>25</v>
      </c>
      <c r="B80" s="173" t="s">
        <v>84</v>
      </c>
      <c r="C80" s="118">
        <v>0.5</v>
      </c>
      <c r="D80" s="118">
        <v>0.6</v>
      </c>
      <c r="E80" s="49">
        <v>2022</v>
      </c>
      <c r="F80" s="724" t="str">
        <f t="shared" si="16"/>
        <v>£m 18/19</v>
      </c>
      <c r="G80" s="742" t="s">
        <v>25</v>
      </c>
      <c r="H80" s="734">
        <f t="shared" si="19"/>
        <v>2.0500000000000001E-2</v>
      </c>
      <c r="I80" s="726">
        <f t="shared" si="19"/>
        <v>1.9E-2</v>
      </c>
      <c r="J80" s="726">
        <f t="shared" si="19"/>
        <v>1.9199999999999998E-2</v>
      </c>
      <c r="K80" s="726">
        <f t="shared" si="19"/>
        <v>2.1100000000000001E-2</v>
      </c>
      <c r="L80" s="726">
        <f t="shared" si="19"/>
        <v>2.2599999999999999E-2</v>
      </c>
      <c r="M80" s="70"/>
      <c r="N80" s="735"/>
      <c r="O80" s="734">
        <f t="shared" si="20"/>
        <v>4.5181881000000007E-2</v>
      </c>
      <c r="P80" s="726">
        <f t="shared" si="20"/>
        <v>4.5568105000000005E-2</v>
      </c>
      <c r="Q80" s="726">
        <f t="shared" si="20"/>
        <v>5.2833944000000001E-2</v>
      </c>
      <c r="R80" s="726">
        <f t="shared" si="20"/>
        <v>5.5875458000000003E-2</v>
      </c>
      <c r="S80" s="726">
        <f t="shared" si="20"/>
        <v>5.4475395999999995E-2</v>
      </c>
      <c r="T80" s="70"/>
      <c r="U80" s="735"/>
    </row>
    <row r="81" spans="1:21">
      <c r="A81" s="12" t="s">
        <v>25</v>
      </c>
      <c r="B81" s="173" t="s">
        <v>4</v>
      </c>
      <c r="C81" s="118">
        <v>0.51</v>
      </c>
      <c r="D81" s="118">
        <v>0.6</v>
      </c>
      <c r="E81" s="49">
        <v>2022</v>
      </c>
      <c r="F81" s="724" t="str">
        <f t="shared" si="16"/>
        <v>£m 18/19</v>
      </c>
      <c r="G81" s="742" t="s">
        <v>56</v>
      </c>
      <c r="H81" s="734">
        <f t="shared" si="19"/>
        <v>2.1100000000000001E-2</v>
      </c>
      <c r="I81" s="726">
        <f t="shared" si="19"/>
        <v>1.9599999999999999E-2</v>
      </c>
      <c r="J81" s="726">
        <f t="shared" si="19"/>
        <v>1.9799999999999998E-2</v>
      </c>
      <c r="K81" s="726">
        <f t="shared" si="19"/>
        <v>2.1700000000000001E-2</v>
      </c>
      <c r="L81" s="726">
        <f t="shared" si="19"/>
        <v>2.3199999999999998E-2</v>
      </c>
      <c r="M81" s="70"/>
      <c r="N81" s="735"/>
      <c r="O81" s="734">
        <f t="shared" si="20"/>
        <v>4.5181881000000007E-2</v>
      </c>
      <c r="P81" s="726">
        <f t="shared" si="20"/>
        <v>4.5568105000000005E-2</v>
      </c>
      <c r="Q81" s="726">
        <f t="shared" si="20"/>
        <v>5.2833944000000001E-2</v>
      </c>
      <c r="R81" s="726">
        <f t="shared" si="20"/>
        <v>5.5875458000000003E-2</v>
      </c>
      <c r="S81" s="726">
        <f t="shared" si="20"/>
        <v>5.4475395999999995E-2</v>
      </c>
      <c r="T81" s="70"/>
      <c r="U81" s="735"/>
    </row>
    <row r="82" spans="1:21">
      <c r="A82" s="12" t="s">
        <v>25</v>
      </c>
      <c r="B82" s="173" t="s">
        <v>85</v>
      </c>
      <c r="C82" s="118">
        <v>0.51</v>
      </c>
      <c r="D82" s="118">
        <v>0.6</v>
      </c>
      <c r="E82" s="49">
        <v>2022</v>
      </c>
      <c r="F82" s="724" t="str">
        <f t="shared" si="16"/>
        <v>£m 18/19</v>
      </c>
      <c r="G82" s="742" t="s">
        <v>56</v>
      </c>
      <c r="H82" s="734">
        <f t="shared" si="19"/>
        <v>2.1100000000000001E-2</v>
      </c>
      <c r="I82" s="726">
        <f t="shared" si="19"/>
        <v>1.9599999999999999E-2</v>
      </c>
      <c r="J82" s="726">
        <f t="shared" si="19"/>
        <v>1.9799999999999998E-2</v>
      </c>
      <c r="K82" s="726">
        <f t="shared" si="19"/>
        <v>2.1700000000000001E-2</v>
      </c>
      <c r="L82" s="726">
        <f t="shared" si="19"/>
        <v>2.3199999999999998E-2</v>
      </c>
      <c r="M82" s="70"/>
      <c r="N82" s="735"/>
      <c r="O82" s="734">
        <f t="shared" si="20"/>
        <v>4.5181881000000007E-2</v>
      </c>
      <c r="P82" s="726">
        <f t="shared" si="20"/>
        <v>4.5568105000000005E-2</v>
      </c>
      <c r="Q82" s="726">
        <f t="shared" si="20"/>
        <v>5.2833944000000001E-2</v>
      </c>
      <c r="R82" s="726">
        <f t="shared" si="20"/>
        <v>5.5875458000000003E-2</v>
      </c>
      <c r="S82" s="726">
        <f t="shared" si="20"/>
        <v>5.4475395999999995E-2</v>
      </c>
      <c r="T82" s="70"/>
      <c r="U82" s="735"/>
    </row>
    <row r="83" spans="1:21">
      <c r="A83" s="12" t="s">
        <v>25</v>
      </c>
      <c r="B83" s="173" t="s">
        <v>86</v>
      </c>
      <c r="C83" s="118">
        <v>0.5</v>
      </c>
      <c r="D83" s="118">
        <v>0.6</v>
      </c>
      <c r="E83" s="49">
        <v>2022</v>
      </c>
      <c r="F83" s="724" t="str">
        <f t="shared" si="16"/>
        <v>£m 18/19</v>
      </c>
      <c r="G83" s="742" t="s">
        <v>25</v>
      </c>
      <c r="H83" s="734">
        <f t="shared" si="19"/>
        <v>2.0500000000000001E-2</v>
      </c>
      <c r="I83" s="726">
        <f t="shared" si="19"/>
        <v>1.9E-2</v>
      </c>
      <c r="J83" s="726">
        <f t="shared" si="19"/>
        <v>1.9199999999999998E-2</v>
      </c>
      <c r="K83" s="726">
        <f t="shared" si="19"/>
        <v>2.1100000000000001E-2</v>
      </c>
      <c r="L83" s="726">
        <f t="shared" si="19"/>
        <v>2.2599999999999999E-2</v>
      </c>
      <c r="M83" s="70"/>
      <c r="N83" s="735"/>
      <c r="O83" s="734">
        <f t="shared" si="20"/>
        <v>4.5181881000000007E-2</v>
      </c>
      <c r="P83" s="726">
        <f t="shared" si="20"/>
        <v>4.5568105000000005E-2</v>
      </c>
      <c r="Q83" s="726">
        <f t="shared" si="20"/>
        <v>5.2833944000000001E-2</v>
      </c>
      <c r="R83" s="726">
        <f t="shared" si="20"/>
        <v>5.5875458000000003E-2</v>
      </c>
      <c r="S83" s="726">
        <f t="shared" si="20"/>
        <v>5.4475395999999995E-2</v>
      </c>
      <c r="T83" s="70"/>
      <c r="U83" s="735"/>
    </row>
    <row r="84" spans="1:21">
      <c r="A84" s="12" t="s">
        <v>25</v>
      </c>
      <c r="B84" s="173" t="s">
        <v>87</v>
      </c>
      <c r="C84" s="118">
        <v>0.5</v>
      </c>
      <c r="D84" s="118">
        <v>0.6</v>
      </c>
      <c r="E84" s="49">
        <v>2022</v>
      </c>
      <c r="F84" s="724" t="str">
        <f t="shared" si="16"/>
        <v>£m 18/19</v>
      </c>
      <c r="G84" s="742" t="s">
        <v>56</v>
      </c>
      <c r="H84" s="734">
        <f t="shared" si="19"/>
        <v>2.1100000000000001E-2</v>
      </c>
      <c r="I84" s="726">
        <f t="shared" si="19"/>
        <v>1.9599999999999999E-2</v>
      </c>
      <c r="J84" s="726">
        <f t="shared" si="19"/>
        <v>1.9799999999999998E-2</v>
      </c>
      <c r="K84" s="726">
        <f t="shared" si="19"/>
        <v>2.1700000000000001E-2</v>
      </c>
      <c r="L84" s="726">
        <f t="shared" si="19"/>
        <v>2.3199999999999998E-2</v>
      </c>
      <c r="M84" s="70"/>
      <c r="N84" s="735"/>
      <c r="O84" s="734">
        <f t="shared" si="20"/>
        <v>4.5181881000000007E-2</v>
      </c>
      <c r="P84" s="726">
        <f t="shared" si="20"/>
        <v>4.5568105000000005E-2</v>
      </c>
      <c r="Q84" s="726">
        <f t="shared" si="20"/>
        <v>5.2833944000000001E-2</v>
      </c>
      <c r="R84" s="726">
        <f t="shared" si="20"/>
        <v>5.5875458000000003E-2</v>
      </c>
      <c r="S84" s="726">
        <f t="shared" si="20"/>
        <v>5.4475395999999995E-2</v>
      </c>
      <c r="T84" s="70"/>
      <c r="U84" s="735"/>
    </row>
    <row r="85" spans="1:21">
      <c r="A85" s="12" t="s">
        <v>27</v>
      </c>
      <c r="B85" s="173" t="s">
        <v>88</v>
      </c>
      <c r="C85" s="118">
        <v>0.61</v>
      </c>
      <c r="D85" s="118">
        <v>0.6</v>
      </c>
      <c r="E85" s="49">
        <v>2022</v>
      </c>
      <c r="F85" s="724" t="str">
        <f t="shared" si="16"/>
        <v>£m 18/19</v>
      </c>
      <c r="G85" s="742" t="s">
        <v>27</v>
      </c>
      <c r="H85" s="734">
        <f t="shared" si="19"/>
        <v>2.0500000000000001E-2</v>
      </c>
      <c r="I85" s="726">
        <f t="shared" si="19"/>
        <v>1.9E-2</v>
      </c>
      <c r="J85" s="726">
        <f t="shared" si="19"/>
        <v>1.9199999999999998E-2</v>
      </c>
      <c r="K85" s="726">
        <f t="shared" si="19"/>
        <v>2.1100000000000001E-2</v>
      </c>
      <c r="L85" s="726">
        <f t="shared" si="19"/>
        <v>2.2599999999999999E-2</v>
      </c>
      <c r="M85" s="70"/>
      <c r="N85" s="735"/>
      <c r="O85" s="734">
        <f t="shared" si="20"/>
        <v>4.5181881000000007E-2</v>
      </c>
      <c r="P85" s="726">
        <f t="shared" si="20"/>
        <v>4.5568105000000005E-2</v>
      </c>
      <c r="Q85" s="726">
        <f t="shared" si="20"/>
        <v>5.2833944000000001E-2</v>
      </c>
      <c r="R85" s="726">
        <f t="shared" si="20"/>
        <v>5.5875458000000003E-2</v>
      </c>
      <c r="S85" s="726">
        <f t="shared" si="20"/>
        <v>5.4475395999999995E-2</v>
      </c>
      <c r="T85" s="70"/>
      <c r="U85" s="735"/>
    </row>
    <row r="86" spans="1:21">
      <c r="A86" s="12" t="s">
        <v>27</v>
      </c>
      <c r="B86" s="173" t="s">
        <v>89</v>
      </c>
      <c r="C86" s="118">
        <v>0.61</v>
      </c>
      <c r="D86" s="118">
        <v>0.6</v>
      </c>
      <c r="E86" s="49">
        <v>2022</v>
      </c>
      <c r="F86" s="724" t="str">
        <f t="shared" si="16"/>
        <v>£m 18/19</v>
      </c>
      <c r="G86" s="742" t="s">
        <v>27</v>
      </c>
      <c r="H86" s="734">
        <f t="shared" si="19"/>
        <v>2.0500000000000001E-2</v>
      </c>
      <c r="I86" s="726">
        <f t="shared" si="19"/>
        <v>1.9E-2</v>
      </c>
      <c r="J86" s="726">
        <f t="shared" si="19"/>
        <v>1.9199999999999998E-2</v>
      </c>
      <c r="K86" s="726">
        <f t="shared" si="19"/>
        <v>2.1100000000000001E-2</v>
      </c>
      <c r="L86" s="726">
        <f t="shared" si="19"/>
        <v>2.2599999999999999E-2</v>
      </c>
      <c r="M86" s="70"/>
      <c r="N86" s="735"/>
      <c r="O86" s="734">
        <f t="shared" si="20"/>
        <v>4.5181881000000007E-2</v>
      </c>
      <c r="P86" s="726">
        <f t="shared" si="20"/>
        <v>4.5568105000000005E-2</v>
      </c>
      <c r="Q86" s="726">
        <f t="shared" si="20"/>
        <v>5.2833944000000001E-2</v>
      </c>
      <c r="R86" s="726">
        <f t="shared" si="20"/>
        <v>5.5875458000000003E-2</v>
      </c>
      <c r="S86" s="726">
        <f t="shared" si="20"/>
        <v>5.4475395999999995E-2</v>
      </c>
      <c r="T86" s="70"/>
      <c r="U86" s="735"/>
    </row>
    <row r="87" spans="1:21">
      <c r="A87" s="12" t="s">
        <v>27</v>
      </c>
      <c r="B87" s="173" t="s">
        <v>90</v>
      </c>
      <c r="C87" s="118">
        <v>0.61</v>
      </c>
      <c r="D87" s="118">
        <v>0.6</v>
      </c>
      <c r="E87" s="49">
        <v>2022</v>
      </c>
      <c r="F87" s="724" t="str">
        <f t="shared" si="16"/>
        <v>£m 18/19</v>
      </c>
      <c r="G87" s="742" t="s">
        <v>27</v>
      </c>
      <c r="H87" s="734">
        <f t="shared" si="19"/>
        <v>2.0500000000000001E-2</v>
      </c>
      <c r="I87" s="726">
        <f t="shared" si="19"/>
        <v>1.9E-2</v>
      </c>
      <c r="J87" s="726">
        <f t="shared" si="19"/>
        <v>1.9199999999999998E-2</v>
      </c>
      <c r="K87" s="726">
        <f t="shared" si="19"/>
        <v>2.1100000000000001E-2</v>
      </c>
      <c r="L87" s="726">
        <f t="shared" si="19"/>
        <v>2.2599999999999999E-2</v>
      </c>
      <c r="M87" s="70"/>
      <c r="N87" s="735"/>
      <c r="O87" s="734">
        <f t="shared" si="20"/>
        <v>4.5181881000000007E-2</v>
      </c>
      <c r="P87" s="726">
        <f t="shared" si="20"/>
        <v>4.5568105000000005E-2</v>
      </c>
      <c r="Q87" s="726">
        <f t="shared" si="20"/>
        <v>5.2833944000000001E-2</v>
      </c>
      <c r="R87" s="726">
        <f t="shared" si="20"/>
        <v>5.5875458000000003E-2</v>
      </c>
      <c r="S87" s="726">
        <f t="shared" si="20"/>
        <v>5.4475395999999995E-2</v>
      </c>
      <c r="T87" s="70"/>
      <c r="U87" s="735"/>
    </row>
    <row r="88" spans="1:21">
      <c r="A88" s="12" t="s">
        <v>22</v>
      </c>
      <c r="B88" s="173" t="s">
        <v>91</v>
      </c>
      <c r="C88" s="118">
        <v>0.67</v>
      </c>
      <c r="D88" s="118">
        <v>0.55000000000000004</v>
      </c>
      <c r="E88" s="49">
        <v>2022</v>
      </c>
      <c r="F88" s="724" t="str">
        <f t="shared" si="16"/>
        <v>£m 18/19</v>
      </c>
      <c r="G88" s="742" t="s">
        <v>55</v>
      </c>
      <c r="H88" s="734">
        <f t="shared" si="19"/>
        <v>2.0500000000000001E-2</v>
      </c>
      <c r="I88" s="726">
        <f t="shared" si="19"/>
        <v>1.9E-2</v>
      </c>
      <c r="J88" s="726">
        <f t="shared" si="19"/>
        <v>1.9199999999999998E-2</v>
      </c>
      <c r="K88" s="726">
        <f t="shared" si="19"/>
        <v>2.1100000000000001E-2</v>
      </c>
      <c r="L88" s="726">
        <f t="shared" si="19"/>
        <v>2.2599999999999999E-2</v>
      </c>
      <c r="M88" s="70"/>
      <c r="N88" s="735"/>
      <c r="O88" s="734">
        <f t="shared" si="20"/>
        <v>4.2439449777777784E-2</v>
      </c>
      <c r="P88" s="726">
        <f t="shared" si="20"/>
        <v>4.2616093333333334E-2</v>
      </c>
      <c r="Q88" s="726">
        <f t="shared" si="20"/>
        <v>4.909683911111111E-2</v>
      </c>
      <c r="R88" s="726">
        <f t="shared" si="20"/>
        <v>5.2011518222222233E-2</v>
      </c>
      <c r="S88" s="726">
        <f t="shared" si="20"/>
        <v>5.0933685333333333E-2</v>
      </c>
      <c r="T88" s="70"/>
      <c r="U88" s="735"/>
    </row>
    <row r="89" spans="1:21">
      <c r="A89" s="12" t="s">
        <v>29</v>
      </c>
      <c r="B89" s="173" t="s">
        <v>29</v>
      </c>
      <c r="C89" s="118">
        <v>1</v>
      </c>
      <c r="D89" s="118">
        <v>0.55000000000000004</v>
      </c>
      <c r="E89" s="49">
        <v>2022</v>
      </c>
      <c r="F89" s="724" t="str">
        <f t="shared" si="16"/>
        <v>£m 18/19</v>
      </c>
      <c r="G89" s="742" t="s">
        <v>29</v>
      </c>
      <c r="H89" s="734">
        <f>INDEX($C$42:$I$51,MATCH($G89,$B$42:$B$51,0),MATCH(H$62,$C$41:$I$41))</f>
        <v>-5.9999999999999995E-4</v>
      </c>
      <c r="I89" s="726">
        <f t="shared" si="19"/>
        <v>2.12E-2</v>
      </c>
      <c r="J89" s="726">
        <f t="shared" si="19"/>
        <v>5.0099999999999999E-2</v>
      </c>
      <c r="K89" s="726">
        <f t="shared" si="19"/>
        <v>4.7300000000000002E-2</v>
      </c>
      <c r="L89" s="726">
        <f t="shared" si="19"/>
        <v>4.19E-2</v>
      </c>
      <c r="M89" s="70"/>
      <c r="N89" s="735"/>
      <c r="O89" s="734">
        <f t="shared" si="20"/>
        <v>7.5718976000000007E-2</v>
      </c>
      <c r="P89" s="726">
        <f t="shared" si="20"/>
        <v>7.5510080000000007E-2</v>
      </c>
      <c r="Q89" s="726">
        <f t="shared" si="20"/>
        <v>7.1580223999999998E-2</v>
      </c>
      <c r="R89" s="726">
        <f t="shared" si="20"/>
        <v>6.9935168000000006E-2</v>
      </c>
      <c r="S89" s="726">
        <f t="shared" si="20"/>
        <v>7.0313792E-2</v>
      </c>
      <c r="T89" s="70"/>
      <c r="U89" s="735"/>
    </row>
    <row r="90" spans="1:21">
      <c r="A90" s="12" t="s">
        <v>22</v>
      </c>
      <c r="B90" s="173" t="s">
        <v>92</v>
      </c>
      <c r="C90" s="118">
        <v>0.51</v>
      </c>
      <c r="D90" s="118">
        <v>0.55000000000000004</v>
      </c>
      <c r="E90" s="49">
        <v>2022</v>
      </c>
      <c r="F90" s="724" t="str">
        <f t="shared" si="16"/>
        <v>£m 18/19</v>
      </c>
      <c r="G90" s="742" t="s">
        <v>55</v>
      </c>
      <c r="H90" s="734">
        <f t="shared" si="19"/>
        <v>2.0500000000000001E-2</v>
      </c>
      <c r="I90" s="726">
        <f t="shared" si="19"/>
        <v>1.9E-2</v>
      </c>
      <c r="J90" s="726">
        <f t="shared" si="19"/>
        <v>1.9199999999999998E-2</v>
      </c>
      <c r="K90" s="726">
        <f t="shared" si="19"/>
        <v>2.1100000000000001E-2</v>
      </c>
      <c r="L90" s="726">
        <f t="shared" si="19"/>
        <v>2.2599999999999999E-2</v>
      </c>
      <c r="M90" s="70"/>
      <c r="N90" s="735"/>
      <c r="O90" s="734">
        <f t="shared" si="20"/>
        <v>4.2439449777777784E-2</v>
      </c>
      <c r="P90" s="726">
        <f t="shared" si="20"/>
        <v>4.2616093333333334E-2</v>
      </c>
      <c r="Q90" s="726">
        <f t="shared" si="20"/>
        <v>4.909683911111111E-2</v>
      </c>
      <c r="R90" s="726">
        <f t="shared" si="20"/>
        <v>5.2011518222222233E-2</v>
      </c>
      <c r="S90" s="726">
        <f t="shared" si="20"/>
        <v>5.0933685333333333E-2</v>
      </c>
      <c r="T90" s="70"/>
      <c r="U90" s="735"/>
    </row>
    <row r="91" spans="1:21" ht="13.5" thickBot="1">
      <c r="A91" s="12" t="s">
        <v>22</v>
      </c>
      <c r="B91" s="174" t="s">
        <v>54</v>
      </c>
      <c r="C91" s="166">
        <v>0.64</v>
      </c>
      <c r="D91" s="166">
        <v>0.55000000000000004</v>
      </c>
      <c r="E91" s="175">
        <v>2022</v>
      </c>
      <c r="F91" s="725" t="str">
        <f t="shared" si="16"/>
        <v>£m 18/19</v>
      </c>
      <c r="G91" s="743" t="s">
        <v>54</v>
      </c>
      <c r="H91" s="736">
        <f t="shared" si="19"/>
        <v>1.8184707641684131E-2</v>
      </c>
      <c r="I91" s="737">
        <f t="shared" si="19"/>
        <v>1.5816904422859705E-2</v>
      </c>
      <c r="J91" s="737">
        <f t="shared" si="19"/>
        <v>1.8016000499583691E-2</v>
      </c>
      <c r="K91" s="737">
        <f t="shared" si="19"/>
        <v>2.3111514046595519E-2</v>
      </c>
      <c r="L91" s="737">
        <f t="shared" si="19"/>
        <v>2.6621070489787287E-2</v>
      </c>
      <c r="M91" s="738"/>
      <c r="N91" s="739"/>
      <c r="O91" s="736">
        <f t="shared" si="20"/>
        <v>4.2439449777777784E-2</v>
      </c>
      <c r="P91" s="737">
        <f t="shared" si="20"/>
        <v>4.2616093333333334E-2</v>
      </c>
      <c r="Q91" s="737">
        <f t="shared" si="20"/>
        <v>4.909683911111111E-2</v>
      </c>
      <c r="R91" s="737">
        <f t="shared" si="20"/>
        <v>5.2011518222222233E-2</v>
      </c>
      <c r="S91" s="737">
        <f t="shared" si="20"/>
        <v>5.0933685333333333E-2</v>
      </c>
      <c r="T91" s="738"/>
      <c r="U91" s="739"/>
    </row>
    <row r="92" spans="1:21">
      <c r="I92" s="14"/>
    </row>
    <row r="93" spans="1:21">
      <c r="I93" s="14"/>
    </row>
    <row r="94" spans="1:21">
      <c r="I94" s="14"/>
    </row>
    <row r="95" spans="1:21" ht="13.5">
      <c r="B95" s="1"/>
      <c r="D95" s="113"/>
      <c r="E95" s="113"/>
      <c r="F95" s="113"/>
      <c r="G95" s="113"/>
      <c r="H95" s="113"/>
      <c r="I95" s="113"/>
      <c r="J95" s="113"/>
    </row>
    <row r="97" spans="2:14" ht="14.25">
      <c r="B97" s="102" t="s">
        <v>93</v>
      </c>
      <c r="C97" s="24">
        <v>2022</v>
      </c>
      <c r="D97" s="25">
        <f t="shared" ref="D97:I97" si="21">C97+1</f>
        <v>2023</v>
      </c>
      <c r="E97" s="25">
        <f t="shared" si="21"/>
        <v>2024</v>
      </c>
      <c r="F97" s="25">
        <f t="shared" si="21"/>
        <v>2025</v>
      </c>
      <c r="G97" s="25">
        <f t="shared" si="21"/>
        <v>2026</v>
      </c>
      <c r="H97" s="25">
        <f t="shared" si="21"/>
        <v>2027</v>
      </c>
      <c r="I97" s="25">
        <f t="shared" si="21"/>
        <v>2028</v>
      </c>
    </row>
    <row r="98" spans="2:14">
      <c r="B98" s="103" t="s">
        <v>70</v>
      </c>
      <c r="C98" s="70"/>
      <c r="D98" s="70"/>
      <c r="E98" s="104">
        <v>0</v>
      </c>
      <c r="F98" s="104">
        <v>0</v>
      </c>
      <c r="G98" s="104">
        <v>0</v>
      </c>
      <c r="H98" s="104">
        <v>0</v>
      </c>
      <c r="I98" s="104">
        <v>0</v>
      </c>
    </row>
    <row r="99" spans="2:14">
      <c r="B99" s="103" t="s">
        <v>71</v>
      </c>
      <c r="C99" s="70"/>
      <c r="D99" s="70"/>
      <c r="E99" s="104">
        <v>0</v>
      </c>
      <c r="F99" s="104">
        <v>0</v>
      </c>
      <c r="G99" s="104">
        <v>0</v>
      </c>
      <c r="H99" s="104">
        <v>0</v>
      </c>
      <c r="I99" s="104">
        <v>0</v>
      </c>
    </row>
    <row r="100" spans="2:14">
      <c r="B100" s="103" t="s">
        <v>72</v>
      </c>
      <c r="C100" s="70"/>
      <c r="D100" s="70"/>
      <c r="E100" s="104">
        <v>0</v>
      </c>
      <c r="F100" s="104">
        <v>0</v>
      </c>
      <c r="G100" s="104">
        <v>0</v>
      </c>
      <c r="H100" s="104">
        <v>0</v>
      </c>
      <c r="I100" s="104">
        <v>0</v>
      </c>
      <c r="J100" s="82"/>
      <c r="K100" s="82"/>
      <c r="L100" s="82"/>
      <c r="M100" s="82"/>
      <c r="N100" s="82"/>
    </row>
    <row r="101" spans="2:14">
      <c r="B101" s="103" t="s">
        <v>52</v>
      </c>
      <c r="C101" s="70"/>
      <c r="D101" s="70"/>
      <c r="E101" s="104">
        <v>0</v>
      </c>
      <c r="F101" s="104">
        <v>0</v>
      </c>
      <c r="G101" s="104">
        <v>0</v>
      </c>
      <c r="H101" s="104">
        <v>0</v>
      </c>
      <c r="I101" s="104">
        <v>0</v>
      </c>
    </row>
    <row r="102" spans="2:14">
      <c r="B102" s="103" t="s">
        <v>73</v>
      </c>
      <c r="C102" s="70"/>
      <c r="D102" s="70"/>
      <c r="E102" s="104">
        <v>0.95193542636815776</v>
      </c>
      <c r="F102" s="104">
        <v>0.95193542636815776</v>
      </c>
      <c r="G102" s="104">
        <v>0.95193542636815776</v>
      </c>
      <c r="H102" s="104">
        <v>0.95193542636815776</v>
      </c>
      <c r="I102" s="104">
        <v>0.95193542636815776</v>
      </c>
    </row>
    <row r="103" spans="2:14">
      <c r="B103" s="103" t="s">
        <v>74</v>
      </c>
      <c r="C103" s="70"/>
      <c r="D103" s="70"/>
      <c r="E103" s="104">
        <v>4.1422258913848848</v>
      </c>
      <c r="F103" s="104">
        <v>4.1422258913848848</v>
      </c>
      <c r="G103" s="104">
        <v>4.1422258913848848</v>
      </c>
      <c r="H103" s="104">
        <v>4.1422258913848848</v>
      </c>
      <c r="I103" s="104">
        <v>4.1422258913848848</v>
      </c>
    </row>
    <row r="104" spans="2:14">
      <c r="B104" s="103" t="s">
        <v>75</v>
      </c>
      <c r="C104" s="70"/>
      <c r="D104" s="70"/>
      <c r="E104" s="104">
        <v>0</v>
      </c>
      <c r="F104" s="104">
        <v>0</v>
      </c>
      <c r="G104" s="104">
        <v>0</v>
      </c>
      <c r="H104" s="104">
        <v>0</v>
      </c>
      <c r="I104" s="104">
        <v>0</v>
      </c>
    </row>
    <row r="105" spans="2:14">
      <c r="B105" s="103" t="s">
        <v>76</v>
      </c>
      <c r="C105" s="70"/>
      <c r="D105" s="70"/>
      <c r="E105" s="104">
        <v>0</v>
      </c>
      <c r="F105" s="104">
        <v>0</v>
      </c>
      <c r="G105" s="104">
        <v>0</v>
      </c>
      <c r="H105" s="104">
        <v>0</v>
      </c>
      <c r="I105" s="104">
        <v>0</v>
      </c>
    </row>
    <row r="106" spans="2:14">
      <c r="B106" s="103" t="s">
        <v>77</v>
      </c>
      <c r="C106" s="70"/>
      <c r="D106" s="70"/>
      <c r="E106" s="104">
        <v>1.2350000000000001</v>
      </c>
      <c r="F106" s="104">
        <v>0</v>
      </c>
      <c r="G106" s="104">
        <v>0</v>
      </c>
      <c r="H106" s="104">
        <v>0</v>
      </c>
      <c r="I106" s="104">
        <v>0</v>
      </c>
    </row>
    <row r="107" spans="2:14">
      <c r="B107" s="103" t="s">
        <v>50</v>
      </c>
      <c r="C107" s="70"/>
      <c r="D107" s="70"/>
      <c r="E107" s="104">
        <v>2.3050000000000002</v>
      </c>
      <c r="F107" s="104">
        <v>0</v>
      </c>
      <c r="G107" s="104">
        <v>0</v>
      </c>
      <c r="H107" s="104">
        <v>0</v>
      </c>
      <c r="I107" s="104">
        <v>0</v>
      </c>
    </row>
    <row r="108" spans="2:14">
      <c r="B108" s="103" t="s">
        <v>51</v>
      </c>
      <c r="C108" s="70"/>
      <c r="D108" s="70"/>
      <c r="E108" s="104">
        <v>1.38</v>
      </c>
      <c r="F108" s="104">
        <v>0</v>
      </c>
      <c r="G108" s="104">
        <v>0</v>
      </c>
      <c r="H108" s="104">
        <v>0</v>
      </c>
      <c r="I108" s="104">
        <v>0</v>
      </c>
    </row>
    <row r="109" spans="2:14">
      <c r="B109" s="103" t="s">
        <v>78</v>
      </c>
      <c r="C109" s="70"/>
      <c r="D109" s="70"/>
      <c r="E109" s="104">
        <v>1.38</v>
      </c>
      <c r="F109" s="104">
        <v>0</v>
      </c>
      <c r="G109" s="104">
        <v>0</v>
      </c>
      <c r="H109" s="104">
        <v>0</v>
      </c>
      <c r="I109" s="104">
        <v>0</v>
      </c>
    </row>
    <row r="110" spans="2:14">
      <c r="B110" s="103" t="s">
        <v>79</v>
      </c>
      <c r="C110" s="70"/>
      <c r="D110" s="70"/>
      <c r="E110" s="104">
        <v>0.69</v>
      </c>
      <c r="F110" s="104">
        <v>0</v>
      </c>
      <c r="G110" s="104">
        <v>0</v>
      </c>
      <c r="H110" s="104">
        <v>0</v>
      </c>
      <c r="I110" s="104">
        <v>0</v>
      </c>
    </row>
    <row r="111" spans="2:14">
      <c r="B111" s="103" t="s">
        <v>80</v>
      </c>
      <c r="C111" s="70"/>
      <c r="D111" s="70"/>
      <c r="E111" s="104">
        <v>1.1499999999999999</v>
      </c>
      <c r="F111" s="104">
        <v>0</v>
      </c>
      <c r="G111" s="104">
        <v>0</v>
      </c>
      <c r="H111" s="104">
        <v>0</v>
      </c>
      <c r="I111" s="104">
        <v>0</v>
      </c>
    </row>
    <row r="112" spans="2:14">
      <c r="B112" s="103" t="s">
        <v>81</v>
      </c>
      <c r="C112" s="755">
        <v>0.23941679646380071</v>
      </c>
      <c r="D112" s="755">
        <v>0.23941679646380071</v>
      </c>
      <c r="E112" s="755">
        <v>0.23941679646380071</v>
      </c>
      <c r="F112" s="755">
        <v>0.23941679646380071</v>
      </c>
      <c r="G112" s="755">
        <v>0.23941679646380071</v>
      </c>
      <c r="H112" s="70"/>
      <c r="I112" s="70"/>
    </row>
    <row r="113" spans="2:12">
      <c r="B113" s="103" t="s">
        <v>82</v>
      </c>
      <c r="C113" s="755">
        <v>-1.1368683772161603E-15</v>
      </c>
      <c r="D113" s="755">
        <v>-1.1368683772161603E-15</v>
      </c>
      <c r="E113" s="755">
        <v>-1.1368683772161603E-15</v>
      </c>
      <c r="F113" s="755">
        <v>-1.1368683772161603E-15</v>
      </c>
      <c r="G113" s="755">
        <v>-1.1368683772161603E-15</v>
      </c>
      <c r="H113" s="70"/>
      <c r="I113" s="70"/>
    </row>
    <row r="114" spans="2:12">
      <c r="B114" s="103" t="s">
        <v>83</v>
      </c>
      <c r="C114" s="755">
        <v>-7.0993072540795777E-3</v>
      </c>
      <c r="D114" s="755">
        <v>-7.0993072540795777E-3</v>
      </c>
      <c r="E114" s="755">
        <v>-7.0993072540795777E-3</v>
      </c>
      <c r="F114" s="755">
        <v>-7.0993072540795777E-3</v>
      </c>
      <c r="G114" s="755">
        <v>-7.0993072540795777E-3</v>
      </c>
      <c r="H114" s="70"/>
      <c r="I114" s="70"/>
    </row>
    <row r="115" spans="2:12">
      <c r="B115" s="103" t="s">
        <v>84</v>
      </c>
      <c r="C115" s="755">
        <v>-7.2862331602607357E-3</v>
      </c>
      <c r="D115" s="755">
        <v>-7.2862331602607357E-3</v>
      </c>
      <c r="E115" s="755">
        <v>-7.2862331602607357E-3</v>
      </c>
      <c r="F115" s="755">
        <v>-7.2862331602607357E-3</v>
      </c>
      <c r="G115" s="755">
        <v>-7.2862331602607357E-3</v>
      </c>
      <c r="H115" s="70"/>
      <c r="I115" s="70"/>
    </row>
    <row r="116" spans="2:12">
      <c r="B116" s="103" t="s">
        <v>4</v>
      </c>
      <c r="C116" s="756">
        <v>1.149006</v>
      </c>
      <c r="D116" s="756">
        <v>1.149006</v>
      </c>
      <c r="E116" s="755">
        <v>1.149006</v>
      </c>
      <c r="F116" s="755">
        <v>1.149006</v>
      </c>
      <c r="G116" s="756">
        <v>1.149006</v>
      </c>
      <c r="H116" s="70"/>
      <c r="I116" s="70"/>
    </row>
    <row r="117" spans="2:12">
      <c r="B117" s="103" t="s">
        <v>85</v>
      </c>
      <c r="C117" s="755">
        <v>0</v>
      </c>
      <c r="D117" s="755">
        <v>0</v>
      </c>
      <c r="E117" s="755">
        <v>0</v>
      </c>
      <c r="F117" s="755">
        <v>0</v>
      </c>
      <c r="G117" s="755">
        <v>0</v>
      </c>
      <c r="H117" s="70"/>
      <c r="I117" s="70"/>
    </row>
    <row r="118" spans="2:12">
      <c r="B118" s="103" t="s">
        <v>86</v>
      </c>
      <c r="C118" s="755">
        <v>0</v>
      </c>
      <c r="D118" s="755">
        <v>0</v>
      </c>
      <c r="E118" s="755">
        <v>0</v>
      </c>
      <c r="F118" s="755">
        <v>0</v>
      </c>
      <c r="G118" s="755">
        <v>0</v>
      </c>
      <c r="H118" s="70"/>
      <c r="I118" s="70"/>
    </row>
    <row r="119" spans="2:12">
      <c r="B119" s="103" t="s">
        <v>87</v>
      </c>
      <c r="C119" s="755">
        <v>0</v>
      </c>
      <c r="D119" s="755">
        <v>0</v>
      </c>
      <c r="E119" s="755">
        <v>0</v>
      </c>
      <c r="F119" s="755">
        <v>0</v>
      </c>
      <c r="G119" s="755">
        <v>0</v>
      </c>
      <c r="H119" s="70"/>
      <c r="I119" s="70"/>
    </row>
    <row r="120" spans="2:12">
      <c r="B120" s="103" t="s">
        <v>88</v>
      </c>
      <c r="C120" s="755">
        <v>-4.3390000000000004</v>
      </c>
      <c r="D120" s="755">
        <v>-4.3390000000000004</v>
      </c>
      <c r="E120" s="755">
        <v>-4.3390000000000004</v>
      </c>
      <c r="F120" s="755">
        <v>-4.3390000000000004</v>
      </c>
      <c r="G120" s="755">
        <v>-4.3390000000000004</v>
      </c>
      <c r="H120" s="70"/>
      <c r="I120" s="70"/>
    </row>
    <row r="121" spans="2:12">
      <c r="B121" s="103" t="s">
        <v>89</v>
      </c>
      <c r="C121" s="755">
        <v>0</v>
      </c>
      <c r="D121" s="755">
        <v>0</v>
      </c>
      <c r="E121" s="755">
        <v>0</v>
      </c>
      <c r="F121" s="755">
        <v>0</v>
      </c>
      <c r="G121" s="755">
        <v>0</v>
      </c>
      <c r="H121" s="70"/>
      <c r="I121" s="70"/>
    </row>
    <row r="122" spans="2:12">
      <c r="B122" s="103" t="s">
        <v>90</v>
      </c>
      <c r="C122" s="755">
        <v>-4.3390000000000004</v>
      </c>
      <c r="D122" s="755">
        <v>-4.3390000000000004</v>
      </c>
      <c r="E122" s="755">
        <v>-4.3390000000000004</v>
      </c>
      <c r="F122" s="755">
        <v>-4.3390000000000004</v>
      </c>
      <c r="G122" s="755">
        <v>-4.3390000000000004</v>
      </c>
      <c r="H122" s="70"/>
      <c r="I122" s="70"/>
    </row>
    <row r="123" spans="2:12">
      <c r="B123" s="103" t="s">
        <v>91</v>
      </c>
      <c r="C123" s="755">
        <v>-13</v>
      </c>
      <c r="D123" s="755">
        <v>-13</v>
      </c>
      <c r="E123" s="755">
        <v>-13</v>
      </c>
      <c r="F123" s="755">
        <v>-13</v>
      </c>
      <c r="G123" s="755">
        <v>-13</v>
      </c>
      <c r="H123" s="70"/>
      <c r="I123" s="70"/>
    </row>
    <row r="124" spans="2:12">
      <c r="B124" s="103" t="s">
        <v>29</v>
      </c>
      <c r="C124" s="755">
        <v>0</v>
      </c>
      <c r="D124" s="755">
        <v>0</v>
      </c>
      <c r="E124" s="755">
        <v>0</v>
      </c>
      <c r="F124" s="755">
        <v>0</v>
      </c>
      <c r="G124" s="755">
        <v>0</v>
      </c>
      <c r="H124" s="70"/>
      <c r="I124" s="70"/>
    </row>
    <row r="125" spans="2:12">
      <c r="B125" s="103" t="s">
        <v>92</v>
      </c>
      <c r="C125" s="755">
        <v>1</v>
      </c>
      <c r="D125" s="755">
        <v>1</v>
      </c>
      <c r="E125" s="755">
        <v>1</v>
      </c>
      <c r="F125" s="755">
        <v>1</v>
      </c>
      <c r="G125" s="755">
        <v>1</v>
      </c>
      <c r="H125" s="70"/>
      <c r="I125" s="70"/>
    </row>
    <row r="126" spans="2:12">
      <c r="B126" s="105" t="s">
        <v>54</v>
      </c>
      <c r="C126" s="755">
        <v>4.3620000000000001</v>
      </c>
      <c r="D126" s="755">
        <v>4.3620000000000001</v>
      </c>
      <c r="E126" s="757">
        <v>4.3620000000000001</v>
      </c>
      <c r="F126" s="757">
        <v>4.3620000000000001</v>
      </c>
      <c r="G126" s="757">
        <v>4.3620000000000001</v>
      </c>
      <c r="H126" s="70"/>
      <c r="I126" s="70"/>
    </row>
    <row r="127" spans="2:12">
      <c r="B127" s="34"/>
    </row>
    <row r="128" spans="2:12">
      <c r="B128" s="802" t="str">
        <f>LEFT('RFPR cover'!C8,2)</f>
        <v>ED</v>
      </c>
      <c r="C128" s="215"/>
      <c r="D128" s="215"/>
      <c r="E128" s="215"/>
      <c r="F128" s="215"/>
      <c r="G128" s="215"/>
      <c r="H128" s="215"/>
      <c r="I128" s="215"/>
      <c r="J128" s="215"/>
      <c r="K128" s="215"/>
      <c r="L128" s="135"/>
    </row>
    <row r="129" spans="1:14">
      <c r="A129" s="36"/>
      <c r="B129" s="274" t="s">
        <v>94</v>
      </c>
      <c r="C129" s="81"/>
      <c r="D129" s="81"/>
      <c r="E129" s="81"/>
      <c r="F129" s="82"/>
      <c r="G129" s="82"/>
      <c r="H129" s="82"/>
      <c r="I129" s="82"/>
      <c r="J129" s="82"/>
      <c r="K129" s="82"/>
      <c r="L129" s="82"/>
      <c r="M129" s="82"/>
      <c r="N129" s="82"/>
    </row>
    <row r="130" spans="1:14">
      <c r="A130" s="36"/>
      <c r="B130" s="80"/>
      <c r="C130" s="81"/>
      <c r="D130" s="81"/>
      <c r="E130" s="81"/>
      <c r="F130" s="82"/>
      <c r="G130" s="82"/>
      <c r="H130" s="82"/>
      <c r="I130" s="82"/>
    </row>
    <row r="131" spans="1:14">
      <c r="A131" s="35"/>
      <c r="B131" s="216" t="s">
        <v>95</v>
      </c>
      <c r="C131" s="37"/>
      <c r="D131" s="37"/>
      <c r="E131" s="237" t="b">
        <f>OR((LEFT('RFPR cover'!$C$8,2)=Data!G131),'RFPR cover'!$C$7=Data!G131)</f>
        <v>1</v>
      </c>
      <c r="F131" s="848">
        <f t="shared" ref="F131:F133" si="22">IF(E131,1,0)</f>
        <v>1</v>
      </c>
      <c r="G131" s="238" t="str">
        <f>B141</f>
        <v>ED</v>
      </c>
    </row>
    <row r="132" spans="1:14" ht="16.5" customHeight="1">
      <c r="A132" s="35"/>
      <c r="B132" s="84" t="str">
        <f>IF(SUM($F$131:$F$138)=0,"",CHOOSE(MATCH(TRUE,$E$131:$E$138,0),B142,B153,B164,E164,B175,E175,B185,E185)&amp;"")</f>
        <v>Time to connect ODI</v>
      </c>
      <c r="C132" s="37"/>
      <c r="D132" s="37"/>
      <c r="E132" s="281" t="b">
        <f>OR((LEFT('RFPR cover'!$C$8,2)=Data!G132),'RFPR cover'!$C$7=Data!G132)</f>
        <v>0</v>
      </c>
      <c r="F132" s="228">
        <f t="shared" si="22"/>
        <v>0</v>
      </c>
      <c r="G132" s="229" t="str">
        <f>B152</f>
        <v>GD</v>
      </c>
    </row>
    <row r="133" spans="1:14">
      <c r="A133" s="35"/>
      <c r="B133" s="84" t="str">
        <f t="shared" ref="B133:B139" si="23">IF(SUM($F$131:$F$138)=0,"",CHOOSE(MATCH(TRUE,$E$131:$E$138,0),B143,B154,B165,E165,B176,E176,B186,E186)&amp;"")</f>
        <v>Broad Measure of Customer Service ODI</v>
      </c>
      <c r="C133" s="37"/>
      <c r="D133" s="37"/>
      <c r="E133" s="281" t="b">
        <f>OR((LEFT('RFPR cover'!$C$8,2)=Data!G133),'RFPR cover'!$C$7=Data!G133)</f>
        <v>0</v>
      </c>
      <c r="F133" s="228">
        <f t="shared" si="22"/>
        <v>0</v>
      </c>
      <c r="G133" s="230" t="str">
        <f>B163</f>
        <v>NGGT (TO)</v>
      </c>
    </row>
    <row r="134" spans="1:14">
      <c r="A134" s="35"/>
      <c r="B134" s="84" t="str">
        <f t="shared" si="23"/>
        <v>Interruptions incentive scheme ODI</v>
      </c>
      <c r="C134" s="37"/>
      <c r="D134" s="37"/>
      <c r="E134" s="281" t="b">
        <f>OR((LEFT('RFPR cover'!$C$8,2)=Data!G134),'RFPR cover'!$C$7=Data!G134)</f>
        <v>0</v>
      </c>
      <c r="F134" s="228">
        <f>IF(E134,1,0)</f>
        <v>0</v>
      </c>
      <c r="G134" s="230" t="str">
        <f>E163</f>
        <v>NGGT (TO+SO)</v>
      </c>
    </row>
    <row r="135" spans="1:14">
      <c r="A135" s="35"/>
      <c r="B135" s="84" t="str">
        <f t="shared" si="23"/>
        <v>Major connections ODI</v>
      </c>
      <c r="C135" s="37"/>
      <c r="D135" s="37"/>
      <c r="E135" s="281" t="b">
        <f>OR((LEFT('RFPR cover'!$C$8,2)=Data!G135),'RFPR cover'!$C$7=Data!G135)</f>
        <v>0</v>
      </c>
      <c r="F135" s="228">
        <f>IF(E135,1,0)</f>
        <v>0</v>
      </c>
      <c r="G135" s="230" t="str">
        <f>B174</f>
        <v>NGET (TO)</v>
      </c>
    </row>
    <row r="136" spans="1:14">
      <c r="A136" s="35"/>
      <c r="B136" s="84" t="str">
        <f t="shared" si="23"/>
        <v>Consumer Vulnerability ODI</v>
      </c>
      <c r="C136" s="37"/>
      <c r="D136" s="37"/>
      <c r="E136" s="281" t="b">
        <f>OR((LEFT('RFPR cover'!$C$8,2)=Data!G136),'RFPR cover'!$C$7=Data!G136)</f>
        <v>0</v>
      </c>
      <c r="F136" s="228">
        <f t="shared" ref="F136" si="24">IF(E136,1,0)</f>
        <v>0</v>
      </c>
      <c r="G136" s="230" t="str">
        <f>E174</f>
        <v>ESO</v>
      </c>
    </row>
    <row r="137" spans="1:14">
      <c r="A137" s="35"/>
      <c r="B137" s="84" t="str">
        <f t="shared" si="23"/>
        <v>Distribution System Operator ODI</v>
      </c>
      <c r="C137" s="37"/>
      <c r="D137" s="37"/>
      <c r="E137" s="281" t="b">
        <f>OR((LEFT('RFPR cover'!$C$8,2)=Data!G137),'RFPR cover'!$C$7=Data!G137)</f>
        <v>0</v>
      </c>
      <c r="F137" s="228">
        <f>IF(E137,1,0)</f>
        <v>0</v>
      </c>
      <c r="G137" s="230" t="str">
        <f>B184</f>
        <v>SPT</v>
      </c>
    </row>
    <row r="138" spans="1:14">
      <c r="A138" s="35"/>
      <c r="B138" s="84" t="str">
        <f t="shared" si="23"/>
        <v>Dig, Fix and Go ODI (ENWL only)</v>
      </c>
      <c r="C138" s="37"/>
      <c r="D138" s="37"/>
      <c r="E138" s="231" t="b">
        <f>OR((LEFT('RFPR cover'!$C$8,2)=Data!G138),'RFPR cover'!$C$7=Data!G138)</f>
        <v>0</v>
      </c>
      <c r="F138" s="232">
        <f>IF(E138,1,0)</f>
        <v>0</v>
      </c>
      <c r="G138" s="233" t="s">
        <v>54</v>
      </c>
    </row>
    <row r="139" spans="1:14">
      <c r="A139" s="35"/>
      <c r="B139" s="84" t="str">
        <f t="shared" si="23"/>
        <v>Collaborative Streetworks ODI (EPN, LPN and SPN only)</v>
      </c>
      <c r="C139" s="37"/>
      <c r="D139" s="37"/>
    </row>
    <row r="140" spans="1:14">
      <c r="A140" s="35"/>
      <c r="B140" s="37"/>
      <c r="C140" s="37"/>
      <c r="D140" s="37"/>
      <c r="E140" s="11"/>
      <c r="F140" s="83"/>
    </row>
    <row r="141" spans="1:14">
      <c r="A141" s="35"/>
      <c r="B141" s="880" t="s">
        <v>19</v>
      </c>
      <c r="C141" s="881"/>
      <c r="D141" s="37"/>
      <c r="E141" s="37"/>
    </row>
    <row r="142" spans="1:14">
      <c r="A142" s="35"/>
      <c r="B142" s="884" t="s">
        <v>96</v>
      </c>
      <c r="C142" s="885"/>
      <c r="D142" s="37"/>
      <c r="E142" s="37"/>
    </row>
    <row r="143" spans="1:14">
      <c r="A143" s="35"/>
      <c r="B143" s="882" t="s">
        <v>97</v>
      </c>
      <c r="C143" s="883"/>
      <c r="D143" s="37"/>
      <c r="E143" s="37"/>
    </row>
    <row r="144" spans="1:14">
      <c r="A144" s="35"/>
      <c r="B144" s="882" t="s">
        <v>98</v>
      </c>
      <c r="C144" s="883"/>
      <c r="D144" s="37"/>
      <c r="E144" s="37"/>
    </row>
    <row r="145" spans="1:7">
      <c r="A145" s="35"/>
      <c r="B145" s="882" t="s">
        <v>99</v>
      </c>
      <c r="C145" s="883"/>
      <c r="D145" s="37"/>
      <c r="E145" s="37"/>
    </row>
    <row r="146" spans="1:7">
      <c r="A146" s="35"/>
      <c r="B146" s="882" t="s">
        <v>100</v>
      </c>
      <c r="C146" s="883"/>
      <c r="D146" s="37"/>
      <c r="E146" s="37"/>
    </row>
    <row r="147" spans="1:7">
      <c r="A147" s="35"/>
      <c r="B147" s="882" t="s">
        <v>101</v>
      </c>
      <c r="C147" s="883"/>
      <c r="D147" s="37"/>
      <c r="E147" s="37"/>
    </row>
    <row r="148" spans="1:7">
      <c r="A148" s="35"/>
      <c r="B148" s="882" t="s">
        <v>102</v>
      </c>
      <c r="C148" s="883"/>
      <c r="D148" s="37"/>
      <c r="E148" s="37"/>
    </row>
    <row r="149" spans="1:7">
      <c r="A149" s="35"/>
      <c r="B149" s="913" t="s">
        <v>103</v>
      </c>
      <c r="C149" s="914"/>
      <c r="D149" s="37"/>
      <c r="E149" s="37"/>
    </row>
    <row r="150" spans="1:7">
      <c r="A150" s="35"/>
      <c r="B150" s="37"/>
      <c r="C150" s="37"/>
      <c r="D150" s="37"/>
      <c r="E150" s="37"/>
    </row>
    <row r="151" spans="1:7">
      <c r="A151" s="35"/>
      <c r="B151" s="37"/>
      <c r="C151" s="37"/>
      <c r="D151" s="37"/>
      <c r="E151" s="37"/>
    </row>
    <row r="152" spans="1:7">
      <c r="A152" s="35"/>
      <c r="B152" s="880" t="s">
        <v>25</v>
      </c>
      <c r="C152" s="881"/>
      <c r="D152" s="37"/>
      <c r="E152" s="37"/>
    </row>
    <row r="153" spans="1:7">
      <c r="A153" s="35"/>
      <c r="B153" s="884" t="s">
        <v>104</v>
      </c>
      <c r="C153" s="885"/>
      <c r="E153" s="37"/>
    </row>
    <row r="154" spans="1:7">
      <c r="A154" s="35"/>
      <c r="B154" s="882" t="s">
        <v>105</v>
      </c>
      <c r="C154" s="883"/>
      <c r="D154" s="37"/>
      <c r="E154" s="37"/>
    </row>
    <row r="155" spans="1:7" ht="25.5" customHeight="1">
      <c r="A155" s="35"/>
      <c r="B155" s="882" t="s">
        <v>106</v>
      </c>
      <c r="C155" s="883"/>
      <c r="D155" s="37"/>
      <c r="E155" s="37"/>
      <c r="G155" t="s">
        <v>107</v>
      </c>
    </row>
    <row r="156" spans="1:7" ht="25.5" customHeight="1">
      <c r="A156" s="35"/>
      <c r="B156" s="882" t="s">
        <v>108</v>
      </c>
      <c r="C156" s="883"/>
      <c r="D156" s="37"/>
      <c r="E156" s="37"/>
    </row>
    <row r="157" spans="1:7" ht="14.25" customHeight="1">
      <c r="A157" s="35"/>
      <c r="B157" s="882" t="s">
        <v>109</v>
      </c>
      <c r="C157" s="883"/>
      <c r="D157" s="37"/>
      <c r="E157" s="37"/>
    </row>
    <row r="158" spans="1:7" ht="25.5" customHeight="1">
      <c r="A158" s="35"/>
      <c r="B158" s="882" t="s">
        <v>110</v>
      </c>
      <c r="C158" s="883"/>
      <c r="D158" s="37"/>
      <c r="E158" s="37"/>
    </row>
    <row r="159" spans="1:7" ht="12" customHeight="1">
      <c r="A159" s="35"/>
      <c r="B159" s="882"/>
      <c r="C159" s="883"/>
      <c r="D159" s="37"/>
      <c r="E159" s="37"/>
    </row>
    <row r="160" spans="1:7">
      <c r="A160" s="35"/>
      <c r="B160" s="913"/>
      <c r="C160" s="914"/>
      <c r="D160" s="37"/>
      <c r="E160" s="37"/>
    </row>
    <row r="161" spans="1:9">
      <c r="A161" s="35"/>
      <c r="B161" s="37"/>
      <c r="C161" s="37"/>
      <c r="D161" s="37"/>
      <c r="E161" s="37"/>
    </row>
    <row r="162" spans="1:9">
      <c r="A162" s="35"/>
      <c r="B162" s="37"/>
      <c r="C162" s="37"/>
      <c r="D162" s="37"/>
      <c r="E162" s="37"/>
    </row>
    <row r="163" spans="1:9" ht="12.75" customHeight="1">
      <c r="A163" s="35"/>
      <c r="B163" s="886" t="s">
        <v>88</v>
      </c>
      <c r="C163" s="887"/>
      <c r="D163" s="37"/>
      <c r="E163" s="890" t="s">
        <v>90</v>
      </c>
      <c r="F163" s="890"/>
      <c r="G163" s="890"/>
      <c r="H163" s="891"/>
      <c r="I163" s="13"/>
    </row>
    <row r="164" spans="1:9" ht="12.75" customHeight="1">
      <c r="A164" s="35"/>
      <c r="B164" s="884" t="s">
        <v>111</v>
      </c>
      <c r="C164" s="885"/>
      <c r="E164" s="895"/>
      <c r="F164" s="896"/>
      <c r="G164" s="896"/>
      <c r="H164" s="896"/>
      <c r="I164" s="79"/>
    </row>
    <row r="165" spans="1:9" ht="12.75" customHeight="1">
      <c r="A165" s="35"/>
      <c r="B165" s="882" t="s">
        <v>112</v>
      </c>
      <c r="C165" s="883"/>
      <c r="E165" s="895"/>
      <c r="F165" s="896"/>
      <c r="G165" s="896"/>
      <c r="H165" s="896"/>
      <c r="I165" s="79"/>
    </row>
    <row r="166" spans="1:9" ht="12.75" customHeight="1">
      <c r="A166" s="35"/>
      <c r="B166" s="882"/>
      <c r="C166" s="883"/>
      <c r="D166" s="37"/>
      <c r="E166" s="892" t="s">
        <v>111</v>
      </c>
      <c r="F166" s="892"/>
      <c r="G166" s="892"/>
      <c r="H166" s="892"/>
      <c r="I166" s="79"/>
    </row>
    <row r="167" spans="1:9" ht="12.75" customHeight="1">
      <c r="A167" s="35"/>
      <c r="B167" s="882"/>
      <c r="C167" s="883"/>
      <c r="D167" s="37"/>
      <c r="E167" s="893" t="s">
        <v>112</v>
      </c>
      <c r="F167" s="893"/>
      <c r="G167" s="893"/>
      <c r="H167" s="893"/>
      <c r="I167" s="79"/>
    </row>
    <row r="168" spans="1:9" ht="12.75" customHeight="1">
      <c r="A168" s="35"/>
      <c r="B168" s="882"/>
      <c r="C168" s="883"/>
      <c r="D168" s="37"/>
      <c r="E168" s="894"/>
      <c r="F168" s="894"/>
      <c r="G168" s="894"/>
      <c r="H168" s="894"/>
      <c r="I168" s="79"/>
    </row>
    <row r="169" spans="1:9" ht="12.75" customHeight="1">
      <c r="A169" s="35"/>
      <c r="B169" s="882"/>
      <c r="C169" s="883"/>
      <c r="D169" s="37"/>
      <c r="E169" s="894"/>
      <c r="F169" s="894"/>
      <c r="G169" s="894"/>
      <c r="H169" s="894"/>
      <c r="I169" s="79"/>
    </row>
    <row r="170" spans="1:9" ht="12.75" customHeight="1">
      <c r="A170" s="35"/>
      <c r="B170" s="882"/>
      <c r="C170" s="883"/>
      <c r="D170" s="37"/>
      <c r="E170" s="887"/>
      <c r="F170" s="887"/>
      <c r="G170" s="887"/>
      <c r="H170" s="887"/>
      <c r="I170" s="79"/>
    </row>
    <row r="171" spans="1:9" ht="12" customHeight="1">
      <c r="A171" s="35"/>
      <c r="B171" s="913"/>
      <c r="C171" s="914"/>
      <c r="D171" s="37"/>
      <c r="E171" s="881"/>
      <c r="F171" s="881"/>
      <c r="G171" s="881"/>
      <c r="H171" s="881"/>
      <c r="I171" s="79"/>
    </row>
    <row r="172" spans="1:9">
      <c r="A172" s="35"/>
      <c r="B172" s="37"/>
      <c r="C172" s="37"/>
      <c r="D172" s="37"/>
      <c r="E172" s="37"/>
    </row>
    <row r="173" spans="1:9">
      <c r="A173" s="35"/>
      <c r="B173" s="37"/>
      <c r="C173" s="37"/>
      <c r="D173" s="37"/>
      <c r="E173" s="37"/>
    </row>
    <row r="174" spans="1:9">
      <c r="A174" s="35"/>
      <c r="B174" s="886" t="s">
        <v>91</v>
      </c>
      <c r="C174" s="887"/>
      <c r="D174" s="37"/>
      <c r="E174" s="886" t="s">
        <v>29</v>
      </c>
      <c r="F174" s="922"/>
      <c r="G174" s="922"/>
      <c r="H174" s="923"/>
      <c r="I174" s="13"/>
    </row>
    <row r="175" spans="1:9" ht="13.5" customHeight="1">
      <c r="A175" s="35"/>
      <c r="B175" s="884" t="s">
        <v>113</v>
      </c>
      <c r="C175" s="885"/>
      <c r="E175" s="880" t="s">
        <v>114</v>
      </c>
      <c r="F175" s="902"/>
      <c r="G175" s="902"/>
      <c r="H175" s="903"/>
      <c r="I175" s="79"/>
    </row>
    <row r="176" spans="1:9" ht="12.75" customHeight="1">
      <c r="A176" s="35"/>
      <c r="B176" s="882" t="s">
        <v>115</v>
      </c>
      <c r="C176" s="883"/>
      <c r="E176" s="878"/>
      <c r="F176" s="904"/>
      <c r="G176" s="904"/>
      <c r="H176" s="905"/>
      <c r="I176" s="79"/>
    </row>
    <row r="177" spans="1:9" ht="13.5" customHeight="1">
      <c r="A177" s="35"/>
      <c r="B177" s="882" t="s">
        <v>116</v>
      </c>
      <c r="C177" s="883"/>
      <c r="E177" s="897"/>
      <c r="F177" s="920"/>
      <c r="G177" s="920"/>
      <c r="H177" s="921"/>
      <c r="I177" s="79"/>
    </row>
    <row r="178" spans="1:9" ht="12.75" customHeight="1">
      <c r="A178" s="35"/>
      <c r="B178" s="882" t="s">
        <v>117</v>
      </c>
      <c r="C178" s="883"/>
      <c r="E178" s="897"/>
      <c r="F178" s="920"/>
      <c r="G178" s="920"/>
      <c r="H178" s="921"/>
      <c r="I178" s="79"/>
    </row>
    <row r="179" spans="1:9" ht="13.5" customHeight="1">
      <c r="A179" s="35"/>
      <c r="B179" s="882" t="s">
        <v>118</v>
      </c>
      <c r="C179" s="883"/>
      <c r="E179" s="897"/>
      <c r="F179" s="920"/>
      <c r="G179" s="920"/>
      <c r="H179" s="921"/>
      <c r="I179" s="79"/>
    </row>
    <row r="180" spans="1:9" ht="13.5" customHeight="1">
      <c r="A180" s="35"/>
      <c r="B180" s="882" t="s">
        <v>119</v>
      </c>
      <c r="C180" s="883"/>
      <c r="E180" s="897"/>
      <c r="F180" s="920"/>
      <c r="G180" s="920"/>
      <c r="H180" s="921"/>
      <c r="I180" s="79"/>
    </row>
    <row r="181" spans="1:9">
      <c r="A181" s="35"/>
      <c r="B181" s="913"/>
      <c r="C181" s="914"/>
      <c r="D181" s="37"/>
      <c r="E181" s="900"/>
      <c r="F181" s="900"/>
      <c r="G181" s="79"/>
      <c r="H181" s="79"/>
      <c r="I181" s="79"/>
    </row>
    <row r="182" spans="1:9" ht="12.75" customHeight="1">
      <c r="A182" s="35"/>
      <c r="B182" s="35"/>
      <c r="C182" s="35"/>
      <c r="D182" s="37"/>
      <c r="E182" s="79"/>
      <c r="F182" s="79"/>
      <c r="G182" s="79"/>
      <c r="H182" s="79"/>
      <c r="I182" s="79"/>
    </row>
    <row r="183" spans="1:9" ht="12.75" customHeight="1">
      <c r="A183" s="35"/>
      <c r="B183" s="35"/>
      <c r="C183" s="35"/>
      <c r="D183" s="37"/>
      <c r="E183" s="79"/>
      <c r="F183" s="79"/>
      <c r="G183" s="79"/>
      <c r="H183" s="79"/>
      <c r="I183" s="79"/>
    </row>
    <row r="184" spans="1:9" ht="12.75" customHeight="1">
      <c r="A184" s="35"/>
      <c r="B184" s="886" t="s">
        <v>92</v>
      </c>
      <c r="C184" s="887"/>
      <c r="D184" s="37"/>
      <c r="E184" s="886" t="s">
        <v>54</v>
      </c>
      <c r="F184" s="886"/>
      <c r="G184" s="886"/>
      <c r="H184" s="887"/>
      <c r="I184" s="116"/>
    </row>
    <row r="185" spans="1:9" ht="12.75" customHeight="1">
      <c r="A185" s="35"/>
      <c r="B185" s="884" t="s">
        <v>113</v>
      </c>
      <c r="C185" s="901"/>
      <c r="E185" s="916" t="s">
        <v>113</v>
      </c>
      <c r="F185" s="917"/>
      <c r="G185" s="917"/>
      <c r="H185" s="918"/>
      <c r="I185" s="79"/>
    </row>
    <row r="186" spans="1:9" ht="12.75" customHeight="1">
      <c r="A186" s="35"/>
      <c r="B186" s="882" t="s">
        <v>115</v>
      </c>
      <c r="C186" s="899"/>
      <c r="E186" s="916" t="s">
        <v>115</v>
      </c>
      <c r="F186" s="917"/>
      <c r="G186" s="917"/>
      <c r="H186" s="918"/>
      <c r="I186" s="79"/>
    </row>
    <row r="187" spans="1:9" ht="12.75" customHeight="1">
      <c r="A187" s="35"/>
      <c r="B187" s="882" t="s">
        <v>116</v>
      </c>
      <c r="C187" s="899"/>
      <c r="E187" s="916" t="s">
        <v>116</v>
      </c>
      <c r="F187" s="917"/>
      <c r="G187" s="917"/>
      <c r="H187" s="918"/>
      <c r="I187" s="79"/>
    </row>
    <row r="188" spans="1:9" ht="12.75" customHeight="1">
      <c r="A188" s="35"/>
      <c r="B188" s="882" t="s">
        <v>117</v>
      </c>
      <c r="C188" s="899"/>
      <c r="E188" s="916" t="s">
        <v>117</v>
      </c>
      <c r="F188" s="917"/>
      <c r="G188" s="917"/>
      <c r="H188" s="918"/>
      <c r="I188" s="79"/>
    </row>
    <row r="189" spans="1:9" ht="12.75" customHeight="1">
      <c r="A189" s="35"/>
      <c r="B189" s="882" t="s">
        <v>118</v>
      </c>
      <c r="C189" s="899"/>
      <c r="E189" s="916" t="s">
        <v>118</v>
      </c>
      <c r="F189" s="917"/>
      <c r="G189" s="917"/>
      <c r="H189" s="918"/>
      <c r="I189" s="79"/>
    </row>
    <row r="190" spans="1:9" ht="12.75" customHeight="1">
      <c r="A190" s="35"/>
      <c r="B190" s="882" t="s">
        <v>119</v>
      </c>
      <c r="C190" s="899"/>
      <c r="E190" s="916" t="s">
        <v>119</v>
      </c>
      <c r="F190" s="917"/>
      <c r="G190" s="917"/>
      <c r="H190" s="918"/>
      <c r="I190" s="79"/>
    </row>
    <row r="191" spans="1:9">
      <c r="A191" s="35"/>
      <c r="B191" s="888"/>
      <c r="C191" s="889"/>
      <c r="D191" s="37"/>
      <c r="E191" s="888"/>
      <c r="F191" s="888"/>
      <c r="G191" s="888"/>
      <c r="H191" s="889"/>
      <c r="I191" s="79"/>
    </row>
    <row r="192" spans="1:9" ht="12.75" customHeight="1">
      <c r="A192" s="35"/>
      <c r="D192" s="37"/>
      <c r="E192" s="37"/>
    </row>
    <row r="193" spans="1:13" ht="12.75" customHeight="1">
      <c r="A193" s="35"/>
      <c r="B193" s="274" t="s">
        <v>120</v>
      </c>
      <c r="C193" s="81"/>
      <c r="D193" s="81"/>
      <c r="E193" s="81"/>
      <c r="F193" s="82"/>
      <c r="G193" s="82"/>
      <c r="H193" s="82"/>
      <c r="I193" s="82"/>
      <c r="J193" s="82"/>
      <c r="K193" s="82"/>
      <c r="L193" s="82"/>
      <c r="M193" s="82"/>
    </row>
    <row r="194" spans="1:13" ht="12.75" customHeight="1">
      <c r="A194" s="35"/>
      <c r="B194" s="80"/>
      <c r="C194" s="81"/>
      <c r="D194" s="81"/>
      <c r="E194" s="81"/>
      <c r="F194" s="82"/>
      <c r="G194" s="82"/>
      <c r="H194" s="82"/>
      <c r="I194" s="82"/>
    </row>
    <row r="195" spans="1:13" ht="12.75" customHeight="1">
      <c r="A195" s="35"/>
      <c r="B195" s="216" t="s">
        <v>121</v>
      </c>
      <c r="C195" s="37"/>
      <c r="D195" s="37"/>
      <c r="E195" s="237" t="b">
        <f>OR((LEFT('RFPR cover'!$C$8,2)=Data!F195),'RFPR cover'!$C$7=Data!F195)</f>
        <v>1</v>
      </c>
      <c r="F195" s="238" t="str">
        <f>B206</f>
        <v>ED</v>
      </c>
    </row>
    <row r="196" spans="1:13" ht="19.5" customHeight="1">
      <c r="A196" s="35"/>
      <c r="B196" s="84" t="str">
        <f t="shared" ref="B196:B203" si="25">CHOOSE(MATCH(TRUE,$E$195:$E$203,0),B207,B218,B229,E229,B240,E240,B251,E251,B262)&amp;""</f>
        <v>Network Innovation Allowance</v>
      </c>
      <c r="C196" s="37"/>
      <c r="D196" s="37"/>
      <c r="E196" s="281" t="b">
        <f>OR((LEFT('RFPR cover'!$C$8,2)=Data!F196),'RFPR cover'!$C$7=Data!F196)</f>
        <v>0</v>
      </c>
      <c r="F196" s="229" t="str">
        <f>B217</f>
        <v>GD</v>
      </c>
    </row>
    <row r="197" spans="1:13" ht="22.5" customHeight="1">
      <c r="A197" s="35"/>
      <c r="B197" s="84" t="str">
        <f t="shared" si="25"/>
        <v>Carry-over Network Innovation Allowance</v>
      </c>
      <c r="C197" s="37"/>
      <c r="D197" s="37"/>
      <c r="E197" s="281" t="b">
        <f>OR((LEFT('RFPR cover'!$C$8,2)=Data!F197),'RFPR cover'!$C$7=Data!F197)</f>
        <v>0</v>
      </c>
      <c r="F197" s="230" t="str">
        <f>B228</f>
        <v>NGGT (TO)</v>
      </c>
    </row>
    <row r="198" spans="1:13" ht="19.5" customHeight="1">
      <c r="A198" s="35"/>
      <c r="B198" s="84" t="str">
        <f t="shared" si="25"/>
        <v/>
      </c>
      <c r="C198" s="37"/>
      <c r="D198" s="37"/>
      <c r="E198" s="281" t="b">
        <f>OR((LEFT('RFPR cover'!$C$8,2)=Data!F198),'RFPR cover'!$C$7=Data!F198)</f>
        <v>0</v>
      </c>
      <c r="F198" s="230" t="str">
        <f>E228</f>
        <v>NGGT (SO)</v>
      </c>
    </row>
    <row r="199" spans="1:13" ht="19.5" customHeight="1">
      <c r="A199" s="35"/>
      <c r="B199" s="84" t="str">
        <f t="shared" si="25"/>
        <v/>
      </c>
      <c r="C199" s="37"/>
      <c r="D199" s="37"/>
      <c r="E199" s="281" t="b">
        <f>OR((LEFT('RFPR cover'!$C$8,2)=Data!F199),'RFPR cover'!$C$7=Data!F199)</f>
        <v>0</v>
      </c>
      <c r="F199" s="230" t="str">
        <f>B239</f>
        <v>NGGT (TO+SO)</v>
      </c>
    </row>
    <row r="200" spans="1:13" ht="19.5" customHeight="1">
      <c r="A200" s="35"/>
      <c r="B200" s="84" t="str">
        <f t="shared" si="25"/>
        <v/>
      </c>
      <c r="C200" s="37"/>
      <c r="D200" s="37"/>
      <c r="E200" s="281" t="b">
        <f>OR((LEFT('RFPR cover'!$C$8,2)=Data!F200),'RFPR cover'!$C$7=Data!F200)</f>
        <v>0</v>
      </c>
      <c r="F200" s="230" t="str">
        <f>E239</f>
        <v>NGET (TO)</v>
      </c>
    </row>
    <row r="201" spans="1:13" ht="19.5" customHeight="1">
      <c r="A201" s="35"/>
      <c r="B201" s="84" t="str">
        <f t="shared" si="25"/>
        <v/>
      </c>
      <c r="C201" s="37"/>
      <c r="D201" s="37"/>
      <c r="E201" s="281" t="b">
        <f>OR((LEFT('RFPR cover'!$C$8,2)=Data!F201),'RFPR cover'!$C$7=Data!F201)</f>
        <v>0</v>
      </c>
      <c r="F201" s="230" t="str">
        <f>B250</f>
        <v>ESO</v>
      </c>
    </row>
    <row r="202" spans="1:13" ht="19.5" customHeight="1">
      <c r="A202" s="35"/>
      <c r="B202" s="84" t="str">
        <f t="shared" si="25"/>
        <v/>
      </c>
      <c r="C202" s="37"/>
      <c r="D202" s="37"/>
      <c r="E202" s="281" t="b">
        <f>OR((LEFT('RFPR cover'!$C$8,2)=Data!F202),'RFPR cover'!$C$7=Data!F202)</f>
        <v>0</v>
      </c>
      <c r="F202" s="230" t="str">
        <f>E250</f>
        <v>SPT</v>
      </c>
    </row>
    <row r="203" spans="1:13" ht="19.5" customHeight="1">
      <c r="A203" s="35"/>
      <c r="B203" s="84" t="str">
        <f t="shared" si="25"/>
        <v/>
      </c>
      <c r="C203" s="37"/>
      <c r="D203" s="37"/>
      <c r="E203" s="231" t="b">
        <f>OR((LEFT('RFPR cover'!$C$8,2)=Data!F203),'RFPR cover'!$C$7=Data!F203)</f>
        <v>0</v>
      </c>
      <c r="F203" s="233" t="str">
        <f>B261</f>
        <v>SHET</v>
      </c>
      <c r="G203" s="37"/>
      <c r="H203" s="37"/>
      <c r="I203" s="37"/>
    </row>
    <row r="204" spans="1:13" ht="12.75" customHeight="1">
      <c r="A204" s="35"/>
      <c r="B204" s="37"/>
      <c r="C204" s="37"/>
      <c r="D204" s="37"/>
      <c r="E204" s="11"/>
      <c r="F204" s="83"/>
    </row>
    <row r="205" spans="1:13" ht="12.75" customHeight="1">
      <c r="A205" s="35"/>
      <c r="B205" s="114"/>
      <c r="C205" s="114"/>
      <c r="D205" s="37"/>
      <c r="E205" s="11"/>
      <c r="F205" s="83"/>
    </row>
    <row r="206" spans="1:13" ht="12.75" customHeight="1">
      <c r="A206" s="35"/>
      <c r="B206" s="906" t="s">
        <v>19</v>
      </c>
      <c r="C206" s="907"/>
      <c r="D206" s="37"/>
      <c r="E206" s="37"/>
    </row>
    <row r="207" spans="1:13" ht="12.75" customHeight="1">
      <c r="A207" s="35"/>
      <c r="B207" s="878" t="s">
        <v>122</v>
      </c>
      <c r="C207" s="879"/>
      <c r="D207" s="37"/>
      <c r="E207" s="37"/>
    </row>
    <row r="208" spans="1:13" ht="12.75" customHeight="1">
      <c r="A208" s="35"/>
      <c r="B208" s="897" t="s">
        <v>123</v>
      </c>
      <c r="C208" s="898"/>
      <c r="D208" s="37"/>
      <c r="E208" s="37"/>
    </row>
    <row r="209" spans="1:5" ht="12.75" customHeight="1">
      <c r="A209" s="35"/>
      <c r="B209" s="897"/>
      <c r="C209" s="898"/>
      <c r="D209" s="37"/>
      <c r="E209" s="37"/>
    </row>
    <row r="210" spans="1:5" ht="12.75" customHeight="1">
      <c r="A210" s="35"/>
      <c r="B210" s="897"/>
      <c r="C210" s="898"/>
      <c r="D210" s="37"/>
      <c r="E210" s="37"/>
    </row>
    <row r="211" spans="1:5" ht="12.75" customHeight="1">
      <c r="A211" s="35"/>
      <c r="B211" s="897"/>
      <c r="C211" s="898"/>
      <c r="D211" s="37"/>
      <c r="E211" s="37"/>
    </row>
    <row r="212" spans="1:5" ht="12.75" customHeight="1">
      <c r="A212" s="35"/>
      <c r="B212" s="897"/>
      <c r="C212" s="898"/>
      <c r="D212" s="37"/>
      <c r="E212" s="37"/>
    </row>
    <row r="213" spans="1:5">
      <c r="A213" s="35"/>
      <c r="B213" s="897"/>
      <c r="C213" s="898"/>
      <c r="D213" s="37"/>
      <c r="E213" s="37"/>
    </row>
    <row r="214" spans="1:5" ht="12.75" customHeight="1">
      <c r="A214" s="35"/>
      <c r="B214" s="888"/>
      <c r="C214" s="889"/>
      <c r="D214" s="37"/>
      <c r="E214" s="37"/>
    </row>
    <row r="215" spans="1:5" ht="12.75" customHeight="1">
      <c r="A215" s="35"/>
      <c r="B215" s="37"/>
      <c r="C215" s="37"/>
      <c r="D215" s="37"/>
      <c r="E215" s="37"/>
    </row>
    <row r="216" spans="1:5" ht="12.75" customHeight="1">
      <c r="A216" s="35"/>
      <c r="B216" s="37"/>
      <c r="C216" s="37"/>
      <c r="D216" s="37"/>
      <c r="E216" s="37"/>
    </row>
    <row r="217" spans="1:5" ht="12.75" customHeight="1">
      <c r="A217" s="35"/>
      <c r="B217" s="880" t="s">
        <v>25</v>
      </c>
      <c r="C217" s="881"/>
      <c r="D217" s="37"/>
      <c r="E217" s="37"/>
    </row>
    <row r="218" spans="1:5" ht="12.75" customHeight="1">
      <c r="A218" s="35"/>
      <c r="B218" s="878" t="s">
        <v>124</v>
      </c>
      <c r="C218" s="879"/>
      <c r="E218" s="37"/>
    </row>
    <row r="219" spans="1:5" ht="12.75" customHeight="1">
      <c r="A219" s="35"/>
      <c r="B219" s="897" t="s">
        <v>125</v>
      </c>
      <c r="C219" s="898"/>
      <c r="D219" s="37"/>
      <c r="E219" s="37"/>
    </row>
    <row r="220" spans="1:5" ht="12.75" customHeight="1">
      <c r="A220" s="35"/>
      <c r="B220" s="897"/>
      <c r="C220" s="898"/>
      <c r="D220" s="37"/>
      <c r="E220" s="37"/>
    </row>
    <row r="221" spans="1:5" ht="12.75" customHeight="1">
      <c r="A221" s="35"/>
      <c r="B221" s="897"/>
      <c r="C221" s="898"/>
      <c r="D221" s="37"/>
      <c r="E221" s="37"/>
    </row>
    <row r="222" spans="1:5">
      <c r="A222" s="35"/>
      <c r="B222" s="897"/>
      <c r="C222" s="898"/>
      <c r="D222" s="37"/>
      <c r="E222" s="37"/>
    </row>
    <row r="223" spans="1:5">
      <c r="A223" s="35"/>
      <c r="B223" s="897"/>
      <c r="C223" s="898"/>
      <c r="D223" s="37"/>
      <c r="E223" s="37"/>
    </row>
    <row r="224" spans="1:5" ht="12.75" customHeight="1">
      <c r="A224" s="35"/>
      <c r="B224" s="897"/>
      <c r="C224" s="898"/>
      <c r="D224" s="37"/>
      <c r="E224" s="37"/>
    </row>
    <row r="225" spans="1:9">
      <c r="A225" s="35"/>
      <c r="B225" s="888"/>
      <c r="C225" s="889"/>
      <c r="D225" s="37"/>
      <c r="E225" s="37"/>
    </row>
    <row r="226" spans="1:9">
      <c r="A226" s="35"/>
      <c r="B226" s="37"/>
      <c r="C226" s="37"/>
      <c r="D226" s="37"/>
      <c r="E226" s="37"/>
    </row>
    <row r="227" spans="1:9">
      <c r="A227" s="35"/>
      <c r="B227" s="37"/>
      <c r="C227" s="37"/>
      <c r="D227" s="37"/>
      <c r="E227" s="37"/>
    </row>
    <row r="228" spans="1:9">
      <c r="A228" s="35"/>
      <c r="B228" s="160" t="str">
        <f>B85</f>
        <v>NGGT (TO)</v>
      </c>
      <c r="C228" s="139"/>
      <c r="D228" s="37"/>
      <c r="E228" s="886" t="str">
        <f>B86</f>
        <v>NGGT (SO)</v>
      </c>
      <c r="F228" s="886"/>
      <c r="G228" s="886"/>
      <c r="H228" s="886"/>
      <c r="I228" s="887"/>
    </row>
    <row r="229" spans="1:9">
      <c r="A229" s="35"/>
      <c r="B229" s="820" t="s">
        <v>126</v>
      </c>
      <c r="C229" s="821"/>
      <c r="E229" s="895"/>
      <c r="F229" s="896"/>
      <c r="G229" s="896"/>
      <c r="H229" s="896"/>
      <c r="I229" s="919"/>
    </row>
    <row r="230" spans="1:9" ht="25.5" customHeight="1">
      <c r="A230" s="35"/>
      <c r="B230" s="161" t="s">
        <v>127</v>
      </c>
      <c r="C230" s="140"/>
      <c r="E230" s="895"/>
      <c r="F230" s="896"/>
      <c r="G230" s="896"/>
      <c r="H230" s="896"/>
      <c r="I230" s="919"/>
    </row>
    <row r="231" spans="1:9" ht="13.5" customHeight="1">
      <c r="A231" s="35"/>
      <c r="B231" s="161" t="s">
        <v>128</v>
      </c>
      <c r="C231" s="140"/>
      <c r="D231" s="37"/>
      <c r="E231" s="895"/>
      <c r="F231" s="896"/>
      <c r="G231" s="896"/>
      <c r="H231" s="896"/>
      <c r="I231" s="919"/>
    </row>
    <row r="232" spans="1:9" ht="13.5" customHeight="1">
      <c r="A232" s="35"/>
      <c r="B232" s="161"/>
      <c r="C232" s="845"/>
      <c r="D232" s="37"/>
      <c r="E232" s="924" t="s">
        <v>129</v>
      </c>
      <c r="F232" s="925"/>
      <c r="G232" s="925"/>
      <c r="H232" s="925"/>
      <c r="I232" s="926"/>
    </row>
    <row r="233" spans="1:9" ht="13.5" customHeight="1">
      <c r="A233" s="35"/>
      <c r="B233" s="161"/>
      <c r="C233" s="140"/>
      <c r="D233" s="37"/>
      <c r="E233" s="924" t="s">
        <v>130</v>
      </c>
      <c r="F233" s="925"/>
      <c r="G233" s="925"/>
      <c r="H233" s="925"/>
      <c r="I233" s="926"/>
    </row>
    <row r="234" spans="1:9" ht="13.5" customHeight="1">
      <c r="A234" s="35"/>
      <c r="B234" s="897"/>
      <c r="C234" s="898"/>
      <c r="D234" s="37"/>
      <c r="E234" s="924" t="s">
        <v>131</v>
      </c>
      <c r="F234" s="925"/>
      <c r="G234" s="925"/>
      <c r="H234" s="925"/>
      <c r="I234" s="926"/>
    </row>
    <row r="235" spans="1:9" ht="13.5" customHeight="1">
      <c r="A235" s="35"/>
      <c r="B235" s="897"/>
      <c r="C235" s="898"/>
      <c r="D235" s="37"/>
      <c r="E235" s="927" t="s">
        <v>132</v>
      </c>
      <c r="F235" s="928"/>
      <c r="G235" s="928"/>
      <c r="H235" s="928"/>
      <c r="I235" s="929"/>
    </row>
    <row r="236" spans="1:9" ht="12.75" customHeight="1">
      <c r="A236" s="35"/>
      <c r="B236" s="888"/>
      <c r="C236" s="889"/>
      <c r="D236" s="37"/>
      <c r="E236" s="930" t="s">
        <v>133</v>
      </c>
      <c r="F236" s="931"/>
      <c r="G236" s="931"/>
      <c r="H236" s="931"/>
      <c r="I236" s="932"/>
    </row>
    <row r="237" spans="1:9">
      <c r="A237" s="35"/>
      <c r="B237" s="37"/>
      <c r="C237" s="37"/>
      <c r="D237" s="37"/>
      <c r="E237" s="37"/>
    </row>
    <row r="238" spans="1:9" ht="12.75" customHeight="1">
      <c r="A238" s="35"/>
      <c r="B238" s="37"/>
      <c r="C238" s="37"/>
      <c r="D238" s="37"/>
      <c r="E238" s="37"/>
    </row>
    <row r="239" spans="1:9">
      <c r="A239" s="35"/>
      <c r="B239" s="886" t="s">
        <v>90</v>
      </c>
      <c r="C239" s="887"/>
      <c r="E239" s="886" t="s">
        <v>91</v>
      </c>
      <c r="F239" s="886"/>
      <c r="G239" s="886"/>
      <c r="H239" s="886"/>
      <c r="I239" s="887"/>
    </row>
    <row r="240" spans="1:9" ht="12.75" customHeight="1">
      <c r="A240" s="35"/>
      <c r="B240" s="878" t="s">
        <v>126</v>
      </c>
      <c r="C240" s="879"/>
      <c r="E240" s="878" t="s">
        <v>126</v>
      </c>
      <c r="F240" s="878"/>
      <c r="G240" s="878"/>
      <c r="H240" s="878"/>
      <c r="I240" s="879"/>
    </row>
    <row r="241" spans="1:9" ht="12.75" customHeight="1">
      <c r="A241" s="35"/>
      <c r="B241" s="897" t="s">
        <v>127</v>
      </c>
      <c r="C241" s="898"/>
      <c r="D241" s="37"/>
      <c r="E241" s="897" t="s">
        <v>134</v>
      </c>
      <c r="F241" s="897"/>
      <c r="G241" s="897"/>
      <c r="H241" s="897"/>
      <c r="I241" s="898"/>
    </row>
    <row r="242" spans="1:9" ht="12.75" customHeight="1">
      <c r="A242" s="35"/>
      <c r="B242" s="897" t="s">
        <v>128</v>
      </c>
      <c r="C242" s="898"/>
      <c r="D242" s="37"/>
      <c r="E242" s="897"/>
      <c r="F242" s="897"/>
      <c r="G242" s="897"/>
      <c r="H242" s="897"/>
      <c r="I242" s="898"/>
    </row>
    <row r="243" spans="1:9" ht="24" customHeight="1">
      <c r="A243" s="35"/>
      <c r="B243" s="897" t="s">
        <v>135</v>
      </c>
      <c r="C243" s="898"/>
      <c r="D243" s="37"/>
      <c r="E243" s="897"/>
      <c r="F243" s="897"/>
      <c r="G243" s="897"/>
      <c r="H243" s="897"/>
      <c r="I243" s="898"/>
    </row>
    <row r="244" spans="1:9">
      <c r="A244" s="35"/>
      <c r="B244" s="897" t="s">
        <v>130</v>
      </c>
      <c r="C244" s="898"/>
      <c r="E244" s="897"/>
      <c r="F244" s="897"/>
      <c r="G244" s="897"/>
      <c r="H244" s="897"/>
      <c r="I244" s="898"/>
    </row>
    <row r="245" spans="1:9">
      <c r="A245" s="35"/>
      <c r="B245" s="897" t="s">
        <v>131</v>
      </c>
      <c r="C245" s="898"/>
      <c r="E245" s="897"/>
      <c r="F245" s="897"/>
      <c r="G245" s="897"/>
      <c r="H245" s="897"/>
      <c r="I245" s="898"/>
    </row>
    <row r="246" spans="1:9" ht="12.75" customHeight="1">
      <c r="A246" s="35"/>
      <c r="B246" s="897" t="s">
        <v>136</v>
      </c>
      <c r="C246" s="898"/>
      <c r="D246" s="37"/>
      <c r="E246" s="897"/>
      <c r="F246" s="897"/>
      <c r="G246" s="897"/>
      <c r="H246" s="897"/>
      <c r="I246" s="898"/>
    </row>
    <row r="247" spans="1:9" ht="12.75" customHeight="1">
      <c r="A247" s="35"/>
      <c r="B247" s="888" t="s">
        <v>133</v>
      </c>
      <c r="C247" s="889"/>
      <c r="D247" s="37"/>
      <c r="E247" s="888"/>
      <c r="F247" s="888"/>
      <c r="G247" s="888"/>
      <c r="H247" s="888"/>
      <c r="I247" s="889"/>
    </row>
    <row r="248" spans="1:9" ht="12.75" customHeight="1">
      <c r="A248" s="35"/>
      <c r="B248" s="35"/>
      <c r="C248" s="35"/>
      <c r="D248" s="37"/>
      <c r="E248" s="79"/>
      <c r="F248" s="79"/>
      <c r="G248" s="79"/>
      <c r="H248" s="79"/>
      <c r="I248" s="79"/>
    </row>
    <row r="249" spans="1:9" ht="12.75" customHeight="1">
      <c r="A249" s="35"/>
      <c r="B249" s="35"/>
      <c r="C249" s="35"/>
      <c r="D249" s="37"/>
      <c r="E249" s="79"/>
      <c r="F249" s="79"/>
      <c r="G249" s="79"/>
      <c r="H249" s="79"/>
      <c r="I249" s="79"/>
    </row>
    <row r="250" spans="1:9" ht="12.75" customHeight="1">
      <c r="A250" s="35"/>
      <c r="B250" s="886" t="s">
        <v>29</v>
      </c>
      <c r="C250" s="887"/>
      <c r="D250" s="37"/>
      <c r="E250" s="886" t="s">
        <v>92</v>
      </c>
      <c r="F250" s="886"/>
      <c r="G250" s="886"/>
      <c r="H250" s="886"/>
      <c r="I250" s="887"/>
    </row>
    <row r="251" spans="1:9" ht="12.75" customHeight="1">
      <c r="A251" s="35"/>
      <c r="B251" s="878" t="s">
        <v>137</v>
      </c>
      <c r="C251" s="879"/>
      <c r="D251" s="37"/>
      <c r="E251" s="878" t="s">
        <v>138</v>
      </c>
      <c r="F251" s="878"/>
      <c r="G251" s="878"/>
      <c r="H251" s="878"/>
      <c r="I251" s="879"/>
    </row>
    <row r="252" spans="1:9" ht="25.5" customHeight="1">
      <c r="A252" s="35"/>
      <c r="B252" s="897" t="s">
        <v>139</v>
      </c>
      <c r="C252" s="898"/>
      <c r="E252" s="897" t="s">
        <v>125</v>
      </c>
      <c r="F252" s="897"/>
      <c r="G252" s="897"/>
      <c r="H252" s="897"/>
      <c r="I252" s="898"/>
    </row>
    <row r="253" spans="1:9" ht="25.5" customHeight="1">
      <c r="A253" s="35"/>
      <c r="B253" s="897"/>
      <c r="C253" s="898"/>
      <c r="E253" s="897"/>
      <c r="F253" s="897"/>
      <c r="G253" s="897"/>
      <c r="H253" s="897"/>
      <c r="I253" s="898"/>
    </row>
    <row r="254" spans="1:9" ht="25.5" customHeight="1">
      <c r="A254" s="35"/>
      <c r="B254" s="897"/>
      <c r="C254" s="898"/>
      <c r="E254" s="897"/>
      <c r="F254" s="897"/>
      <c r="G254" s="897"/>
      <c r="H254" s="897"/>
      <c r="I254" s="898"/>
    </row>
    <row r="255" spans="1:9" ht="25.5" customHeight="1">
      <c r="A255" s="35"/>
      <c r="B255" s="897"/>
      <c r="C255" s="898"/>
      <c r="E255" s="897"/>
      <c r="F255" s="897"/>
      <c r="G255" s="897"/>
      <c r="H255" s="897"/>
      <c r="I255" s="898"/>
    </row>
    <row r="256" spans="1:9" ht="25.5" customHeight="1">
      <c r="A256" s="35"/>
      <c r="B256" s="897"/>
      <c r="C256" s="898"/>
      <c r="E256" s="897"/>
      <c r="F256" s="897"/>
      <c r="G256" s="897"/>
      <c r="H256" s="897"/>
      <c r="I256" s="898"/>
    </row>
    <row r="257" spans="1:14">
      <c r="A257" s="35"/>
      <c r="B257" s="897"/>
      <c r="C257" s="898"/>
      <c r="E257" s="897"/>
      <c r="F257" s="897"/>
      <c r="G257" s="897"/>
      <c r="H257" s="897"/>
      <c r="I257" s="898"/>
    </row>
    <row r="258" spans="1:14">
      <c r="A258" s="35"/>
      <c r="B258" s="888"/>
      <c r="C258" s="889"/>
      <c r="D258" s="37"/>
      <c r="E258" s="888"/>
      <c r="F258" s="888"/>
      <c r="G258" s="888"/>
      <c r="H258" s="888"/>
      <c r="I258" s="889"/>
    </row>
    <row r="259" spans="1:14">
      <c r="A259" s="35"/>
      <c r="D259" s="37"/>
      <c r="E259" s="37"/>
    </row>
    <row r="260" spans="1:14">
      <c r="A260" s="35"/>
      <c r="D260" s="37"/>
      <c r="E260" s="37"/>
    </row>
    <row r="261" spans="1:14">
      <c r="A261" s="35"/>
      <c r="B261" s="886" t="s">
        <v>54</v>
      </c>
      <c r="C261" s="887"/>
      <c r="D261" s="37"/>
      <c r="E261" s="37"/>
    </row>
    <row r="262" spans="1:14">
      <c r="A262" s="35"/>
      <c r="B262" s="897" t="s">
        <v>138</v>
      </c>
      <c r="C262" s="898"/>
      <c r="D262" s="915"/>
      <c r="E262" s="915"/>
    </row>
    <row r="263" spans="1:14">
      <c r="A263" s="35"/>
      <c r="B263" s="897" t="s">
        <v>125</v>
      </c>
      <c r="C263" s="898"/>
      <c r="D263" s="915"/>
      <c r="E263" s="915"/>
    </row>
    <row r="264" spans="1:14">
      <c r="A264" s="35"/>
      <c r="B264" s="897"/>
      <c r="C264" s="898"/>
      <c r="D264" s="37"/>
      <c r="E264" s="37"/>
    </row>
    <row r="265" spans="1:14">
      <c r="A265" s="35"/>
      <c r="B265" s="897"/>
      <c r="C265" s="898"/>
      <c r="D265" s="37"/>
      <c r="E265" s="37"/>
    </row>
    <row r="266" spans="1:14">
      <c r="A266" s="35"/>
      <c r="B266" s="897"/>
      <c r="C266" s="898"/>
      <c r="D266" s="37"/>
      <c r="E266" s="37"/>
    </row>
    <row r="267" spans="1:14">
      <c r="A267" s="35"/>
      <c r="B267" s="897"/>
      <c r="C267" s="898"/>
      <c r="D267" s="37"/>
      <c r="E267" s="37"/>
    </row>
    <row r="268" spans="1:14">
      <c r="A268" s="35"/>
      <c r="B268" s="897"/>
      <c r="C268" s="898"/>
      <c r="D268" s="37"/>
      <c r="E268" s="37"/>
    </row>
    <row r="269" spans="1:14">
      <c r="A269" s="35"/>
      <c r="B269" s="888"/>
      <c r="C269" s="889"/>
      <c r="D269" s="37"/>
      <c r="E269" s="37"/>
    </row>
    <row r="270" spans="1:14">
      <c r="A270" s="35"/>
      <c r="D270" s="37"/>
      <c r="E270" s="37"/>
    </row>
    <row r="271" spans="1:14">
      <c r="A271" s="35"/>
      <c r="D271" s="37"/>
      <c r="E271" s="37"/>
    </row>
    <row r="272" spans="1:14">
      <c r="A272" s="35"/>
      <c r="B272" s="1"/>
      <c r="C272" s="1"/>
      <c r="D272" s="666"/>
      <c r="E272" s="666"/>
      <c r="F272" s="1"/>
      <c r="G272" s="1"/>
      <c r="H272" s="1"/>
      <c r="I272" s="1"/>
      <c r="J272" s="1"/>
      <c r="K272" s="1"/>
      <c r="L272" s="1"/>
      <c r="M272" s="1"/>
      <c r="N272" s="1"/>
    </row>
    <row r="273" spans="2:36">
      <c r="B273" s="274" t="s">
        <v>140</v>
      </c>
      <c r="C273" s="803"/>
      <c r="D273" s="803"/>
      <c r="E273" s="803"/>
      <c r="F273" s="273"/>
      <c r="G273" s="273"/>
      <c r="H273" s="273"/>
      <c r="I273" s="273"/>
      <c r="J273" s="273"/>
      <c r="K273" s="273"/>
      <c r="L273" s="273"/>
      <c r="M273" s="273"/>
      <c r="N273" s="273"/>
    </row>
    <row r="275" spans="2:36" ht="114.75">
      <c r="B275" s="251" t="s">
        <v>141</v>
      </c>
      <c r="C275" s="251" t="s">
        <v>142</v>
      </c>
      <c r="D275" s="251" t="s">
        <v>143</v>
      </c>
      <c r="E275" s="252" t="s">
        <v>144</v>
      </c>
      <c r="F275" s="252" t="s">
        <v>145</v>
      </c>
      <c r="G275" s="252" t="s">
        <v>146</v>
      </c>
      <c r="H275" s="252" t="s">
        <v>147</v>
      </c>
      <c r="I275" s="251" t="s">
        <v>148</v>
      </c>
      <c r="J275" s="251" t="s">
        <v>149</v>
      </c>
      <c r="K275" s="253" t="s">
        <v>150</v>
      </c>
      <c r="L275" s="253" t="s">
        <v>151</v>
      </c>
      <c r="M275" s="253" t="s">
        <v>152</v>
      </c>
      <c r="N275" s="253" t="s">
        <v>153</v>
      </c>
      <c r="O275" s="253" t="s">
        <v>154</v>
      </c>
      <c r="P275" s="253" t="s">
        <v>155</v>
      </c>
      <c r="Q275" s="253" t="s">
        <v>156</v>
      </c>
      <c r="R275" s="253" t="s">
        <v>157</v>
      </c>
      <c r="S275" s="253" t="s">
        <v>158</v>
      </c>
      <c r="T275" s="251" t="s">
        <v>159</v>
      </c>
      <c r="U275" s="251" t="s">
        <v>160</v>
      </c>
      <c r="V275" s="251" t="s">
        <v>161</v>
      </c>
      <c r="W275" s="251" t="s">
        <v>162</v>
      </c>
      <c r="X275" s="254" t="s">
        <v>163</v>
      </c>
      <c r="Y275" s="251" t="s">
        <v>164</v>
      </c>
      <c r="Z275" s="251" t="s">
        <v>165</v>
      </c>
      <c r="AA275" s="251" t="s">
        <v>166</v>
      </c>
      <c r="AB275" s="251" t="s">
        <v>167</v>
      </c>
      <c r="AC275" s="251" t="s">
        <v>168</v>
      </c>
      <c r="AD275" s="251" t="s">
        <v>169</v>
      </c>
      <c r="AE275" s="251" t="s">
        <v>170</v>
      </c>
      <c r="AF275" s="251" t="s">
        <v>171</v>
      </c>
      <c r="AG275" s="251" t="s">
        <v>172</v>
      </c>
      <c r="AH275" s="251" t="s">
        <v>173</v>
      </c>
      <c r="AI275" s="251" t="s">
        <v>174</v>
      </c>
      <c r="AJ275" s="255" t="s">
        <v>175</v>
      </c>
    </row>
    <row r="276" spans="2:36">
      <c r="B276" s="242" t="s">
        <v>19</v>
      </c>
      <c r="C276" t="s">
        <v>4</v>
      </c>
      <c r="D276" t="s">
        <v>176</v>
      </c>
      <c r="E276" t="s">
        <v>177</v>
      </c>
      <c r="F276" t="s">
        <v>178</v>
      </c>
      <c r="G276" t="s">
        <v>179</v>
      </c>
      <c r="H276" t="s">
        <v>180</v>
      </c>
      <c r="O276" t="s">
        <v>181</v>
      </c>
      <c r="Y276" t="s">
        <v>182</v>
      </c>
      <c r="Z276" t="s">
        <v>183</v>
      </c>
      <c r="AA276">
        <v>1</v>
      </c>
      <c r="AI276" t="s">
        <v>184</v>
      </c>
      <c r="AJ276" s="119" t="s">
        <v>184</v>
      </c>
    </row>
    <row r="277" spans="2:36">
      <c r="B277" s="242" t="s">
        <v>22</v>
      </c>
      <c r="C277" t="s">
        <v>185</v>
      </c>
      <c r="D277" t="s">
        <v>186</v>
      </c>
      <c r="E277" t="s">
        <v>187</v>
      </c>
      <c r="F277" t="s">
        <v>188</v>
      </c>
      <c r="G277" t="s">
        <v>189</v>
      </c>
      <c r="H277" t="s">
        <v>190</v>
      </c>
      <c r="O277" t="s">
        <v>191</v>
      </c>
      <c r="Y277" t="s">
        <v>192</v>
      </c>
      <c r="Z277" t="s">
        <v>193</v>
      </c>
      <c r="AA277">
        <v>2</v>
      </c>
      <c r="AI277" t="s">
        <v>194</v>
      </c>
      <c r="AJ277" s="119" t="s">
        <v>194</v>
      </c>
    </row>
    <row r="278" spans="2:36">
      <c r="B278" s="242" t="s">
        <v>25</v>
      </c>
      <c r="C278" t="s">
        <v>195</v>
      </c>
      <c r="D278" t="s">
        <v>196</v>
      </c>
      <c r="E278" t="s">
        <v>197</v>
      </c>
      <c r="F278" t="s">
        <v>198</v>
      </c>
      <c r="G278" t="s">
        <v>199</v>
      </c>
      <c r="O278" t="s">
        <v>200</v>
      </c>
      <c r="Y278" t="s">
        <v>201</v>
      </c>
      <c r="Z278" t="s">
        <v>202</v>
      </c>
      <c r="AA278">
        <v>3</v>
      </c>
      <c r="AI278" t="s">
        <v>203</v>
      </c>
      <c r="AJ278" s="119" t="s">
        <v>203</v>
      </c>
    </row>
    <row r="279" spans="2:36">
      <c r="B279" s="242" t="s">
        <v>27</v>
      </c>
      <c r="C279" t="s">
        <v>204</v>
      </c>
      <c r="D279" t="s">
        <v>205</v>
      </c>
      <c r="E279" t="s">
        <v>206</v>
      </c>
      <c r="G279" t="s">
        <v>207</v>
      </c>
      <c r="O279" t="s">
        <v>208</v>
      </c>
      <c r="Y279" t="s">
        <v>209</v>
      </c>
      <c r="Z279" t="s">
        <v>203</v>
      </c>
      <c r="AA279">
        <v>4</v>
      </c>
      <c r="AJ279" s="119"/>
    </row>
    <row r="280" spans="2:36">
      <c r="B280" s="242" t="s">
        <v>29</v>
      </c>
      <c r="C280" t="s">
        <v>87</v>
      </c>
      <c r="D280" t="s">
        <v>210</v>
      </c>
      <c r="E280" t="s">
        <v>211</v>
      </c>
      <c r="G280" t="s">
        <v>212</v>
      </c>
      <c r="O280" t="s">
        <v>213</v>
      </c>
      <c r="Y280" t="s">
        <v>214</v>
      </c>
      <c r="AA280">
        <v>5</v>
      </c>
      <c r="AJ280" s="119"/>
    </row>
    <row r="281" spans="2:36">
      <c r="B281" s="242"/>
      <c r="C281" t="s">
        <v>54</v>
      </c>
      <c r="D281" t="s">
        <v>215</v>
      </c>
      <c r="E281" t="s">
        <v>216</v>
      </c>
      <c r="O281" t="s">
        <v>217</v>
      </c>
      <c r="Y281" s="250" t="s">
        <v>218</v>
      </c>
      <c r="AA281">
        <v>6</v>
      </c>
      <c r="AJ281" s="119"/>
    </row>
    <row r="282" spans="2:36">
      <c r="B282" s="242"/>
      <c r="C282" t="s">
        <v>92</v>
      </c>
      <c r="D282" t="s">
        <v>219</v>
      </c>
      <c r="O282" t="s">
        <v>220</v>
      </c>
      <c r="Y282" t="s">
        <v>203</v>
      </c>
      <c r="AA282">
        <v>7</v>
      </c>
      <c r="AJ282" s="119"/>
    </row>
    <row r="283" spans="2:36">
      <c r="B283" s="242"/>
      <c r="C283" t="s">
        <v>221</v>
      </c>
      <c r="D283" t="s">
        <v>222</v>
      </c>
      <c r="O283" t="s">
        <v>223</v>
      </c>
      <c r="AA283">
        <v>8</v>
      </c>
      <c r="AJ283" s="119"/>
    </row>
    <row r="284" spans="2:36">
      <c r="B284" s="242"/>
      <c r="C284" t="s">
        <v>224</v>
      </c>
      <c r="D284" t="s">
        <v>225</v>
      </c>
      <c r="O284" t="s">
        <v>226</v>
      </c>
      <c r="AA284">
        <v>9</v>
      </c>
      <c r="AJ284" s="119"/>
    </row>
    <row r="285" spans="2:36">
      <c r="B285" s="242"/>
      <c r="C285" t="s">
        <v>29</v>
      </c>
      <c r="D285" t="s">
        <v>227</v>
      </c>
      <c r="AA285">
        <v>10</v>
      </c>
      <c r="AJ285" s="119"/>
    </row>
    <row r="286" spans="2:36">
      <c r="B286" s="242"/>
      <c r="C286" t="s">
        <v>70</v>
      </c>
      <c r="D286" t="s">
        <v>216</v>
      </c>
      <c r="AA286">
        <v>11</v>
      </c>
      <c r="AJ286" s="119"/>
    </row>
    <row r="287" spans="2:36">
      <c r="B287" s="242"/>
      <c r="C287" t="s">
        <v>71</v>
      </c>
      <c r="AA287">
        <v>12</v>
      </c>
      <c r="AJ287" s="119"/>
    </row>
    <row r="288" spans="2:36">
      <c r="B288" s="242"/>
      <c r="C288" t="s">
        <v>72</v>
      </c>
      <c r="AA288" t="s">
        <v>203</v>
      </c>
      <c r="AJ288" s="119"/>
    </row>
    <row r="289" spans="2:36">
      <c r="B289" s="242"/>
      <c r="C289" t="s">
        <v>75</v>
      </c>
      <c r="AJ289" s="119"/>
    </row>
    <row r="290" spans="2:36">
      <c r="B290" s="242"/>
      <c r="C290" t="s">
        <v>76</v>
      </c>
      <c r="AJ290" s="119"/>
    </row>
    <row r="291" spans="2:36">
      <c r="B291" s="242"/>
      <c r="C291" t="s">
        <v>77</v>
      </c>
      <c r="AJ291" s="119"/>
    </row>
    <row r="292" spans="2:36">
      <c r="B292" s="242"/>
      <c r="C292" t="s">
        <v>50</v>
      </c>
      <c r="AJ292" s="119"/>
    </row>
    <row r="293" spans="2:36">
      <c r="B293" s="242"/>
      <c r="C293" t="s">
        <v>228</v>
      </c>
      <c r="AJ293" s="119"/>
    </row>
    <row r="294" spans="2:36">
      <c r="B294" s="242"/>
      <c r="C294" t="s">
        <v>229</v>
      </c>
      <c r="AJ294" s="119"/>
    </row>
    <row r="295" spans="2:36">
      <c r="B295" s="242"/>
      <c r="C295" t="s">
        <v>230</v>
      </c>
      <c r="AJ295" s="119"/>
    </row>
    <row r="296" spans="2:36">
      <c r="B296" s="242"/>
      <c r="C296" t="s">
        <v>231</v>
      </c>
      <c r="AJ296" s="119"/>
    </row>
    <row r="297" spans="2:36">
      <c r="B297" s="242"/>
      <c r="C297" t="s">
        <v>232</v>
      </c>
      <c r="AJ297" s="119"/>
    </row>
    <row r="298" spans="2:36">
      <c r="B298" s="242"/>
      <c r="C298" t="s">
        <v>233</v>
      </c>
      <c r="AJ298" s="119"/>
    </row>
    <row r="299" spans="2:36">
      <c r="B299" s="242"/>
      <c r="C299" t="s">
        <v>234</v>
      </c>
      <c r="AJ299" s="119"/>
    </row>
    <row r="300" spans="2:36">
      <c r="B300" s="242"/>
      <c r="C300" t="s">
        <v>235</v>
      </c>
      <c r="AJ300" s="119"/>
    </row>
    <row r="301" spans="2:36">
      <c r="B301" s="242"/>
      <c r="AJ301" s="119"/>
    </row>
    <row r="302" spans="2:36">
      <c r="B302" s="242"/>
      <c r="AJ302" s="119"/>
    </row>
    <row r="303" spans="2:36">
      <c r="B303" s="242"/>
      <c r="AJ303" s="119"/>
    </row>
    <row r="304" spans="2:36">
      <c r="B304" s="242"/>
      <c r="AJ304" s="119"/>
    </row>
    <row r="305" spans="1:36">
      <c r="B305" s="242"/>
      <c r="AJ305" s="119"/>
    </row>
    <row r="306" spans="1:36">
      <c r="B306" s="243"/>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244"/>
    </row>
    <row r="307" spans="1:36">
      <c r="B307" s="245" t="s">
        <v>236</v>
      </c>
      <c r="C307" s="245"/>
      <c r="D307" s="245"/>
      <c r="E307" s="245"/>
      <c r="F307" s="245"/>
      <c r="G307" s="245"/>
      <c r="H307" s="245"/>
      <c r="I307" s="245"/>
      <c r="J307" s="245"/>
      <c r="K307" s="245"/>
      <c r="L307" s="245"/>
      <c r="M307" s="245"/>
      <c r="N307" s="245"/>
      <c r="O307" s="245"/>
      <c r="P307" s="245"/>
      <c r="Q307" s="245"/>
      <c r="R307" s="245"/>
      <c r="S307" s="245"/>
      <c r="T307" s="245"/>
      <c r="U307" s="245"/>
      <c r="V307" s="245"/>
      <c r="W307" s="245"/>
      <c r="X307" s="245"/>
      <c r="Y307" s="245"/>
      <c r="Z307" s="245"/>
      <c r="AA307" s="245"/>
      <c r="AB307" s="245"/>
      <c r="AC307" s="245"/>
      <c r="AD307" s="245"/>
      <c r="AE307" s="245"/>
      <c r="AF307" s="245"/>
      <c r="AG307" s="245"/>
      <c r="AH307" s="245"/>
      <c r="AI307" s="245"/>
      <c r="AJ307" s="245"/>
    </row>
    <row r="310" spans="1:36">
      <c r="A310" s="35"/>
      <c r="B310" s="804" t="s">
        <v>237</v>
      </c>
      <c r="C310" s="81"/>
      <c r="D310" s="81"/>
      <c r="E310" s="81"/>
      <c r="F310" s="82"/>
      <c r="G310" s="82"/>
      <c r="H310" s="82"/>
      <c r="I310" s="82"/>
      <c r="J310" s="82"/>
      <c r="K310" s="82"/>
      <c r="L310" s="82"/>
      <c r="M310" s="82"/>
      <c r="N310" s="82"/>
      <c r="O310" s="82"/>
      <c r="P310" s="82"/>
      <c r="Q310" s="82"/>
      <c r="R310" s="82"/>
      <c r="S310" s="82"/>
    </row>
    <row r="311" spans="1:36">
      <c r="B311" s="80"/>
      <c r="C311" s="81"/>
      <c r="D311" s="81"/>
      <c r="E311" s="81"/>
      <c r="F311" s="82"/>
      <c r="G311" s="82"/>
      <c r="H311" s="82"/>
      <c r="I311" s="82"/>
      <c r="J311" s="82"/>
      <c r="K311" s="82"/>
      <c r="L311" s="273"/>
      <c r="M311" s="82"/>
      <c r="N311" s="82"/>
    </row>
    <row r="312" spans="1:36">
      <c r="A312" s="78" t="s">
        <v>238</v>
      </c>
      <c r="B312" s="78" t="s">
        <v>239</v>
      </c>
      <c r="C312" s="37"/>
      <c r="D312" s="37"/>
      <c r="E312" s="37"/>
      <c r="K312" s="78" t="s">
        <v>240</v>
      </c>
      <c r="L312" s="78" t="s">
        <v>241</v>
      </c>
      <c r="M312" s="82"/>
      <c r="N312" s="82"/>
    </row>
    <row r="313" spans="1:36">
      <c r="B313" s="274"/>
      <c r="C313" s="81"/>
      <c r="D313" s="81"/>
      <c r="E313" s="81"/>
      <c r="F313" s="82"/>
      <c r="G313" s="82"/>
      <c r="H313" s="82"/>
      <c r="I313" s="82"/>
      <c r="J313" s="82"/>
      <c r="K313" s="82"/>
      <c r="L313" s="274"/>
      <c r="M313" s="82"/>
      <c r="N313" s="82"/>
    </row>
    <row r="314" spans="1:36">
      <c r="A314" s="48" t="s">
        <v>6</v>
      </c>
      <c r="B314" s="267" t="s">
        <v>3</v>
      </c>
      <c r="C314" s="133">
        <v>2022</v>
      </c>
      <c r="D314" s="134">
        <f>C314+1</f>
        <v>2023</v>
      </c>
      <c r="E314" s="134">
        <f>D314+1</f>
        <v>2024</v>
      </c>
      <c r="F314" s="134">
        <f t="shared" ref="F314" si="26">E314+1</f>
        <v>2025</v>
      </c>
      <c r="G314" s="134">
        <f t="shared" ref="G314" si="27">F314+1</f>
        <v>2026</v>
      </c>
      <c r="H314" s="134">
        <f t="shared" ref="H314" si="28">G314+1</f>
        <v>2027</v>
      </c>
      <c r="I314" s="134">
        <f t="shared" ref="I314" si="29">H314+1</f>
        <v>2028</v>
      </c>
      <c r="K314" s="48" t="s">
        <v>6</v>
      </c>
      <c r="L314" s="267" t="s">
        <v>3</v>
      </c>
      <c r="M314" s="133">
        <v>2022</v>
      </c>
      <c r="N314" s="134">
        <f t="shared" ref="N314" si="30">M314+1</f>
        <v>2023</v>
      </c>
      <c r="O314" s="134">
        <f t="shared" ref="O314" si="31">N314+1</f>
        <v>2024</v>
      </c>
      <c r="P314" s="134">
        <f t="shared" ref="P314" si="32">O314+1</f>
        <v>2025</v>
      </c>
      <c r="Q314" s="134">
        <f t="shared" ref="Q314" si="33">P314+1</f>
        <v>2026</v>
      </c>
      <c r="R314" s="134">
        <f t="shared" ref="R314" si="34">Q314+1</f>
        <v>2027</v>
      </c>
      <c r="S314" s="134">
        <f t="shared" ref="S314" si="35">R314+1</f>
        <v>2028</v>
      </c>
    </row>
    <row r="315" spans="1:36">
      <c r="A315" s="12" t="s">
        <v>19</v>
      </c>
      <c r="B315" s="266" t="s">
        <v>70</v>
      </c>
      <c r="C315" s="269"/>
      <c r="D315" s="269"/>
      <c r="E315" s="271">
        <v>1.4366690915062783</v>
      </c>
      <c r="F315" s="271">
        <v>1.3797759532786635</v>
      </c>
      <c r="G315" s="271">
        <v>1.2994160329983981</v>
      </c>
      <c r="H315" s="271">
        <v>1.2615281568238033</v>
      </c>
      <c r="I315" s="271">
        <v>1.2611798067947679</v>
      </c>
      <c r="J315" t="b">
        <f>B315=L315</f>
        <v>1</v>
      </c>
      <c r="K315" s="12" t="s">
        <v>19</v>
      </c>
      <c r="L315" s="266" t="s">
        <v>70</v>
      </c>
      <c r="M315" s="269"/>
      <c r="N315" s="269"/>
      <c r="O315" s="384">
        <f t="shared" ref="O315:O328" si="36">((E315*H$34)/H$13)*(1-H$13)</f>
        <v>5.5194930254556516</v>
      </c>
      <c r="P315" s="384">
        <f t="shared" ref="P315:P328" si="37">((F315*I$34)/I$13)*(1-I$13)</f>
        <v>5.4713328744545455</v>
      </c>
      <c r="Q315" s="384">
        <f t="shared" ref="Q315:Q328" si="38">((G315*J$34)/J$13)*(1-J$13)</f>
        <v>5.347762741427168</v>
      </c>
      <c r="R315" s="384">
        <f t="shared" ref="R315:R328" si="39">((H315*K$34)/K$13)*(1-K$13)</f>
        <v>5.3409788342192197</v>
      </c>
      <c r="S315" s="384">
        <f t="shared" ref="S315:S328" si="40">((I315*L$34)/L$13)*(1-L$13)</f>
        <v>5.4447708503979371</v>
      </c>
    </row>
    <row r="316" spans="1:36">
      <c r="A316" s="12" t="s">
        <v>19</v>
      </c>
      <c r="B316" s="266" t="s">
        <v>71</v>
      </c>
      <c r="C316" s="269"/>
      <c r="D316" s="269"/>
      <c r="E316" s="271">
        <v>1.368578491828039</v>
      </c>
      <c r="F316" s="271">
        <v>1.4008338175049104</v>
      </c>
      <c r="G316" s="271">
        <v>1.2944169556388054</v>
      </c>
      <c r="H316" s="271">
        <v>1.1615288221705597</v>
      </c>
      <c r="I316" s="271">
        <v>1.0171476978779488</v>
      </c>
      <c r="J316" t="b">
        <f t="shared" ref="J316:J343" si="41">B316=L316</f>
        <v>1</v>
      </c>
      <c r="K316" s="12" t="s">
        <v>19</v>
      </c>
      <c r="L316" s="266" t="s">
        <v>71</v>
      </c>
      <c r="M316" s="269"/>
      <c r="N316" s="269"/>
      <c r="O316" s="384">
        <f t="shared" si="36"/>
        <v>5.2578979286828105</v>
      </c>
      <c r="P316" s="384">
        <f t="shared" si="37"/>
        <v>5.5548352608623448</v>
      </c>
      <c r="Q316" s="384">
        <f t="shared" si="38"/>
        <v>5.3271889767773253</v>
      </c>
      <c r="R316" s="384">
        <f t="shared" si="39"/>
        <v>4.9176079194045332</v>
      </c>
      <c r="S316" s="384">
        <f t="shared" si="40"/>
        <v>4.3912343871332258</v>
      </c>
    </row>
    <row r="317" spans="1:36">
      <c r="A317" s="12" t="s">
        <v>19</v>
      </c>
      <c r="B317" s="266" t="s">
        <v>72</v>
      </c>
      <c r="C317" s="269"/>
      <c r="D317" s="269"/>
      <c r="E317" s="271">
        <v>1.8517886877112844</v>
      </c>
      <c r="F317" s="271">
        <v>1.8549995484009258</v>
      </c>
      <c r="G317" s="271">
        <v>1.5955311955633462</v>
      </c>
      <c r="H317" s="271">
        <v>1.4243694121247401</v>
      </c>
      <c r="I317" s="271">
        <v>1.2090605175362352</v>
      </c>
      <c r="J317" t="b">
        <f t="shared" si="41"/>
        <v>1</v>
      </c>
      <c r="K317" s="12" t="s">
        <v>19</v>
      </c>
      <c r="L317" s="266" t="s">
        <v>72</v>
      </c>
      <c r="M317" s="269"/>
      <c r="N317" s="269"/>
      <c r="O317" s="384">
        <f t="shared" si="36"/>
        <v>7.1143277229719963</v>
      </c>
      <c r="P317" s="384">
        <f t="shared" si="37"/>
        <v>7.3557739480436757</v>
      </c>
      <c r="Q317" s="384">
        <f t="shared" si="38"/>
        <v>6.5664283522265308</v>
      </c>
      <c r="R317" s="384">
        <f t="shared" si="39"/>
        <v>6.0304059335633573</v>
      </c>
      <c r="S317" s="384">
        <f t="shared" si="40"/>
        <v>5.2197612321266735</v>
      </c>
    </row>
    <row r="318" spans="1:36">
      <c r="A318" s="12" t="s">
        <v>19</v>
      </c>
      <c r="B318" s="266" t="s">
        <v>52</v>
      </c>
      <c r="C318" s="269"/>
      <c r="D318" s="269"/>
      <c r="E318" s="271">
        <v>1.9633660656588319</v>
      </c>
      <c r="F318" s="271">
        <v>2.1083575561921606</v>
      </c>
      <c r="G318" s="271">
        <v>2.5083164621053555</v>
      </c>
      <c r="H318" s="271">
        <v>2.4606563837546958</v>
      </c>
      <c r="I318" s="271">
        <v>2.3736687667861531</v>
      </c>
      <c r="J318" t="b">
        <f t="shared" si="41"/>
        <v>1</v>
      </c>
      <c r="K318" s="12" t="s">
        <v>19</v>
      </c>
      <c r="L318" s="266" t="s">
        <v>52</v>
      </c>
      <c r="M318" s="269"/>
      <c r="N318" s="269"/>
      <c r="O318" s="384">
        <f t="shared" si="36"/>
        <v>7.542993282091409</v>
      </c>
      <c r="P318" s="384">
        <f t="shared" si="37"/>
        <v>8.3604341566380853</v>
      </c>
      <c r="Q318" s="384">
        <f t="shared" si="38"/>
        <v>10.323007396486362</v>
      </c>
      <c r="R318" s="384">
        <f t="shared" si="39"/>
        <v>10.417772756661357</v>
      </c>
      <c r="S318" s="384">
        <f t="shared" si="40"/>
        <v>10.247612941681364</v>
      </c>
    </row>
    <row r="319" spans="1:36">
      <c r="A319" s="12" t="s">
        <v>19</v>
      </c>
      <c r="B319" s="266" t="s">
        <v>73</v>
      </c>
      <c r="C319" s="269"/>
      <c r="D319" s="269"/>
      <c r="E319" s="271">
        <v>1.3074390315981681</v>
      </c>
      <c r="F319" s="271">
        <v>1.3001216768501926</v>
      </c>
      <c r="G319" s="271">
        <v>1.5417405565806881</v>
      </c>
      <c r="H319" s="271">
        <v>1.5753974334268079</v>
      </c>
      <c r="I319" s="271">
        <v>1.5749617313468214</v>
      </c>
      <c r="J319" t="b">
        <f t="shared" si="41"/>
        <v>1</v>
      </c>
      <c r="K319" s="12" t="s">
        <v>19</v>
      </c>
      <c r="L319" s="266" t="s">
        <v>73</v>
      </c>
      <c r="M319" s="269"/>
      <c r="N319" s="269"/>
      <c r="O319" s="384">
        <f t="shared" si="36"/>
        <v>5.0230081921986169</v>
      </c>
      <c r="P319" s="384">
        <f t="shared" si="37"/>
        <v>5.1554735784736394</v>
      </c>
      <c r="Q319" s="384">
        <f t="shared" si="38"/>
        <v>6.3450523127719105</v>
      </c>
      <c r="R319" s="384">
        <f t="shared" si="39"/>
        <v>6.6698189032898956</v>
      </c>
      <c r="S319" s="384">
        <f t="shared" si="40"/>
        <v>6.7994315157354102</v>
      </c>
    </row>
    <row r="320" spans="1:36">
      <c r="A320" s="12" t="s">
        <v>19</v>
      </c>
      <c r="B320" s="266" t="s">
        <v>74</v>
      </c>
      <c r="C320" s="269"/>
      <c r="D320" s="269"/>
      <c r="E320" s="271">
        <v>2.0191738224902593</v>
      </c>
      <c r="F320" s="271">
        <v>1.5784133044437496</v>
      </c>
      <c r="G320" s="271">
        <v>1.7691618048462701</v>
      </c>
      <c r="H320" s="271">
        <v>1.741401016001106</v>
      </c>
      <c r="I320" s="271">
        <v>1.6345343485877493</v>
      </c>
      <c r="J320" t="b">
        <f t="shared" si="41"/>
        <v>1</v>
      </c>
      <c r="K320" s="12" t="s">
        <v>19</v>
      </c>
      <c r="L320" s="266" t="s">
        <v>74</v>
      </c>
      <c r="M320" s="269"/>
      <c r="N320" s="269"/>
      <c r="O320" s="384">
        <f t="shared" si="36"/>
        <v>7.757399317843479</v>
      </c>
      <c r="P320" s="384">
        <f t="shared" si="37"/>
        <v>6.2590050084278879</v>
      </c>
      <c r="Q320" s="384">
        <f t="shared" si="38"/>
        <v>7.2810072703825011</v>
      </c>
      <c r="R320" s="384">
        <f t="shared" si="39"/>
        <v>7.3726344656204006</v>
      </c>
      <c r="S320" s="384">
        <f t="shared" si="40"/>
        <v>7.0566186734172813</v>
      </c>
    </row>
    <row r="321" spans="1:19">
      <c r="A321" s="12" t="s">
        <v>19</v>
      </c>
      <c r="B321" s="266" t="s">
        <v>75</v>
      </c>
      <c r="C321" s="269"/>
      <c r="D321" s="269"/>
      <c r="E321" s="271">
        <v>1.5418188657920666</v>
      </c>
      <c r="F321" s="271">
        <v>1.5421689490890813</v>
      </c>
      <c r="G321" s="271">
        <v>1.1986919632990878</v>
      </c>
      <c r="H321" s="271">
        <v>1.2051150219812068</v>
      </c>
      <c r="I321" s="271">
        <v>1.2030871425295599</v>
      </c>
      <c r="J321" t="b">
        <f t="shared" si="41"/>
        <v>1</v>
      </c>
      <c r="K321" s="12" t="s">
        <v>19</v>
      </c>
      <c r="L321" s="266" t="s">
        <v>75</v>
      </c>
      <c r="M321" s="269"/>
      <c r="N321" s="269"/>
      <c r="O321" s="384">
        <f t="shared" si="36"/>
        <v>5.9234645796777521</v>
      </c>
      <c r="P321" s="384">
        <f t="shared" si="37"/>
        <v>6.1152824478960905</v>
      </c>
      <c r="Q321" s="384">
        <f t="shared" si="38"/>
        <v>4.9332315878750945</v>
      </c>
      <c r="R321" s="384">
        <f t="shared" si="39"/>
        <v>5.1021404400569672</v>
      </c>
      <c r="S321" s="384">
        <f t="shared" si="40"/>
        <v>5.1939729520260753</v>
      </c>
    </row>
    <row r="322" spans="1:19">
      <c r="A322" s="12" t="s">
        <v>19</v>
      </c>
      <c r="B322" s="266" t="s">
        <v>76</v>
      </c>
      <c r="C322" s="269"/>
      <c r="D322" s="269"/>
      <c r="E322" s="271">
        <v>1.3630193716187557</v>
      </c>
      <c r="F322" s="271">
        <v>1.3768904698776971</v>
      </c>
      <c r="G322" s="271">
        <v>1.3602523162213354</v>
      </c>
      <c r="H322" s="271">
        <v>1.3398436564847218</v>
      </c>
      <c r="I322" s="271">
        <v>1.3157905788825448</v>
      </c>
      <c r="J322" t="b">
        <f t="shared" si="41"/>
        <v>1</v>
      </c>
      <c r="K322" s="12" t="s">
        <v>19</v>
      </c>
      <c r="L322" s="266" t="s">
        <v>76</v>
      </c>
      <c r="M322" s="269"/>
      <c r="N322" s="269"/>
      <c r="O322" s="384">
        <f t="shared" si="36"/>
        <v>5.2365405225798929</v>
      </c>
      <c r="P322" s="384">
        <f t="shared" si="37"/>
        <v>5.4598908427588304</v>
      </c>
      <c r="Q322" s="384">
        <f t="shared" si="38"/>
        <v>5.5981352168196858</v>
      </c>
      <c r="R322" s="384">
        <f t="shared" si="39"/>
        <v>5.6725460876473086</v>
      </c>
      <c r="S322" s="384">
        <f t="shared" si="40"/>
        <v>5.6805367089846976</v>
      </c>
    </row>
    <row r="323" spans="1:19">
      <c r="A323" s="12" t="s">
        <v>19</v>
      </c>
      <c r="B323" s="266" t="s">
        <v>77</v>
      </c>
      <c r="C323" s="269"/>
      <c r="D323" s="269"/>
      <c r="E323" s="271">
        <v>0.88691188538891907</v>
      </c>
      <c r="F323" s="271">
        <v>0.97956684032180519</v>
      </c>
      <c r="G323" s="271">
        <v>0.7570821246417444</v>
      </c>
      <c r="H323" s="271">
        <v>0.71183271144208338</v>
      </c>
      <c r="I323" s="271">
        <v>0.66972194319581801</v>
      </c>
      <c r="J323" t="b">
        <f t="shared" si="41"/>
        <v>1</v>
      </c>
      <c r="K323" s="12" t="s">
        <v>19</v>
      </c>
      <c r="L323" s="266" t="s">
        <v>77</v>
      </c>
      <c r="M323" s="269"/>
      <c r="N323" s="269"/>
      <c r="O323" s="384">
        <f t="shared" si="36"/>
        <v>3.4073984013015624</v>
      </c>
      <c r="P323" s="384">
        <f t="shared" si="37"/>
        <v>3.8843525598795758</v>
      </c>
      <c r="Q323" s="384">
        <f t="shared" si="38"/>
        <v>3.115780839657095</v>
      </c>
      <c r="R323" s="384">
        <f t="shared" si="39"/>
        <v>3.0137127140223239</v>
      </c>
      <c r="S323" s="384">
        <f t="shared" si="40"/>
        <v>2.8913264346119094</v>
      </c>
    </row>
    <row r="324" spans="1:19">
      <c r="A324" s="12" t="s">
        <v>19</v>
      </c>
      <c r="B324" s="266" t="s">
        <v>50</v>
      </c>
      <c r="C324" s="269"/>
      <c r="D324" s="269"/>
      <c r="E324" s="271">
        <v>2.5538076548384012</v>
      </c>
      <c r="F324" s="271">
        <v>2.7027627943750261</v>
      </c>
      <c r="G324" s="271">
        <v>2.4755882180772915</v>
      </c>
      <c r="H324" s="271">
        <v>2.1518380701030111</v>
      </c>
      <c r="I324" s="271">
        <v>1.7678169461084547</v>
      </c>
      <c r="J324" t="b">
        <f t="shared" si="41"/>
        <v>1</v>
      </c>
      <c r="K324" s="12" t="s">
        <v>19</v>
      </c>
      <c r="L324" s="266" t="s">
        <v>50</v>
      </c>
      <c r="M324" s="269"/>
      <c r="N324" s="269"/>
      <c r="O324" s="384">
        <f t="shared" si="36"/>
        <v>9.8113919360909492</v>
      </c>
      <c r="P324" s="384">
        <f t="shared" si="37"/>
        <v>10.717475466634793</v>
      </c>
      <c r="Q324" s="384">
        <f t="shared" si="38"/>
        <v>10.188313903747357</v>
      </c>
      <c r="R324" s="384">
        <f t="shared" si="39"/>
        <v>9.1103171379253816</v>
      </c>
      <c r="S324" s="384">
        <f t="shared" si="40"/>
        <v>7.6320268728954943</v>
      </c>
    </row>
    <row r="325" spans="1:19">
      <c r="A325" s="12" t="s">
        <v>19</v>
      </c>
      <c r="B325" s="266" t="s">
        <v>51</v>
      </c>
      <c r="C325" s="269"/>
      <c r="D325" s="269"/>
      <c r="E325" s="271">
        <v>2.1594507853983487</v>
      </c>
      <c r="F325" s="271">
        <v>2.108783385973247</v>
      </c>
      <c r="G325" s="271">
        <v>1.9571099436141921</v>
      </c>
      <c r="H325" s="271">
        <v>1.6739883971269975</v>
      </c>
      <c r="I325" s="271">
        <v>1.4057277322201749</v>
      </c>
      <c r="J325" t="b">
        <f t="shared" si="41"/>
        <v>1</v>
      </c>
      <c r="K325" s="12" t="s">
        <v>19</v>
      </c>
      <c r="L325" s="266" t="s">
        <v>51</v>
      </c>
      <c r="M325" s="269"/>
      <c r="N325" s="269"/>
      <c r="O325" s="384">
        <f t="shared" si="36"/>
        <v>8.29632489435987</v>
      </c>
      <c r="P325" s="384">
        <f t="shared" si="37"/>
        <v>8.3621227325801755</v>
      </c>
      <c r="Q325" s="384">
        <f t="shared" si="38"/>
        <v>8.0545101580638292</v>
      </c>
      <c r="R325" s="384">
        <f t="shared" si="39"/>
        <v>7.0872271454442028</v>
      </c>
      <c r="S325" s="384">
        <f t="shared" si="40"/>
        <v>6.0688137716384487</v>
      </c>
    </row>
    <row r="326" spans="1:19">
      <c r="A326" s="12" t="s">
        <v>19</v>
      </c>
      <c r="B326" s="266" t="s">
        <v>78</v>
      </c>
      <c r="C326" s="269"/>
      <c r="D326" s="269"/>
      <c r="E326" s="271">
        <v>2.3320557909214585</v>
      </c>
      <c r="F326" s="271">
        <v>2.3253369118631113</v>
      </c>
      <c r="G326" s="271">
        <v>2.1691122806593768</v>
      </c>
      <c r="H326" s="271">
        <v>1.831433598356611</v>
      </c>
      <c r="I326" s="271">
        <v>1.6964022421334342</v>
      </c>
      <c r="J326" t="b">
        <f t="shared" si="41"/>
        <v>1</v>
      </c>
      <c r="K326" s="12" t="s">
        <v>19</v>
      </c>
      <c r="L326" s="266" t="s">
        <v>78</v>
      </c>
      <c r="M326" s="269"/>
      <c r="N326" s="269"/>
      <c r="O326" s="384">
        <f t="shared" si="36"/>
        <v>8.9594505436662715</v>
      </c>
      <c r="P326" s="384">
        <f t="shared" si="37"/>
        <v>9.2208392672935222</v>
      </c>
      <c r="Q326" s="384">
        <f t="shared" si="38"/>
        <v>8.9270083960066291</v>
      </c>
      <c r="R326" s="384">
        <f t="shared" si="39"/>
        <v>7.7538087693010542</v>
      </c>
      <c r="S326" s="384">
        <f t="shared" si="40"/>
        <v>7.323715007768822</v>
      </c>
    </row>
    <row r="327" spans="1:19">
      <c r="A327" s="12" t="s">
        <v>19</v>
      </c>
      <c r="B327" s="266" t="s">
        <v>79</v>
      </c>
      <c r="C327" s="269"/>
      <c r="D327" s="269"/>
      <c r="E327" s="271">
        <v>0.94083766340920505</v>
      </c>
      <c r="F327" s="271">
        <v>0.89327362005723643</v>
      </c>
      <c r="G327" s="271">
        <v>0.85016201774887534</v>
      </c>
      <c r="H327" s="271">
        <v>0.70172058348408528</v>
      </c>
      <c r="I327" s="271">
        <v>0.70273163357435342</v>
      </c>
      <c r="J327" t="b">
        <f t="shared" si="41"/>
        <v>1</v>
      </c>
      <c r="K327" s="12" t="s">
        <v>19</v>
      </c>
      <c r="L327" s="266" t="s">
        <v>79</v>
      </c>
      <c r="M327" s="269"/>
      <c r="N327" s="269"/>
      <c r="O327" s="384">
        <f t="shared" si="36"/>
        <v>3.6145741228611969</v>
      </c>
      <c r="P327" s="384">
        <f t="shared" si="37"/>
        <v>3.5421673436825754</v>
      </c>
      <c r="Q327" s="384">
        <f t="shared" si="38"/>
        <v>3.4988522899806203</v>
      </c>
      <c r="R327" s="384">
        <f t="shared" si="39"/>
        <v>2.9709006205304407</v>
      </c>
      <c r="S327" s="384">
        <f t="shared" si="40"/>
        <v>3.0338360109509779</v>
      </c>
    </row>
    <row r="328" spans="1:19">
      <c r="A328" s="12" t="s">
        <v>19</v>
      </c>
      <c r="B328" s="266" t="s">
        <v>80</v>
      </c>
      <c r="C328" s="269"/>
      <c r="D328" s="269"/>
      <c r="E328" s="271">
        <v>1.3538563803454693</v>
      </c>
      <c r="F328" s="271">
        <v>1.399085447927888</v>
      </c>
      <c r="G328" s="271">
        <v>1.3245039630700681</v>
      </c>
      <c r="H328" s="271">
        <v>1.0767587664923539</v>
      </c>
      <c r="I328" s="271">
        <v>1.0135822369351568</v>
      </c>
      <c r="J328" t="b">
        <f t="shared" si="41"/>
        <v>1</v>
      </c>
      <c r="K328" s="12" t="s">
        <v>19</v>
      </c>
      <c r="L328" s="266" t="s">
        <v>80</v>
      </c>
      <c r="M328" s="269"/>
      <c r="N328" s="269"/>
      <c r="O328" s="384">
        <f t="shared" si="36"/>
        <v>5.2013375195193969</v>
      </c>
      <c r="P328" s="384">
        <f t="shared" si="37"/>
        <v>5.5479023150310098</v>
      </c>
      <c r="Q328" s="384">
        <f t="shared" si="38"/>
        <v>5.451012427662933</v>
      </c>
      <c r="R328" s="384">
        <f t="shared" si="39"/>
        <v>4.558713771300221</v>
      </c>
      <c r="S328" s="384">
        <f t="shared" si="40"/>
        <v>4.3758415639172537</v>
      </c>
    </row>
    <row r="329" spans="1:19">
      <c r="A329" s="12" t="s">
        <v>25</v>
      </c>
      <c r="B329" s="266" t="s">
        <v>81</v>
      </c>
      <c r="C329" s="271">
        <v>1.8560134718227432</v>
      </c>
      <c r="D329" s="271">
        <v>1.8152215314521964</v>
      </c>
      <c r="E329" s="271">
        <v>1.7979279925217375</v>
      </c>
      <c r="F329" s="271">
        <v>1.7736992270475671</v>
      </c>
      <c r="G329" s="271">
        <v>1.7484964755788579</v>
      </c>
      <c r="H329" s="269"/>
      <c r="I329" s="269"/>
      <c r="J329" t="b">
        <f t="shared" si="41"/>
        <v>1</v>
      </c>
      <c r="K329" s="12" t="s">
        <v>25</v>
      </c>
      <c r="L329" s="266" t="s">
        <v>81</v>
      </c>
      <c r="M329" s="384">
        <f t="shared" ref="M329:M343" si="42">((C329*F$34)/F$13)*(1-F$13)</f>
        <v>8.3695193812070094</v>
      </c>
      <c r="N329" s="384">
        <f t="shared" ref="N329:N343" si="43">((D329*G$34)/G$13)*(1-G$13)</f>
        <v>9.2393774561373583</v>
      </c>
      <c r="O329" s="384">
        <f t="shared" ref="O329:O343" si="44">((E329*H$34)/H$13)*(1-H$13)</f>
        <v>6.9074020410578614</v>
      </c>
      <c r="P329" s="384">
        <f t="shared" ref="P329:P343" si="45">((F329*I$34)/I$13)*(1-I$13)</f>
        <v>7.0333874621309782</v>
      </c>
      <c r="Q329" s="384">
        <f t="shared" ref="Q329:Q343" si="46">((G329*J$34)/J$13)*(1-J$13)</f>
        <v>7.1959588524092508</v>
      </c>
      <c r="R329" s="269"/>
      <c r="S329" s="269"/>
    </row>
    <row r="330" spans="1:19">
      <c r="A330" s="12" t="s">
        <v>25</v>
      </c>
      <c r="B330" s="266" t="s">
        <v>82</v>
      </c>
      <c r="C330" s="271">
        <v>1.338141135548405</v>
      </c>
      <c r="D330" s="271">
        <v>1.3118504623849501</v>
      </c>
      <c r="E330" s="271">
        <v>1.305225167423345</v>
      </c>
      <c r="F330" s="271">
        <v>1.2886796623765773</v>
      </c>
      <c r="G330" s="271">
        <v>1.2709115989265294</v>
      </c>
      <c r="H330" s="269"/>
      <c r="I330" s="269"/>
      <c r="J330" t="b">
        <f t="shared" si="41"/>
        <v>1</v>
      </c>
      <c r="K330" s="12" t="s">
        <v>25</v>
      </c>
      <c r="L330" s="266" t="s">
        <v>82</v>
      </c>
      <c r="M330" s="384">
        <f t="shared" si="42"/>
        <v>6.0342224551656374</v>
      </c>
      <c r="N330" s="384">
        <f t="shared" si="43"/>
        <v>6.6772464836764049</v>
      </c>
      <c r="O330" s="384">
        <f t="shared" si="44"/>
        <v>5.0145028182440408</v>
      </c>
      <c r="P330" s="384">
        <f t="shared" si="45"/>
        <v>5.1101016687873475</v>
      </c>
      <c r="Q330" s="384">
        <f t="shared" si="46"/>
        <v>5.230452390758904</v>
      </c>
      <c r="R330" s="269"/>
      <c r="S330" s="269"/>
    </row>
    <row r="331" spans="1:19">
      <c r="A331" s="12" t="s">
        <v>25</v>
      </c>
      <c r="B331" s="266" t="s">
        <v>83</v>
      </c>
      <c r="C331" s="271">
        <v>0.99104421987024149</v>
      </c>
      <c r="D331" s="271">
        <v>0.97030415837322381</v>
      </c>
      <c r="E331" s="271">
        <v>0.96243789501775268</v>
      </c>
      <c r="F331" s="271">
        <v>0.94766848511264923</v>
      </c>
      <c r="G331" s="271">
        <v>0.93824870565692475</v>
      </c>
      <c r="H331" s="269"/>
      <c r="I331" s="269"/>
      <c r="J331" t="b">
        <f t="shared" si="41"/>
        <v>1</v>
      </c>
      <c r="K331" s="12" t="s">
        <v>25</v>
      </c>
      <c r="L331" s="266" t="s">
        <v>83</v>
      </c>
      <c r="M331" s="384">
        <f t="shared" si="42"/>
        <v>4.4690213361928297</v>
      </c>
      <c r="N331" s="384">
        <f t="shared" si="43"/>
        <v>4.9387946380835395</v>
      </c>
      <c r="O331" s="384">
        <f t="shared" si="44"/>
        <v>3.6975593617143607</v>
      </c>
      <c r="P331" s="384">
        <f t="shared" si="45"/>
        <v>3.7578635316557047</v>
      </c>
      <c r="Q331" s="384">
        <f t="shared" si="46"/>
        <v>3.8613741426034518</v>
      </c>
      <c r="R331" s="269"/>
      <c r="S331" s="269"/>
    </row>
    <row r="332" spans="1:19">
      <c r="A332" s="12" t="s">
        <v>25</v>
      </c>
      <c r="B332" s="266" t="s">
        <v>84</v>
      </c>
      <c r="C332" s="271">
        <v>1.2910496821028619</v>
      </c>
      <c r="D332" s="271">
        <v>1.2750295337136959</v>
      </c>
      <c r="E332" s="271">
        <v>1.2614754781555608</v>
      </c>
      <c r="F332" s="271">
        <v>1.2360763844788194</v>
      </c>
      <c r="G332" s="271">
        <v>1.2156373101435318</v>
      </c>
      <c r="H332" s="269"/>
      <c r="I332" s="269"/>
      <c r="J332" t="b">
        <f t="shared" si="41"/>
        <v>1</v>
      </c>
      <c r="K332" s="12" t="s">
        <v>25</v>
      </c>
      <c r="L332" s="266" t="s">
        <v>84</v>
      </c>
      <c r="M332" s="384">
        <f t="shared" si="42"/>
        <v>5.8218679446595178</v>
      </c>
      <c r="N332" s="384">
        <f t="shared" si="43"/>
        <v>6.4898299880120653</v>
      </c>
      <c r="O332" s="384">
        <f t="shared" si="44"/>
        <v>4.8464222865426088</v>
      </c>
      <c r="P332" s="384">
        <f t="shared" si="45"/>
        <v>4.9015098006784941</v>
      </c>
      <c r="Q332" s="384">
        <f t="shared" si="46"/>
        <v>5.0029703722166836</v>
      </c>
      <c r="R332" s="269"/>
      <c r="S332" s="269"/>
    </row>
    <row r="333" spans="1:19">
      <c r="A333" s="12" t="s">
        <v>25</v>
      </c>
      <c r="B333" s="266" t="s">
        <v>4</v>
      </c>
      <c r="C333" s="271">
        <v>1.2693796122665177</v>
      </c>
      <c r="D333" s="271">
        <v>1.2456515312513812</v>
      </c>
      <c r="E333" s="271">
        <v>1.2761225755818488</v>
      </c>
      <c r="F333" s="271">
        <v>1.2778726893812531</v>
      </c>
      <c r="G333" s="271">
        <v>1.2727838897081032</v>
      </c>
      <c r="H333" s="269"/>
      <c r="I333" s="269"/>
      <c r="J333" t="b">
        <f t="shared" si="41"/>
        <v>1</v>
      </c>
      <c r="K333" s="12" t="s">
        <v>25</v>
      </c>
      <c r="L333" s="266" t="s">
        <v>4</v>
      </c>
      <c r="M333" s="384">
        <f t="shared" si="42"/>
        <v>5.724148788930937</v>
      </c>
      <c r="N333" s="384">
        <f t="shared" si="43"/>
        <v>6.3402975761529419</v>
      </c>
      <c r="O333" s="384">
        <f t="shared" si="44"/>
        <v>4.902694501602797</v>
      </c>
      <c r="P333" s="384">
        <f t="shared" si="45"/>
        <v>5.067247938453697</v>
      </c>
      <c r="Q333" s="384">
        <f t="shared" si="46"/>
        <v>5.2381578266074316</v>
      </c>
      <c r="R333" s="269"/>
      <c r="S333" s="269"/>
    </row>
    <row r="334" spans="1:19">
      <c r="A334" s="12" t="s">
        <v>25</v>
      </c>
      <c r="B334" s="266" t="s">
        <v>85</v>
      </c>
      <c r="C334" s="271">
        <v>0.9684370522563619</v>
      </c>
      <c r="D334" s="271">
        <v>0.97408615926807074</v>
      </c>
      <c r="E334" s="271">
        <v>0.97438656582868766</v>
      </c>
      <c r="F334" s="271">
        <v>0.96522259273076072</v>
      </c>
      <c r="G334" s="271">
        <v>0.95735847603512469</v>
      </c>
      <c r="H334" s="269"/>
      <c r="I334" s="269"/>
      <c r="J334" t="b">
        <f t="shared" si="41"/>
        <v>1</v>
      </c>
      <c r="K334" s="12" t="s">
        <v>25</v>
      </c>
      <c r="L334" s="266" t="s">
        <v>85</v>
      </c>
      <c r="M334" s="384">
        <f t="shared" si="42"/>
        <v>4.3670764255706338</v>
      </c>
      <c r="N334" s="384">
        <f t="shared" si="43"/>
        <v>4.9580448139995239</v>
      </c>
      <c r="O334" s="384">
        <f t="shared" si="44"/>
        <v>3.7434645778802311</v>
      </c>
      <c r="P334" s="384">
        <f t="shared" si="45"/>
        <v>3.8274721995444758</v>
      </c>
      <c r="Q334" s="384">
        <f t="shared" si="46"/>
        <v>3.9400206387452243</v>
      </c>
      <c r="R334" s="269"/>
      <c r="S334" s="269"/>
    </row>
    <row r="335" spans="1:19">
      <c r="A335" s="12" t="s">
        <v>25</v>
      </c>
      <c r="B335" s="266" t="s">
        <v>86</v>
      </c>
      <c r="C335" s="271">
        <v>2.0413918945479947</v>
      </c>
      <c r="D335" s="271">
        <v>2.002834526545016</v>
      </c>
      <c r="E335" s="271">
        <v>2.0176858680119603</v>
      </c>
      <c r="F335" s="271">
        <v>2.010800066369304</v>
      </c>
      <c r="G335" s="271">
        <v>2.012461933717149</v>
      </c>
      <c r="H335" s="269"/>
      <c r="I335" s="269"/>
      <c r="J335" t="b">
        <f t="shared" si="41"/>
        <v>1</v>
      </c>
      <c r="K335" s="12" t="s">
        <v>25</v>
      </c>
      <c r="L335" s="266" t="s">
        <v>86</v>
      </c>
      <c r="M335" s="384">
        <f t="shared" si="42"/>
        <v>9.2054660623121105</v>
      </c>
      <c r="N335" s="384">
        <f t="shared" si="43"/>
        <v>10.194317251255503</v>
      </c>
      <c r="O335" s="384">
        <f t="shared" si="44"/>
        <v>7.7516827931310583</v>
      </c>
      <c r="P335" s="384">
        <f t="shared" si="45"/>
        <v>7.973581856488412</v>
      </c>
      <c r="Q335" s="384">
        <f t="shared" si="46"/>
        <v>8.2823119573485418</v>
      </c>
      <c r="R335" s="269"/>
      <c r="S335" s="269"/>
    </row>
    <row r="336" spans="1:19">
      <c r="A336" s="12" t="s">
        <v>25</v>
      </c>
      <c r="B336" s="266" t="s">
        <v>87</v>
      </c>
      <c r="C336" s="271">
        <v>1.30814382516961</v>
      </c>
      <c r="D336" s="271">
        <v>1.2655629156032961</v>
      </c>
      <c r="E336" s="271">
        <v>1.253112719644278</v>
      </c>
      <c r="F336" s="271">
        <v>1.2591017686030721</v>
      </c>
      <c r="G336" s="271">
        <v>1.2643657265074015</v>
      </c>
      <c r="H336" s="270"/>
      <c r="I336" s="270"/>
      <c r="J336" t="b">
        <f t="shared" si="41"/>
        <v>1</v>
      </c>
      <c r="K336" s="12" t="s">
        <v>25</v>
      </c>
      <c r="L336" s="266" t="s">
        <v>87</v>
      </c>
      <c r="M336" s="384">
        <f t="shared" si="42"/>
        <v>5.8989523860573323</v>
      </c>
      <c r="N336" s="384">
        <f t="shared" si="43"/>
        <v>6.4416454240678966</v>
      </c>
      <c r="O336" s="384">
        <f t="shared" si="44"/>
        <v>4.8142936721320346</v>
      </c>
      <c r="P336" s="384">
        <f t="shared" si="45"/>
        <v>4.992814146725844</v>
      </c>
      <c r="Q336" s="384">
        <f t="shared" si="46"/>
        <v>5.2035127719269187</v>
      </c>
      <c r="R336" s="270"/>
      <c r="S336" s="270"/>
    </row>
    <row r="337" spans="1:19">
      <c r="A337" s="12" t="s">
        <v>27</v>
      </c>
      <c r="B337" s="266" t="s">
        <v>88</v>
      </c>
      <c r="C337" s="271">
        <v>2.4079045095034153</v>
      </c>
      <c r="D337" s="271">
        <v>2.4996671737090232</v>
      </c>
      <c r="E337" s="271">
        <v>2.5160510965805876</v>
      </c>
      <c r="F337" s="271">
        <v>2.3238778201799244</v>
      </c>
      <c r="G337" s="271">
        <v>2.2881683619967679</v>
      </c>
      <c r="H337" s="269"/>
      <c r="I337" s="269"/>
      <c r="J337" t="b">
        <f t="shared" si="41"/>
        <v>1</v>
      </c>
      <c r="K337" s="12" t="s">
        <v>27</v>
      </c>
      <c r="L337" s="266" t="s">
        <v>88</v>
      </c>
      <c r="M337" s="384">
        <f t="shared" si="42"/>
        <v>10.858220463557757</v>
      </c>
      <c r="N337" s="384">
        <f t="shared" si="43"/>
        <v>12.723168016929149</v>
      </c>
      <c r="O337" s="384">
        <f t="shared" si="44"/>
        <v>9.6663362227041478</v>
      </c>
      <c r="P337" s="384">
        <f t="shared" si="45"/>
        <v>9.2150534175879262</v>
      </c>
      <c r="Q337" s="384">
        <f t="shared" si="46"/>
        <v>9.416985169994307</v>
      </c>
      <c r="R337" s="269"/>
      <c r="S337" s="269"/>
    </row>
    <row r="338" spans="1:19">
      <c r="A338" s="12" t="s">
        <v>27</v>
      </c>
      <c r="B338" s="266" t="s">
        <v>89</v>
      </c>
      <c r="C338" s="271">
        <v>0.35535269898445798</v>
      </c>
      <c r="D338" s="271">
        <v>0.33811521212748413</v>
      </c>
      <c r="E338" s="271">
        <v>0.35287450221706412</v>
      </c>
      <c r="F338" s="271">
        <v>0.33060618568728362</v>
      </c>
      <c r="G338" s="271">
        <v>0.30228187223292602</v>
      </c>
      <c r="H338" s="269"/>
      <c r="I338" s="269"/>
      <c r="J338" t="b">
        <f t="shared" si="41"/>
        <v>1</v>
      </c>
      <c r="K338" s="12" t="s">
        <v>27</v>
      </c>
      <c r="L338" s="266" t="s">
        <v>89</v>
      </c>
      <c r="M338" s="384">
        <f t="shared" si="42"/>
        <v>1.6024298026208954</v>
      </c>
      <c r="N338" s="384">
        <f t="shared" si="43"/>
        <v>1.7209877771825268</v>
      </c>
      <c r="O338" s="384">
        <f t="shared" si="44"/>
        <v>1.3556972620648244</v>
      </c>
      <c r="P338" s="384">
        <f t="shared" si="45"/>
        <v>1.3109784149742585</v>
      </c>
      <c r="Q338" s="384">
        <f t="shared" si="46"/>
        <v>1.2440447806434618</v>
      </c>
      <c r="R338" s="269"/>
      <c r="S338" s="269"/>
    </row>
    <row r="339" spans="1:19">
      <c r="A339" s="12" t="s">
        <v>27</v>
      </c>
      <c r="B339" s="266" t="s">
        <v>90</v>
      </c>
      <c r="C339" s="271">
        <f>C337+C338</f>
        <v>2.7632572084878735</v>
      </c>
      <c r="D339" s="271">
        <f t="shared" ref="D339:G339" si="47">D337+D338</f>
        <v>2.8377823858365074</v>
      </c>
      <c r="E339" s="271">
        <f t="shared" si="47"/>
        <v>2.8689255987976519</v>
      </c>
      <c r="F339" s="271">
        <f t="shared" si="47"/>
        <v>2.6544840058672081</v>
      </c>
      <c r="G339" s="271">
        <f t="shared" si="47"/>
        <v>2.590450234229694</v>
      </c>
      <c r="H339" s="269"/>
      <c r="I339" s="269"/>
      <c r="J339" t="b">
        <f t="shared" si="41"/>
        <v>1</v>
      </c>
      <c r="K339" s="12" t="s">
        <v>27</v>
      </c>
      <c r="L339" s="266" t="s">
        <v>90</v>
      </c>
      <c r="M339" s="384">
        <f t="shared" si="42"/>
        <v>12.460650266178657</v>
      </c>
      <c r="N339" s="384">
        <f t="shared" si="43"/>
        <v>14.444155794111674</v>
      </c>
      <c r="O339" s="384">
        <f t="shared" si="44"/>
        <v>11.022033484768972</v>
      </c>
      <c r="P339" s="384">
        <f t="shared" si="45"/>
        <v>10.526031832562186</v>
      </c>
      <c r="Q339" s="384">
        <f t="shared" si="46"/>
        <v>10.661029950637769</v>
      </c>
      <c r="R339" s="269"/>
      <c r="S339" s="269"/>
    </row>
    <row r="340" spans="1:19">
      <c r="A340" s="12" t="s">
        <v>22</v>
      </c>
      <c r="B340" s="266" t="s">
        <v>91</v>
      </c>
      <c r="C340" s="271">
        <v>5.794647515116063</v>
      </c>
      <c r="D340" s="271">
        <v>5.6654995528096048</v>
      </c>
      <c r="E340" s="271">
        <v>5.4459801653220365</v>
      </c>
      <c r="F340" s="271">
        <v>5.2315625946540782</v>
      </c>
      <c r="G340" s="271">
        <v>5.0709512798558656</v>
      </c>
      <c r="H340" s="269"/>
      <c r="I340" s="269"/>
      <c r="J340" t="b">
        <f t="shared" si="41"/>
        <v>1</v>
      </c>
      <c r="K340" s="12" t="s">
        <v>22</v>
      </c>
      <c r="L340" s="266" t="s">
        <v>91</v>
      </c>
      <c r="M340" s="384">
        <f t="shared" si="42"/>
        <v>26.130421692143145</v>
      </c>
      <c r="N340" s="384">
        <f t="shared" si="43"/>
        <v>28.837080179468916</v>
      </c>
      <c r="O340" s="384">
        <f t="shared" si="44"/>
        <v>20.922736987227402</v>
      </c>
      <c r="P340" s="384">
        <f t="shared" si="45"/>
        <v>20.745121945980653</v>
      </c>
      <c r="Q340" s="384">
        <f t="shared" si="46"/>
        <v>20.869562656873143</v>
      </c>
      <c r="R340" s="269"/>
      <c r="S340" s="269"/>
    </row>
    <row r="341" spans="1:19">
      <c r="A341" s="12" t="s">
        <v>29</v>
      </c>
      <c r="B341" s="266" t="s">
        <v>29</v>
      </c>
      <c r="C341" s="271">
        <v>0.79565936041617891</v>
      </c>
      <c r="D341" s="271">
        <v>0.81379329751844121</v>
      </c>
      <c r="E341" s="271">
        <v>0.83527031824680331</v>
      </c>
      <c r="F341" s="271">
        <v>0.86914049425217754</v>
      </c>
      <c r="G341" s="271">
        <v>0.88933875020036712</v>
      </c>
      <c r="H341" s="269"/>
      <c r="I341" s="269"/>
      <c r="J341" t="b">
        <f t="shared" si="41"/>
        <v>1</v>
      </c>
      <c r="K341" s="12" t="s">
        <v>29</v>
      </c>
      <c r="L341" s="266" t="s">
        <v>29</v>
      </c>
      <c r="M341" s="384">
        <f t="shared" si="42"/>
        <v>3.5879515633591113</v>
      </c>
      <c r="N341" s="384">
        <f t="shared" si="43"/>
        <v>4.1421629904490684</v>
      </c>
      <c r="O341" s="384">
        <f t="shared" si="44"/>
        <v>3.2089983164457925</v>
      </c>
      <c r="P341" s="384">
        <f t="shared" si="45"/>
        <v>3.446470383413911</v>
      </c>
      <c r="Q341" s="384">
        <f t="shared" si="46"/>
        <v>3.6600846165138785</v>
      </c>
      <c r="R341" s="269"/>
      <c r="S341" s="269"/>
    </row>
    <row r="342" spans="1:19">
      <c r="A342" s="12" t="s">
        <v>22</v>
      </c>
      <c r="B342" s="266" t="s">
        <v>92</v>
      </c>
      <c r="C342" s="271">
        <v>1.067077173491312</v>
      </c>
      <c r="D342" s="271">
        <v>1.1377699704587949</v>
      </c>
      <c r="E342" s="271">
        <v>1.1288688837653649</v>
      </c>
      <c r="F342" s="271">
        <v>1.0874595680858687</v>
      </c>
      <c r="G342" s="271">
        <v>1.0132559350168759</v>
      </c>
      <c r="H342" s="269"/>
      <c r="I342" s="269"/>
      <c r="J342" t="b">
        <f t="shared" si="41"/>
        <v>1</v>
      </c>
      <c r="K342" s="12" t="s">
        <v>22</v>
      </c>
      <c r="L342" s="266" t="s">
        <v>92</v>
      </c>
      <c r="M342" s="384">
        <f t="shared" si="42"/>
        <v>4.8118848383187114</v>
      </c>
      <c r="N342" s="384">
        <f t="shared" si="43"/>
        <v>5.7911863831392072</v>
      </c>
      <c r="O342" s="384">
        <f t="shared" si="44"/>
        <v>4.3369652534698586</v>
      </c>
      <c r="P342" s="384">
        <f t="shared" si="45"/>
        <v>4.3121879826722163</v>
      </c>
      <c r="Q342" s="384">
        <f t="shared" si="46"/>
        <v>4.1700673219412838</v>
      </c>
      <c r="R342" s="269"/>
      <c r="S342" s="269"/>
    </row>
    <row r="343" spans="1:19">
      <c r="A343" s="12" t="s">
        <v>22</v>
      </c>
      <c r="B343" s="266" t="s">
        <v>54</v>
      </c>
      <c r="C343" s="271">
        <v>1.4458842789006556</v>
      </c>
      <c r="D343" s="271">
        <v>1.7460048691359407</v>
      </c>
      <c r="E343" s="271">
        <v>1.7400275177290305</v>
      </c>
      <c r="F343" s="271">
        <v>1.7353254561791309</v>
      </c>
      <c r="G343" s="271">
        <v>1.6416771715292762</v>
      </c>
      <c r="H343" s="269"/>
      <c r="I343" s="269"/>
      <c r="J343" t="b">
        <f t="shared" si="41"/>
        <v>1</v>
      </c>
      <c r="K343" s="12" t="s">
        <v>22</v>
      </c>
      <c r="L343" s="266" t="s">
        <v>54</v>
      </c>
      <c r="M343" s="384">
        <f t="shared" si="42"/>
        <v>6.5200800958395675</v>
      </c>
      <c r="N343" s="384">
        <f t="shared" si="43"/>
        <v>8.8870684633709125</v>
      </c>
      <c r="O343" s="384">
        <f t="shared" si="44"/>
        <v>6.6849560591137163</v>
      </c>
      <c r="P343" s="384">
        <f t="shared" si="45"/>
        <v>6.8812209646859701</v>
      </c>
      <c r="Q343" s="384">
        <f t="shared" si="46"/>
        <v>6.7563426865663612</v>
      </c>
      <c r="R343" s="269"/>
      <c r="S343" s="269"/>
    </row>
    <row r="344" spans="1:19">
      <c r="K344" s="82"/>
      <c r="L344" s="82"/>
      <c r="M344" s="82"/>
    </row>
    <row r="345" spans="1:19">
      <c r="K345" s="82"/>
      <c r="L345" s="82"/>
      <c r="M345" s="282"/>
    </row>
    <row r="346" spans="1:19">
      <c r="K346" s="82"/>
      <c r="M346" s="82"/>
    </row>
    <row r="347" spans="1:19">
      <c r="K347" s="78" t="s">
        <v>242</v>
      </c>
      <c r="L347" s="78" t="s">
        <v>243</v>
      </c>
      <c r="M347" s="82"/>
      <c r="N347" s="82"/>
    </row>
    <row r="348" spans="1:19">
      <c r="C348" s="753"/>
      <c r="D348" s="753"/>
      <c r="E348" s="753"/>
      <c r="F348" s="753"/>
      <c r="G348" s="753"/>
      <c r="J348" s="272"/>
      <c r="K348" s="82"/>
      <c r="L348" s="274"/>
      <c r="M348" s="82"/>
      <c r="N348" s="82"/>
    </row>
    <row r="349" spans="1:19">
      <c r="C349" s="272"/>
      <c r="D349" s="272"/>
      <c r="E349" s="272"/>
      <c r="F349" s="272"/>
      <c r="G349" s="272"/>
      <c r="J349" s="272"/>
      <c r="K349" s="48" t="s">
        <v>6</v>
      </c>
      <c r="L349" s="267" t="s">
        <v>3</v>
      </c>
      <c r="M349" s="133">
        <v>2022</v>
      </c>
      <c r="N349" s="134">
        <f t="shared" ref="N349:S349" si="48">M349+1</f>
        <v>2023</v>
      </c>
      <c r="O349" s="134">
        <f t="shared" si="48"/>
        <v>2024</v>
      </c>
      <c r="P349" s="134">
        <f t="shared" si="48"/>
        <v>2025</v>
      </c>
      <c r="Q349" s="134">
        <f t="shared" si="48"/>
        <v>2026</v>
      </c>
      <c r="R349" s="134">
        <f t="shared" si="48"/>
        <v>2027</v>
      </c>
      <c r="S349" s="134">
        <f t="shared" si="48"/>
        <v>2028</v>
      </c>
    </row>
    <row r="350" spans="1:19">
      <c r="J350" s="272"/>
      <c r="K350" s="12" t="s">
        <v>19</v>
      </c>
      <c r="L350" s="266" t="s">
        <v>70</v>
      </c>
      <c r="M350" s="269"/>
      <c r="N350" s="269"/>
      <c r="O350" s="384">
        <f t="shared" ref="O350:O363" si="49">E315*H$34</f>
        <v>1.8398310084852172</v>
      </c>
      <c r="P350" s="384">
        <f t="shared" ref="P350:P363" si="50">F315*I$34</f>
        <v>1.8237776248181818</v>
      </c>
      <c r="Q350" s="384">
        <f t="shared" ref="Q350:Q363" si="51">G315*J$34</f>
        <v>1.7825875804757227</v>
      </c>
      <c r="R350" s="384">
        <f t="shared" ref="R350:R363" si="52">H315*K$34</f>
        <v>1.7803262780730731</v>
      </c>
      <c r="S350" s="384">
        <f t="shared" ref="S350:S363" si="53">I315*L$34</f>
        <v>1.8149236167993124</v>
      </c>
    </row>
    <row r="351" spans="1:19">
      <c r="J351" s="272"/>
      <c r="K351" s="12" t="s">
        <v>19</v>
      </c>
      <c r="L351" s="266" t="s">
        <v>71</v>
      </c>
      <c r="M351" s="269"/>
      <c r="N351" s="269"/>
      <c r="O351" s="384">
        <f t="shared" si="49"/>
        <v>1.75263264289427</v>
      </c>
      <c r="P351" s="384">
        <f t="shared" si="50"/>
        <v>1.8516117536207817</v>
      </c>
      <c r="Q351" s="384">
        <f t="shared" si="51"/>
        <v>1.7757296589257749</v>
      </c>
      <c r="R351" s="384">
        <f t="shared" si="52"/>
        <v>1.6392026398015112</v>
      </c>
      <c r="S351" s="384">
        <f t="shared" si="53"/>
        <v>1.4637447957110754</v>
      </c>
    </row>
    <row r="352" spans="1:19">
      <c r="J352" s="272"/>
      <c r="K352" s="12" t="s">
        <v>19</v>
      </c>
      <c r="L352" s="266" t="s">
        <v>72</v>
      </c>
      <c r="M352" s="269"/>
      <c r="N352" s="269"/>
      <c r="O352" s="384">
        <f t="shared" si="49"/>
        <v>2.3714425743239986</v>
      </c>
      <c r="P352" s="384">
        <f t="shared" si="50"/>
        <v>2.4519246493478919</v>
      </c>
      <c r="Q352" s="384">
        <f t="shared" si="51"/>
        <v>2.1888094507421769</v>
      </c>
      <c r="R352" s="384">
        <f t="shared" si="52"/>
        <v>2.0101353111877858</v>
      </c>
      <c r="S352" s="384">
        <f t="shared" si="53"/>
        <v>1.739920410708891</v>
      </c>
    </row>
    <row r="353" spans="10:19">
      <c r="J353" s="272"/>
      <c r="K353" s="12" t="s">
        <v>19</v>
      </c>
      <c r="L353" s="266" t="s">
        <v>52</v>
      </c>
      <c r="M353" s="269"/>
      <c r="N353" s="269"/>
      <c r="O353" s="384">
        <f t="shared" si="49"/>
        <v>2.5143310940304695</v>
      </c>
      <c r="P353" s="384">
        <f t="shared" si="50"/>
        <v>2.7868113855460286</v>
      </c>
      <c r="Q353" s="384">
        <f t="shared" si="51"/>
        <v>3.4410024654954543</v>
      </c>
      <c r="R353" s="384">
        <f t="shared" si="52"/>
        <v>3.4725909188871191</v>
      </c>
      <c r="S353" s="384">
        <f t="shared" si="53"/>
        <v>3.4158709805604546</v>
      </c>
    </row>
    <row r="354" spans="10:19">
      <c r="J354" s="272"/>
      <c r="K354" s="12" t="s">
        <v>19</v>
      </c>
      <c r="L354" s="266" t="s">
        <v>73</v>
      </c>
      <c r="M354" s="269"/>
      <c r="N354" s="269"/>
      <c r="O354" s="384">
        <f t="shared" si="49"/>
        <v>1.6743360640662055</v>
      </c>
      <c r="P354" s="384">
        <f t="shared" si="50"/>
        <v>1.7184911928245463</v>
      </c>
      <c r="Q354" s="384">
        <f t="shared" si="51"/>
        <v>2.115017437590637</v>
      </c>
      <c r="R354" s="384">
        <f t="shared" si="52"/>
        <v>2.2232729677632985</v>
      </c>
      <c r="S354" s="384">
        <f t="shared" si="53"/>
        <v>2.2664771719118035</v>
      </c>
    </row>
    <row r="355" spans="10:19">
      <c r="J355" s="272"/>
      <c r="K355" s="12" t="s">
        <v>19</v>
      </c>
      <c r="L355" s="266" t="s">
        <v>74</v>
      </c>
      <c r="M355" s="269"/>
      <c r="N355" s="269"/>
      <c r="O355" s="384">
        <f t="shared" si="49"/>
        <v>2.585799772614493</v>
      </c>
      <c r="P355" s="384">
        <f t="shared" si="50"/>
        <v>2.086335002809296</v>
      </c>
      <c r="Q355" s="384">
        <f t="shared" si="51"/>
        <v>2.4270024234608338</v>
      </c>
      <c r="R355" s="384">
        <f t="shared" si="52"/>
        <v>2.457544821873467</v>
      </c>
      <c r="S355" s="384">
        <f t="shared" si="53"/>
        <v>2.3522062244724271</v>
      </c>
    </row>
    <row r="356" spans="10:19">
      <c r="J356" s="272"/>
      <c r="K356" s="12" t="s">
        <v>19</v>
      </c>
      <c r="L356" s="266" t="s">
        <v>75</v>
      </c>
      <c r="M356" s="269"/>
      <c r="N356" s="269"/>
      <c r="O356" s="384">
        <f t="shared" si="49"/>
        <v>1.9744881932259173</v>
      </c>
      <c r="P356" s="384">
        <f t="shared" si="50"/>
        <v>2.0384274826320303</v>
      </c>
      <c r="Q356" s="384">
        <f t="shared" si="51"/>
        <v>1.6444105292916982</v>
      </c>
      <c r="R356" s="384">
        <f t="shared" si="52"/>
        <v>1.7007134800189891</v>
      </c>
      <c r="S356" s="384">
        <f t="shared" si="53"/>
        <v>1.7313243173420252</v>
      </c>
    </row>
    <row r="357" spans="10:19">
      <c r="J357" s="272"/>
      <c r="K357" s="12" t="s">
        <v>19</v>
      </c>
      <c r="L357" s="266" t="s">
        <v>76</v>
      </c>
      <c r="M357" s="269"/>
      <c r="N357" s="269"/>
      <c r="O357" s="384">
        <f t="shared" si="49"/>
        <v>1.745513507526631</v>
      </c>
      <c r="P357" s="384">
        <f t="shared" si="50"/>
        <v>1.8199636142529434</v>
      </c>
      <c r="Q357" s="384">
        <f t="shared" si="51"/>
        <v>1.8660450722732287</v>
      </c>
      <c r="R357" s="384">
        <f t="shared" si="52"/>
        <v>1.8908486958824362</v>
      </c>
      <c r="S357" s="384">
        <f t="shared" si="53"/>
        <v>1.8935122363282326</v>
      </c>
    </row>
    <row r="358" spans="10:19">
      <c r="J358" s="272"/>
      <c r="K358" s="12" t="s">
        <v>19</v>
      </c>
      <c r="L358" s="266" t="s">
        <v>77</v>
      </c>
      <c r="M358" s="269"/>
      <c r="N358" s="269"/>
      <c r="O358" s="384">
        <f t="shared" si="49"/>
        <v>1.1357994671005207</v>
      </c>
      <c r="P358" s="384">
        <f t="shared" si="50"/>
        <v>1.2947841866265253</v>
      </c>
      <c r="Q358" s="384">
        <f t="shared" si="51"/>
        <v>1.0385936132190317</v>
      </c>
      <c r="R358" s="384">
        <f t="shared" si="52"/>
        <v>1.004570904674108</v>
      </c>
      <c r="S358" s="384">
        <f t="shared" si="53"/>
        <v>0.9637754782039698</v>
      </c>
    </row>
    <row r="359" spans="10:19">
      <c r="J359" s="272"/>
      <c r="K359" s="12" t="s">
        <v>19</v>
      </c>
      <c r="L359" s="266" t="s">
        <v>50</v>
      </c>
      <c r="M359" s="269"/>
      <c r="N359" s="269"/>
      <c r="O359" s="384">
        <f t="shared" si="49"/>
        <v>3.2704639786969829</v>
      </c>
      <c r="P359" s="384">
        <f t="shared" si="50"/>
        <v>3.5724918222115978</v>
      </c>
      <c r="Q359" s="384">
        <f t="shared" si="51"/>
        <v>3.3961046345824526</v>
      </c>
      <c r="R359" s="384">
        <f t="shared" si="52"/>
        <v>3.0367723793084607</v>
      </c>
      <c r="S359" s="384">
        <f t="shared" si="53"/>
        <v>2.5440089576318314</v>
      </c>
    </row>
    <row r="360" spans="10:19">
      <c r="J360" s="272"/>
      <c r="K360" s="12" t="s">
        <v>19</v>
      </c>
      <c r="L360" s="266" t="s">
        <v>51</v>
      </c>
      <c r="M360" s="269"/>
      <c r="N360" s="269"/>
      <c r="O360" s="384">
        <f t="shared" si="49"/>
        <v>2.7654416314532897</v>
      </c>
      <c r="P360" s="384">
        <f t="shared" si="50"/>
        <v>2.787374244193392</v>
      </c>
      <c r="Q360" s="384">
        <f t="shared" si="51"/>
        <v>2.6848367193546099</v>
      </c>
      <c r="R360" s="384">
        <f t="shared" si="52"/>
        <v>2.3624090484814011</v>
      </c>
      <c r="S360" s="384">
        <f t="shared" si="53"/>
        <v>2.0229379238794829</v>
      </c>
    </row>
    <row r="361" spans="10:19">
      <c r="J361" s="272"/>
      <c r="K361" s="12" t="s">
        <v>19</v>
      </c>
      <c r="L361" s="266" t="s">
        <v>78</v>
      </c>
      <c r="M361" s="269"/>
      <c r="N361" s="269"/>
      <c r="O361" s="384">
        <f t="shared" si="49"/>
        <v>2.9864835145554238</v>
      </c>
      <c r="P361" s="384">
        <f t="shared" si="50"/>
        <v>3.0736130890978406</v>
      </c>
      <c r="Q361" s="384">
        <f t="shared" si="51"/>
        <v>2.9756694653355429</v>
      </c>
      <c r="R361" s="384">
        <f t="shared" si="52"/>
        <v>2.5846029231003516</v>
      </c>
      <c r="S361" s="384">
        <f t="shared" si="53"/>
        <v>2.4412383359229408</v>
      </c>
    </row>
    <row r="362" spans="10:19">
      <c r="J362" s="272"/>
      <c r="K362" s="12" t="s">
        <v>19</v>
      </c>
      <c r="L362" s="266" t="s">
        <v>79</v>
      </c>
      <c r="M362" s="269"/>
      <c r="N362" s="269"/>
      <c r="O362" s="384">
        <f t="shared" si="49"/>
        <v>1.2048580409537324</v>
      </c>
      <c r="P362" s="384">
        <f t="shared" si="50"/>
        <v>1.1807224478941918</v>
      </c>
      <c r="Q362" s="384">
        <f t="shared" si="51"/>
        <v>1.1662840966602068</v>
      </c>
      <c r="R362" s="384">
        <f t="shared" si="52"/>
        <v>0.99030020684348019</v>
      </c>
      <c r="S362" s="384">
        <f t="shared" si="53"/>
        <v>1.0112786703169927</v>
      </c>
    </row>
    <row r="363" spans="10:19">
      <c r="J363" s="272"/>
      <c r="K363" s="12" t="s">
        <v>19</v>
      </c>
      <c r="L363" s="266" t="s">
        <v>80</v>
      </c>
      <c r="M363" s="269"/>
      <c r="N363" s="269"/>
      <c r="O363" s="384">
        <f t="shared" si="49"/>
        <v>1.7337791731731325</v>
      </c>
      <c r="P363" s="384">
        <f t="shared" si="50"/>
        <v>1.8493007716770034</v>
      </c>
      <c r="Q363" s="384">
        <f t="shared" si="51"/>
        <v>1.8170041425543111</v>
      </c>
      <c r="R363" s="384">
        <f t="shared" si="52"/>
        <v>1.5195712571000737</v>
      </c>
      <c r="S363" s="384">
        <f t="shared" si="53"/>
        <v>1.4586138546390846</v>
      </c>
    </row>
    <row r="364" spans="10:19">
      <c r="J364" s="272"/>
      <c r="K364" s="12" t="s">
        <v>25</v>
      </c>
      <c r="L364" s="266" t="s">
        <v>81</v>
      </c>
      <c r="M364" s="384">
        <f t="shared" ref="M364:M378" si="54">C329*F$34</f>
        <v>1.9632205955917676</v>
      </c>
      <c r="N364" s="384">
        <f t="shared" ref="N364:N378" si="55">D329*G$34</f>
        <v>2.1672613786001209</v>
      </c>
      <c r="O364" s="384">
        <f t="shared" ref="O364:O378" si="56">E329*H$34</f>
        <v>2.3024673470192871</v>
      </c>
      <c r="P364" s="384">
        <f t="shared" ref="P364:P378" si="57">F329*I$34</f>
        <v>2.3444624873769926</v>
      </c>
      <c r="Q364" s="384">
        <f t="shared" ref="Q364:Q378" si="58">G329*J$34</f>
        <v>2.3986529508030836</v>
      </c>
      <c r="R364" s="269"/>
      <c r="S364" s="269"/>
    </row>
    <row r="365" spans="10:19">
      <c r="J365" s="272"/>
      <c r="K365" s="12" t="s">
        <v>25</v>
      </c>
      <c r="L365" s="266" t="s">
        <v>82</v>
      </c>
      <c r="M365" s="384">
        <f t="shared" si="54"/>
        <v>1.4154348968907049</v>
      </c>
      <c r="N365" s="384">
        <f t="shared" si="55"/>
        <v>1.5662676937018727</v>
      </c>
      <c r="O365" s="384">
        <f t="shared" si="56"/>
        <v>1.6715009394146803</v>
      </c>
      <c r="P365" s="384">
        <f t="shared" si="57"/>
        <v>1.7033672229291157</v>
      </c>
      <c r="Q365" s="384">
        <f t="shared" si="58"/>
        <v>1.743484130252968</v>
      </c>
      <c r="R365" s="269"/>
      <c r="S365" s="269"/>
    </row>
    <row r="366" spans="10:19">
      <c r="J366" s="272"/>
      <c r="K366" s="12" t="s">
        <v>25</v>
      </c>
      <c r="L366" s="266" t="s">
        <v>83</v>
      </c>
      <c r="M366" s="384">
        <f t="shared" si="54"/>
        <v>1.0482889554032562</v>
      </c>
      <c r="N366" s="384">
        <f t="shared" si="55"/>
        <v>1.158482692883793</v>
      </c>
      <c r="O366" s="384">
        <f t="shared" si="56"/>
        <v>1.2325197872381202</v>
      </c>
      <c r="P366" s="384">
        <f t="shared" si="57"/>
        <v>1.2526211772185682</v>
      </c>
      <c r="Q366" s="384">
        <f t="shared" si="58"/>
        <v>1.2871247142011506</v>
      </c>
      <c r="R366" s="269"/>
      <c r="S366" s="269"/>
    </row>
    <row r="367" spans="10:19">
      <c r="J367" s="272"/>
      <c r="K367" s="12" t="s">
        <v>25</v>
      </c>
      <c r="L367" s="266" t="s">
        <v>84</v>
      </c>
      <c r="M367" s="384">
        <f t="shared" si="54"/>
        <v>1.3656233450435906</v>
      </c>
      <c r="N367" s="384">
        <f t="shared" si="55"/>
        <v>1.522305799657151</v>
      </c>
      <c r="O367" s="384">
        <f t="shared" si="56"/>
        <v>1.6154740955142031</v>
      </c>
      <c r="P367" s="384">
        <f t="shared" si="57"/>
        <v>1.6338366002261646</v>
      </c>
      <c r="Q367" s="384">
        <f t="shared" si="58"/>
        <v>1.6676567907388946</v>
      </c>
      <c r="R367" s="269"/>
      <c r="S367" s="269"/>
    </row>
    <row r="368" spans="10:19">
      <c r="J368" s="272"/>
      <c r="K368" s="12" t="s">
        <v>25</v>
      </c>
      <c r="L368" s="266" t="s">
        <v>4</v>
      </c>
      <c r="M368" s="384">
        <f t="shared" si="54"/>
        <v>1.3427015677739234</v>
      </c>
      <c r="N368" s="384">
        <f t="shared" si="55"/>
        <v>1.4872302956408134</v>
      </c>
      <c r="O368" s="384">
        <f t="shared" si="56"/>
        <v>1.6342315005342658</v>
      </c>
      <c r="P368" s="384">
        <f t="shared" si="57"/>
        <v>1.6890826461512323</v>
      </c>
      <c r="Q368" s="384">
        <f t="shared" si="58"/>
        <v>1.7460526088691439</v>
      </c>
      <c r="R368" s="269"/>
      <c r="S368" s="269"/>
    </row>
    <row r="369" spans="2:19">
      <c r="J369" s="272"/>
      <c r="K369" s="12" t="s">
        <v>25</v>
      </c>
      <c r="L369" s="266" t="s">
        <v>85</v>
      </c>
      <c r="M369" s="384">
        <f t="shared" si="54"/>
        <v>1.0243759516770621</v>
      </c>
      <c r="N369" s="384">
        <f t="shared" si="55"/>
        <v>1.1629981662468019</v>
      </c>
      <c r="O369" s="384">
        <f t="shared" si="56"/>
        <v>1.2478215259600771</v>
      </c>
      <c r="P369" s="384">
        <f t="shared" si="57"/>
        <v>1.2758240665148253</v>
      </c>
      <c r="Q369" s="384">
        <f t="shared" si="58"/>
        <v>1.3133402129150749</v>
      </c>
      <c r="R369" s="269"/>
      <c r="S369" s="269"/>
    </row>
    <row r="370" spans="2:19">
      <c r="J370" s="272"/>
      <c r="K370" s="12" t="s">
        <v>25</v>
      </c>
      <c r="L370" s="266" t="s">
        <v>86</v>
      </c>
      <c r="M370" s="384">
        <f t="shared" si="54"/>
        <v>2.1593068541225939</v>
      </c>
      <c r="N370" s="384">
        <f t="shared" si="55"/>
        <v>2.3912596021463526</v>
      </c>
      <c r="O370" s="384">
        <f t="shared" si="56"/>
        <v>2.5838942643770193</v>
      </c>
      <c r="P370" s="384">
        <f t="shared" si="57"/>
        <v>2.6578606188294707</v>
      </c>
      <c r="Q370" s="384">
        <f t="shared" si="58"/>
        <v>2.7607706524495139</v>
      </c>
      <c r="R370" s="269"/>
      <c r="S370" s="269"/>
    </row>
    <row r="371" spans="2:19">
      <c r="J371" s="272"/>
      <c r="K371" s="12" t="s">
        <v>25</v>
      </c>
      <c r="L371" s="266" t="s">
        <v>87</v>
      </c>
      <c r="M371" s="384">
        <f t="shared" si="54"/>
        <v>1.3837048806801149</v>
      </c>
      <c r="N371" s="384">
        <f t="shared" si="55"/>
        <v>1.5110032476208646</v>
      </c>
      <c r="O371" s="384">
        <f t="shared" si="56"/>
        <v>1.604764557377345</v>
      </c>
      <c r="P371" s="384">
        <f t="shared" si="57"/>
        <v>1.6642713822419479</v>
      </c>
      <c r="Q371" s="384">
        <f t="shared" si="58"/>
        <v>1.7345042573089728</v>
      </c>
      <c r="R371" s="270"/>
      <c r="S371" s="270"/>
    </row>
    <row r="372" spans="2:19">
      <c r="J372" s="272"/>
      <c r="K372" s="12" t="s">
        <v>27</v>
      </c>
      <c r="L372" s="266" t="s">
        <v>88</v>
      </c>
      <c r="M372" s="384">
        <f t="shared" si="54"/>
        <v>2.5469899852789801</v>
      </c>
      <c r="N372" s="384">
        <f t="shared" si="55"/>
        <v>2.9844468187858495</v>
      </c>
      <c r="O372" s="384">
        <f t="shared" si="56"/>
        <v>3.2221120742347158</v>
      </c>
      <c r="P372" s="384">
        <f t="shared" si="57"/>
        <v>3.0716844725293089</v>
      </c>
      <c r="Q372" s="384">
        <f t="shared" si="58"/>
        <v>3.1389950566647689</v>
      </c>
      <c r="R372" s="269"/>
      <c r="S372" s="269"/>
    </row>
    <row r="373" spans="2:19">
      <c r="J373" s="272"/>
      <c r="K373" s="12" t="s">
        <v>27</v>
      </c>
      <c r="L373" s="266" t="s">
        <v>89</v>
      </c>
      <c r="M373" s="384">
        <f t="shared" si="54"/>
        <v>0.37587859567650633</v>
      </c>
      <c r="N373" s="384">
        <f t="shared" si="55"/>
        <v>0.40368849094404946</v>
      </c>
      <c r="O373" s="384">
        <f t="shared" si="56"/>
        <v>0.4518990873549415</v>
      </c>
      <c r="P373" s="384">
        <f t="shared" si="57"/>
        <v>0.43699280499141946</v>
      </c>
      <c r="Q373" s="384">
        <f t="shared" si="58"/>
        <v>0.41468159354782058</v>
      </c>
      <c r="R373" s="269"/>
      <c r="S373" s="269"/>
    </row>
    <row r="374" spans="2:19">
      <c r="J374" s="272"/>
      <c r="K374" s="12" t="s">
        <v>27</v>
      </c>
      <c r="L374" s="266" t="s">
        <v>90</v>
      </c>
      <c r="M374" s="384">
        <f t="shared" si="54"/>
        <v>2.9228685809554871</v>
      </c>
      <c r="N374" s="384">
        <f t="shared" si="55"/>
        <v>3.3881353097298992</v>
      </c>
      <c r="O374" s="384">
        <f t="shared" si="56"/>
        <v>3.6740111615896573</v>
      </c>
      <c r="P374" s="384">
        <f t="shared" si="57"/>
        <v>3.5086772775207287</v>
      </c>
      <c r="Q374" s="384">
        <f t="shared" si="58"/>
        <v>3.5536766502125898</v>
      </c>
      <c r="R374" s="269"/>
      <c r="S374" s="269"/>
    </row>
    <row r="375" spans="2:19">
      <c r="K375" s="12" t="s">
        <v>22</v>
      </c>
      <c r="L375" s="266" t="s">
        <v>91</v>
      </c>
      <c r="M375" s="384">
        <f t="shared" si="54"/>
        <v>6.1293581747002444</v>
      </c>
      <c r="N375" s="384">
        <f t="shared" si="55"/>
        <v>6.7642533754309806</v>
      </c>
      <c r="O375" s="384">
        <f t="shared" si="56"/>
        <v>6.9742456624091336</v>
      </c>
      <c r="P375" s="384">
        <f t="shared" si="57"/>
        <v>6.9150406486602174</v>
      </c>
      <c r="Q375" s="384">
        <f t="shared" si="58"/>
        <v>6.9565208856243812</v>
      </c>
      <c r="R375" s="269"/>
      <c r="S375" s="269"/>
    </row>
    <row r="376" spans="2:19">
      <c r="I376" s="272"/>
      <c r="K376" s="12" t="s">
        <v>29</v>
      </c>
      <c r="L376" s="266" t="s">
        <v>29</v>
      </c>
      <c r="M376" s="384">
        <f t="shared" si="54"/>
        <v>0.84161826794843342</v>
      </c>
      <c r="N376" s="384">
        <f t="shared" si="55"/>
        <v>0.97161847924113942</v>
      </c>
      <c r="O376" s="384">
        <f t="shared" si="56"/>
        <v>1.0696661054819308</v>
      </c>
      <c r="P376" s="384">
        <f t="shared" si="57"/>
        <v>1.1488234611379704</v>
      </c>
      <c r="Q376" s="384">
        <f t="shared" si="58"/>
        <v>1.2200282055046261</v>
      </c>
      <c r="R376" s="269"/>
      <c r="S376" s="269"/>
    </row>
    <row r="377" spans="2:19">
      <c r="I377" s="272"/>
      <c r="K377" s="12" t="s">
        <v>22</v>
      </c>
      <c r="L377" s="266" t="s">
        <v>92</v>
      </c>
      <c r="M377" s="384">
        <f t="shared" si="54"/>
        <v>1.1287137275068582</v>
      </c>
      <c r="N377" s="384">
        <f t="shared" si="55"/>
        <v>1.3584264355511719</v>
      </c>
      <c r="O377" s="384">
        <f t="shared" si="56"/>
        <v>1.4456550844899529</v>
      </c>
      <c r="P377" s="384">
        <f t="shared" si="57"/>
        <v>1.4373959942240722</v>
      </c>
      <c r="Q377" s="384">
        <f t="shared" si="58"/>
        <v>1.3900224406470947</v>
      </c>
      <c r="R377" s="269"/>
      <c r="S377" s="269"/>
    </row>
    <row r="378" spans="2:19">
      <c r="I378" s="272"/>
      <c r="K378" s="12" t="s">
        <v>22</v>
      </c>
      <c r="L378" s="266" t="s">
        <v>54</v>
      </c>
      <c r="M378" s="384">
        <f t="shared" si="54"/>
        <v>1.5294015039623674</v>
      </c>
      <c r="N378" s="384">
        <f t="shared" si="55"/>
        <v>2.0846209975808314</v>
      </c>
      <c r="O378" s="384">
        <f t="shared" si="56"/>
        <v>2.2283186863712388</v>
      </c>
      <c r="P378" s="384">
        <f t="shared" si="57"/>
        <v>2.29374032156199</v>
      </c>
      <c r="Q378" s="384">
        <f t="shared" si="58"/>
        <v>2.2521142288554539</v>
      </c>
      <c r="R378" s="269"/>
      <c r="S378" s="269"/>
    </row>
    <row r="379" spans="2:19">
      <c r="I379" s="272"/>
      <c r="K379" s="82"/>
      <c r="L379" s="82"/>
      <c r="M379" s="82"/>
    </row>
    <row r="380" spans="2:19">
      <c r="I380" s="272"/>
    </row>
    <row r="381" spans="2:19">
      <c r="I381" s="272"/>
    </row>
    <row r="382" spans="2:19">
      <c r="I382" s="272"/>
    </row>
    <row r="383" spans="2:19">
      <c r="I383" s="272"/>
    </row>
    <row r="384" spans="2:19">
      <c r="B384" s="1" t="s">
        <v>244</v>
      </c>
    </row>
    <row r="386" spans="2:3">
      <c r="B386" s="207" t="s">
        <v>81</v>
      </c>
      <c r="C386" s="207">
        <v>0.34</v>
      </c>
    </row>
    <row r="387" spans="2:3">
      <c r="B387" s="207" t="s">
        <v>82</v>
      </c>
      <c r="C387" s="207">
        <v>0.24</v>
      </c>
    </row>
    <row r="388" spans="2:3">
      <c r="B388" s="207" t="s">
        <v>84</v>
      </c>
      <c r="C388" s="207">
        <v>0.24</v>
      </c>
    </row>
    <row r="389" spans="2:3">
      <c r="B389" s="207" t="s">
        <v>83</v>
      </c>
      <c r="C389" s="207">
        <v>0.18</v>
      </c>
    </row>
    <row r="390" spans="2:3">
      <c r="B390" s="207" t="s">
        <v>70</v>
      </c>
      <c r="C390" s="813">
        <v>1</v>
      </c>
    </row>
    <row r="391" spans="2:3">
      <c r="B391" s="207" t="s">
        <v>51</v>
      </c>
      <c r="C391" s="813">
        <v>1</v>
      </c>
    </row>
    <row r="392" spans="2:3">
      <c r="B392" s="207" t="s">
        <v>79</v>
      </c>
      <c r="C392" s="813">
        <v>1</v>
      </c>
    </row>
    <row r="393" spans="2:3">
      <c r="B393" s="207" t="s">
        <v>80</v>
      </c>
      <c r="C393" s="813">
        <v>1</v>
      </c>
    </row>
    <row r="394" spans="2:3">
      <c r="B394" s="207" t="s">
        <v>78</v>
      </c>
      <c r="C394" s="813">
        <v>1</v>
      </c>
    </row>
    <row r="395" spans="2:3">
      <c r="B395" s="207" t="s">
        <v>221</v>
      </c>
      <c r="C395" s="813">
        <v>1</v>
      </c>
    </row>
    <row r="396" spans="2:3">
      <c r="B396" s="207" t="s">
        <v>89</v>
      </c>
      <c r="C396" s="813">
        <v>1</v>
      </c>
    </row>
    <row r="397" spans="2:3">
      <c r="B397" s="207" t="s">
        <v>88</v>
      </c>
      <c r="C397" s="813">
        <v>1</v>
      </c>
    </row>
    <row r="398" spans="2:3">
      <c r="B398" s="207" t="s">
        <v>90</v>
      </c>
      <c r="C398" s="813">
        <v>1</v>
      </c>
    </row>
    <row r="399" spans="2:3">
      <c r="B399" s="207" t="s">
        <v>4</v>
      </c>
      <c r="C399" s="813">
        <v>1</v>
      </c>
    </row>
    <row r="400" spans="2:3">
      <c r="B400" s="207" t="s">
        <v>71</v>
      </c>
      <c r="C400" s="813">
        <v>1</v>
      </c>
    </row>
    <row r="401" spans="2:3">
      <c r="B401" s="207" t="s">
        <v>72</v>
      </c>
      <c r="C401" s="813">
        <v>1</v>
      </c>
    </row>
    <row r="402" spans="2:3">
      <c r="B402" s="207" t="s">
        <v>85</v>
      </c>
      <c r="C402" s="813">
        <v>1</v>
      </c>
    </row>
    <row r="403" spans="2:3">
      <c r="B403" s="207" t="s">
        <v>86</v>
      </c>
      <c r="C403" s="813">
        <v>1</v>
      </c>
    </row>
    <row r="404" spans="2:3">
      <c r="B404" s="207" t="s">
        <v>54</v>
      </c>
      <c r="C404" s="813">
        <v>1</v>
      </c>
    </row>
    <row r="405" spans="2:3">
      <c r="B405" s="207" t="s">
        <v>75</v>
      </c>
      <c r="C405" s="813">
        <v>1</v>
      </c>
    </row>
    <row r="406" spans="2:3">
      <c r="B406" s="207" t="s">
        <v>245</v>
      </c>
      <c r="C406" s="813">
        <v>1</v>
      </c>
    </row>
    <row r="407" spans="2:3">
      <c r="B407" s="207" t="s">
        <v>92</v>
      </c>
      <c r="C407" s="813">
        <v>1</v>
      </c>
    </row>
    <row r="408" spans="2:3">
      <c r="B408" s="207" t="s">
        <v>77</v>
      </c>
      <c r="C408" s="813">
        <v>1</v>
      </c>
    </row>
    <row r="409" spans="2:3">
      <c r="B409" s="207" t="s">
        <v>50</v>
      </c>
      <c r="C409" s="813">
        <v>1</v>
      </c>
    </row>
    <row r="410" spans="2:3">
      <c r="B410" s="207" t="s">
        <v>52</v>
      </c>
      <c r="C410" s="813">
        <v>1</v>
      </c>
    </row>
    <row r="411" spans="2:3">
      <c r="B411" s="207" t="s">
        <v>73</v>
      </c>
      <c r="C411" s="813">
        <v>1</v>
      </c>
    </row>
    <row r="412" spans="2:3">
      <c r="B412" s="207" t="s">
        <v>74</v>
      </c>
      <c r="C412" s="813">
        <v>1</v>
      </c>
    </row>
    <row r="413" spans="2:3">
      <c r="B413" s="207" t="s">
        <v>87</v>
      </c>
      <c r="C413" s="813">
        <v>1</v>
      </c>
    </row>
  </sheetData>
  <sortState xmlns:xlrd2="http://schemas.microsoft.com/office/spreadsheetml/2017/richdata2" ref="B386:C413">
    <sortCondition ref="B386:B413"/>
  </sortState>
  <mergeCells count="147">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s>
  <conditionalFormatting sqref="C97:I97">
    <cfRule type="expression" dxfId="114" priority="13">
      <formula>AND(#REF!="Actuals",#REF!="Forecast")</formula>
    </cfRule>
  </conditionalFormatting>
  <conditionalFormatting sqref="H61">
    <cfRule type="expression" dxfId="113" priority="18">
      <formula>AND(#REF!="Actuals",#REF!="Forecast")</formula>
    </cfRule>
  </conditionalFormatting>
  <conditionalFormatting sqref="H62:U62">
    <cfRule type="expression" dxfId="112" priority="6">
      <formula>AND(#REF!="Actuals",#REF!="Forecast")</formula>
    </cfRule>
  </conditionalFormatting>
  <conditionalFormatting sqref="O61">
    <cfRule type="expression" dxfId="111" priority="7">
      <formula>AND(#REF!="Actuals",#REF!="Forecast")</formula>
    </cfRule>
  </conditionalFormatting>
  <pageMargins left="0.7" right="0.7" top="0.75" bottom="0.75" header="0.3" footer="0.3"/>
  <pageSetup paperSize="9" orientation="portrait" r:id="rId1"/>
  <headerFooter>
    <oddFooter>&amp;C_x000D_&amp;1#&amp;"Calibri"&amp;10&amp;K000000 OFFICIAL-InternalOnly</oddFooter>
  </headerFooter>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C54:G54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election activeCell="C7" sqref="C7"/>
    </sheetView>
  </sheetViews>
  <sheetFormatPr defaultRowHeight="12.75"/>
  <cols>
    <col min="1" max="1" width="8.375" customWidth="1"/>
    <col min="2" max="2" width="23.75" customWidth="1"/>
    <col min="3" max="3" width="25.75" customWidth="1"/>
    <col min="4" max="4" width="9.75" customWidth="1"/>
  </cols>
  <sheetData>
    <row r="1" spans="1:13" ht="20.25">
      <c r="A1" s="823" t="s">
        <v>246</v>
      </c>
      <c r="B1" s="93"/>
      <c r="C1" s="93"/>
      <c r="D1" s="93"/>
      <c r="E1" s="93"/>
      <c r="F1" s="93"/>
      <c r="G1" s="93"/>
      <c r="H1" s="93"/>
      <c r="I1" s="8" t="s">
        <v>247</v>
      </c>
      <c r="J1" s="9"/>
      <c r="K1" s="9"/>
      <c r="L1" s="9"/>
      <c r="M1" s="9"/>
    </row>
    <row r="2" spans="1:13" ht="20.25">
      <c r="A2" s="825" t="str">
        <f>Licensee</f>
        <v>NGED-SWALES</v>
      </c>
      <c r="B2" s="93"/>
      <c r="C2" s="93"/>
      <c r="D2" s="93"/>
      <c r="E2" s="93"/>
      <c r="F2" s="93"/>
      <c r="G2" s="93"/>
      <c r="H2" s="93"/>
      <c r="I2" s="9"/>
      <c r="J2" s="9"/>
      <c r="K2" s="9"/>
      <c r="L2" s="9"/>
      <c r="M2" s="9"/>
    </row>
    <row r="3" spans="1:13" ht="20.25">
      <c r="A3" s="823">
        <f>Reporting_Year</f>
        <v>2026</v>
      </c>
      <c r="B3" s="93"/>
      <c r="C3" s="93"/>
      <c r="D3" s="93"/>
      <c r="E3" s="93"/>
      <c r="F3" s="93"/>
      <c r="G3" s="93"/>
      <c r="H3" s="93"/>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248</v>
      </c>
      <c r="C6" s="4"/>
      <c r="D6" s="4"/>
      <c r="E6" s="4"/>
      <c r="F6" s="4"/>
      <c r="G6" s="4"/>
      <c r="H6" s="4"/>
      <c r="I6" s="4"/>
      <c r="J6" s="4"/>
      <c r="K6" s="4"/>
      <c r="L6" s="4"/>
      <c r="M6" s="4"/>
    </row>
    <row r="7" spans="1:13">
      <c r="A7" s="4"/>
      <c r="B7" s="4"/>
      <c r="C7" s="4"/>
      <c r="D7" s="4"/>
      <c r="E7" s="4"/>
      <c r="F7" s="4"/>
      <c r="G7" s="4"/>
      <c r="H7" s="4"/>
      <c r="I7" s="4"/>
      <c r="J7" s="4"/>
      <c r="K7" s="4"/>
      <c r="L7" s="4"/>
      <c r="M7" s="4"/>
    </row>
    <row r="8" spans="1:13">
      <c r="A8" s="4"/>
      <c r="B8" s="217" t="s">
        <v>249</v>
      </c>
      <c r="C8" s="217" t="s">
        <v>250</v>
      </c>
      <c r="D8" s="935" t="s">
        <v>251</v>
      </c>
      <c r="E8" s="936"/>
      <c r="F8" s="936"/>
      <c r="G8" s="936"/>
      <c r="H8" s="936"/>
      <c r="I8" s="4"/>
      <c r="J8" s="4"/>
      <c r="K8" s="4"/>
      <c r="L8" s="4"/>
      <c r="M8" s="4"/>
    </row>
    <row r="9" spans="1:13">
      <c r="A9" s="4"/>
      <c r="B9" s="218" t="s">
        <v>252</v>
      </c>
      <c r="C9" s="219"/>
      <c r="D9" s="933"/>
      <c r="E9" s="934"/>
      <c r="F9" s="934"/>
      <c r="G9" s="934"/>
      <c r="H9" s="934"/>
      <c r="I9" s="4"/>
      <c r="J9" s="4"/>
      <c r="K9" s="4"/>
      <c r="L9" s="4"/>
      <c r="M9" s="4"/>
    </row>
    <row r="10" spans="1:13">
      <c r="A10" s="4"/>
      <c r="B10" s="218" t="s">
        <v>253</v>
      </c>
      <c r="C10" s="219"/>
      <c r="D10" s="933"/>
      <c r="E10" s="934"/>
      <c r="F10" s="934"/>
      <c r="G10" s="934"/>
      <c r="H10" s="934"/>
      <c r="I10" s="4"/>
      <c r="J10" s="4"/>
      <c r="K10" s="4"/>
      <c r="L10" s="4"/>
      <c r="M10" s="4"/>
    </row>
    <row r="11" spans="1:13">
      <c r="A11" s="4"/>
      <c r="B11" s="218" t="s">
        <v>254</v>
      </c>
      <c r="C11" s="219"/>
      <c r="D11" s="933"/>
      <c r="E11" s="934"/>
      <c r="F11" s="934"/>
      <c r="G11" s="934"/>
      <c r="H11" s="934"/>
      <c r="I11" s="4"/>
      <c r="J11" s="4"/>
      <c r="K11" s="4"/>
      <c r="L11" s="4"/>
      <c r="M11" s="4"/>
    </row>
    <row r="12" spans="1:13">
      <c r="A12" s="4"/>
      <c r="B12" s="218" t="s">
        <v>255</v>
      </c>
      <c r="C12" s="219"/>
      <c r="D12" s="933"/>
      <c r="E12" s="934"/>
      <c r="F12" s="934"/>
      <c r="G12" s="934"/>
      <c r="H12" s="934"/>
      <c r="I12" s="4"/>
      <c r="J12" s="4"/>
      <c r="K12" s="4"/>
      <c r="L12" s="4"/>
      <c r="M12" s="4"/>
    </row>
    <row r="13" spans="1:13">
      <c r="A13" s="4"/>
      <c r="B13" s="218" t="s">
        <v>256</v>
      </c>
      <c r="C13" s="219"/>
      <c r="D13" s="933"/>
      <c r="E13" s="934"/>
      <c r="F13" s="934"/>
      <c r="G13" s="934"/>
      <c r="H13" s="934"/>
      <c r="I13" s="4"/>
      <c r="J13" s="4"/>
      <c r="K13" s="4"/>
      <c r="L13" s="4"/>
      <c r="M13" s="4"/>
    </row>
    <row r="14" spans="1:13">
      <c r="A14" s="4"/>
      <c r="B14" s="218" t="s">
        <v>257</v>
      </c>
      <c r="C14" s="219"/>
      <c r="D14" s="933"/>
      <c r="E14" s="934"/>
      <c r="F14" s="934"/>
      <c r="G14" s="934"/>
      <c r="H14" s="934"/>
      <c r="I14" s="4"/>
      <c r="J14" s="4"/>
      <c r="K14" s="4"/>
      <c r="L14" s="4"/>
      <c r="M14" s="4"/>
    </row>
    <row r="15" spans="1:13">
      <c r="A15" s="4"/>
      <c r="B15" s="218" t="s">
        <v>258</v>
      </c>
      <c r="C15" s="219"/>
      <c r="D15" s="933"/>
      <c r="E15" s="934"/>
      <c r="F15" s="934"/>
      <c r="G15" s="934"/>
      <c r="H15" s="934"/>
      <c r="I15" s="4"/>
      <c r="J15" s="4"/>
      <c r="K15" s="4"/>
      <c r="L15" s="4"/>
      <c r="M15" s="4"/>
    </row>
    <row r="16" spans="1:13">
      <c r="A16" s="4"/>
      <c r="B16" s="218" t="s">
        <v>259</v>
      </c>
      <c r="C16" s="219"/>
      <c r="D16" s="933"/>
      <c r="E16" s="934"/>
      <c r="F16" s="934"/>
      <c r="G16" s="934"/>
      <c r="H16" s="934"/>
      <c r="I16" s="4"/>
      <c r="J16" s="4"/>
      <c r="K16" s="4"/>
      <c r="L16" s="4"/>
      <c r="M16" s="4"/>
    </row>
    <row r="17" spans="1:13">
      <c r="A17" s="4"/>
      <c r="B17" s="218" t="s">
        <v>260</v>
      </c>
      <c r="C17" s="219"/>
      <c r="D17" s="933"/>
      <c r="E17" s="934"/>
      <c r="F17" s="934"/>
      <c r="G17" s="934"/>
      <c r="H17" s="934"/>
      <c r="I17" s="4"/>
      <c r="J17" s="4"/>
      <c r="K17" s="4"/>
      <c r="L17" s="4"/>
      <c r="M17" s="4"/>
    </row>
    <row r="18" spans="1:13">
      <c r="A18" s="4"/>
      <c r="B18" s="218" t="s">
        <v>261</v>
      </c>
      <c r="C18" s="219"/>
      <c r="D18" s="933"/>
      <c r="E18" s="934"/>
      <c r="F18" s="934"/>
      <c r="G18" s="934"/>
      <c r="H18" s="934"/>
      <c r="I18" s="4"/>
      <c r="J18" s="4"/>
      <c r="K18" s="4"/>
      <c r="L18" s="4"/>
      <c r="M18" s="4"/>
    </row>
    <row r="19" spans="1:13">
      <c r="A19" s="4"/>
      <c r="B19" s="4"/>
      <c r="C19" s="4"/>
      <c r="D19" s="4"/>
      <c r="E19" s="4"/>
      <c r="F19" s="4"/>
      <c r="G19" s="4"/>
      <c r="H19" s="4"/>
      <c r="I19" s="4"/>
      <c r="J19" s="4"/>
      <c r="K19" s="4"/>
      <c r="L19" s="4"/>
      <c r="M19" s="4"/>
    </row>
    <row r="20" spans="1:13">
      <c r="A20" s="4"/>
      <c r="B20" s="34"/>
      <c r="C20" s="4"/>
      <c r="D20" s="4"/>
      <c r="E20" s="4"/>
      <c r="F20" s="4"/>
      <c r="G20" s="4"/>
      <c r="H20" s="4"/>
      <c r="I20" s="4"/>
      <c r="J20" s="4"/>
      <c r="K20" s="4"/>
      <c r="L20" s="4"/>
    </row>
    <row r="21" spans="1:13">
      <c r="A21" s="4"/>
      <c r="B21" s="47" t="s">
        <v>262</v>
      </c>
      <c r="C21" s="4"/>
      <c r="D21" s="4"/>
      <c r="E21" s="4"/>
      <c r="F21" s="4"/>
      <c r="G21" s="4"/>
      <c r="H21" s="4"/>
      <c r="I21" s="4"/>
      <c r="J21" s="4"/>
      <c r="K21" s="4"/>
      <c r="L21" s="4"/>
    </row>
    <row r="22" spans="1:13">
      <c r="A22" s="4"/>
      <c r="B22" s="47" t="s">
        <v>263</v>
      </c>
      <c r="C22" s="4"/>
      <c r="D22" s="4"/>
      <c r="E22" s="4"/>
      <c r="F22" s="4"/>
      <c r="G22" s="4"/>
      <c r="H22" s="4"/>
      <c r="I22" s="4"/>
      <c r="J22" s="4"/>
      <c r="K22" s="4"/>
      <c r="L22" s="4"/>
    </row>
    <row r="23" spans="1:13">
      <c r="A23" s="4"/>
      <c r="B23" s="47" t="s">
        <v>264</v>
      </c>
      <c r="C23" s="4"/>
      <c r="D23" s="4"/>
      <c r="E23" s="4"/>
      <c r="F23" s="4"/>
      <c r="G23" s="4"/>
      <c r="H23" s="4"/>
      <c r="I23" s="4"/>
      <c r="J23" s="4"/>
      <c r="K23" s="4"/>
      <c r="L23" s="4"/>
    </row>
    <row r="24" spans="1:13">
      <c r="B24" s="47" t="s">
        <v>265</v>
      </c>
    </row>
    <row r="25" spans="1:13">
      <c r="B25" s="47" t="s">
        <v>266</v>
      </c>
    </row>
    <row r="26" spans="1:13">
      <c r="B26" s="47" t="s">
        <v>267</v>
      </c>
    </row>
    <row r="27" spans="1:13">
      <c r="B27" s="47" t="s">
        <v>268</v>
      </c>
    </row>
    <row r="28" spans="1:13">
      <c r="B28" s="47" t="s">
        <v>269</v>
      </c>
    </row>
    <row r="29" spans="1:13">
      <c r="B29" s="47" t="s">
        <v>270</v>
      </c>
    </row>
    <row r="30" spans="1:13">
      <c r="B30" s="47" t="s">
        <v>271</v>
      </c>
    </row>
    <row r="31" spans="1:13">
      <c r="B31" s="185" t="s">
        <v>272</v>
      </c>
    </row>
    <row r="32" spans="1:13">
      <c r="B32" s="47" t="s">
        <v>273</v>
      </c>
    </row>
    <row r="33" spans="2:5">
      <c r="B33" s="47" t="s">
        <v>274</v>
      </c>
    </row>
    <row r="34" spans="2:5">
      <c r="B34" s="47" t="s">
        <v>275</v>
      </c>
    </row>
    <row r="35" spans="2:5">
      <c r="B35" s="47" t="s">
        <v>276</v>
      </c>
      <c r="E35" s="47"/>
    </row>
    <row r="36" spans="2:5">
      <c r="B36" s="47" t="s">
        <v>277</v>
      </c>
    </row>
    <row r="37" spans="2:5">
      <c r="B37" s="47" t="s">
        <v>278</v>
      </c>
    </row>
    <row r="38" spans="2:5">
      <c r="B38" s="47" t="s">
        <v>279</v>
      </c>
    </row>
    <row r="39" spans="2:5">
      <c r="B39" s="47" t="s">
        <v>280</v>
      </c>
    </row>
  </sheetData>
  <mergeCells count="11">
    <mergeCell ref="D13:H13"/>
    <mergeCell ref="D8:H8"/>
    <mergeCell ref="D9:H9"/>
    <mergeCell ref="D10:H10"/>
    <mergeCell ref="D11:H11"/>
    <mergeCell ref="D12:H12"/>
    <mergeCell ref="D14:H14"/>
    <mergeCell ref="D15:H15"/>
    <mergeCell ref="D16:H16"/>
    <mergeCell ref="D17:H17"/>
    <mergeCell ref="D18:H18"/>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Footer>&amp;C_x000D_&amp;1#&amp;"Calibri"&amp;10&amp;K000000 OFFICIAL-InternalOnly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zoomScale="80" zoomScaleNormal="80" workbookViewId="0">
      <selection activeCell="C7" sqref="C7"/>
    </sheetView>
  </sheetViews>
  <sheetFormatPr defaultRowHeight="12.75"/>
  <cols>
    <col min="1" max="1" width="9.75" customWidth="1"/>
    <col min="2" max="2" width="21.75" customWidth="1"/>
    <col min="3" max="3" width="142.125" customWidth="1"/>
    <col min="4" max="4" width="18.875" customWidth="1"/>
    <col min="5" max="5" width="35.5" customWidth="1"/>
    <col min="6" max="6" width="41.75" customWidth="1"/>
  </cols>
  <sheetData>
    <row r="1" spans="1:10" ht="20.25">
      <c r="A1" s="6" t="s">
        <v>281</v>
      </c>
      <c r="B1" s="6"/>
      <c r="C1" s="6"/>
      <c r="D1" s="6"/>
      <c r="E1" s="6"/>
    </row>
    <row r="2" spans="1:10" ht="20.25">
      <c r="A2" s="825" t="str">
        <f>Licensee</f>
        <v>NGED-SWALES</v>
      </c>
      <c r="B2" s="6"/>
      <c r="C2" s="6"/>
      <c r="D2" s="6"/>
      <c r="E2" s="6"/>
    </row>
    <row r="3" spans="1:10" ht="20.25">
      <c r="A3" s="823">
        <f>Reporting_Year</f>
        <v>2026</v>
      </c>
      <c r="B3" s="6"/>
      <c r="C3" s="6"/>
      <c r="D3" s="6"/>
      <c r="E3" s="6"/>
    </row>
    <row r="4" spans="1:10" ht="20.25">
      <c r="A4" s="85"/>
      <c r="B4" s="85"/>
      <c r="C4" s="85"/>
      <c r="D4" s="85"/>
      <c r="E4" s="85"/>
    </row>
    <row r="5" spans="1:10" ht="15">
      <c r="A5" s="257" t="s">
        <v>282</v>
      </c>
      <c r="B5" s="258" t="s">
        <v>283</v>
      </c>
      <c r="C5" s="259" t="s">
        <v>284</v>
      </c>
      <c r="D5" s="239" t="s">
        <v>285</v>
      </c>
    </row>
    <row r="6" spans="1:10">
      <c r="A6" s="208" t="s">
        <v>286</v>
      </c>
      <c r="B6" s="256" t="s">
        <v>287</v>
      </c>
      <c r="C6" s="260" t="s">
        <v>288</v>
      </c>
      <c r="D6" s="256" t="s">
        <v>289</v>
      </c>
    </row>
    <row r="7" spans="1:10">
      <c r="A7" s="208" t="s">
        <v>286</v>
      </c>
      <c r="B7" s="256" t="s">
        <v>290</v>
      </c>
      <c r="C7" s="260" t="s">
        <v>291</v>
      </c>
      <c r="D7" s="256" t="s">
        <v>289</v>
      </c>
    </row>
    <row r="8" spans="1:10" ht="25.5">
      <c r="A8" s="208" t="s">
        <v>286</v>
      </c>
      <c r="B8" s="256" t="s">
        <v>292</v>
      </c>
      <c r="C8" s="260" t="s">
        <v>293</v>
      </c>
      <c r="D8" s="256" t="s">
        <v>289</v>
      </c>
    </row>
    <row r="9" spans="1:10" ht="34.15" customHeight="1">
      <c r="A9" s="208" t="s">
        <v>286</v>
      </c>
      <c r="B9" s="256" t="s">
        <v>294</v>
      </c>
      <c r="C9" s="260" t="s">
        <v>295</v>
      </c>
      <c r="D9" s="256" t="s">
        <v>289</v>
      </c>
    </row>
    <row r="10" spans="1:10" ht="25.5">
      <c r="A10" s="208" t="s">
        <v>286</v>
      </c>
      <c r="B10" s="256" t="s">
        <v>296</v>
      </c>
      <c r="C10" s="260" t="s">
        <v>297</v>
      </c>
      <c r="D10" s="256" t="s">
        <v>289</v>
      </c>
    </row>
    <row r="11" spans="1:10" ht="25.5">
      <c r="A11" s="208" t="s">
        <v>286</v>
      </c>
      <c r="B11" s="256" t="s">
        <v>263</v>
      </c>
      <c r="C11" s="260" t="s">
        <v>298</v>
      </c>
      <c r="D11" s="256" t="s">
        <v>299</v>
      </c>
      <c r="J11" s="111"/>
    </row>
    <row r="12" spans="1:10" ht="25.5">
      <c r="A12" s="208" t="s">
        <v>286</v>
      </c>
      <c r="B12" s="256" t="s">
        <v>300</v>
      </c>
      <c r="C12" s="260" t="s">
        <v>301</v>
      </c>
      <c r="D12" s="256" t="s">
        <v>302</v>
      </c>
    </row>
    <row r="13" spans="1:10">
      <c r="A13" s="208" t="s">
        <v>286</v>
      </c>
      <c r="B13" s="256" t="s">
        <v>303</v>
      </c>
      <c r="C13" s="260" t="s">
        <v>304</v>
      </c>
      <c r="D13" s="256" t="s">
        <v>305</v>
      </c>
    </row>
    <row r="14" spans="1:10">
      <c r="A14" s="208" t="s">
        <v>286</v>
      </c>
      <c r="B14" s="256" t="s">
        <v>306</v>
      </c>
      <c r="C14" s="260" t="s">
        <v>307</v>
      </c>
      <c r="D14" s="256" t="s">
        <v>87</v>
      </c>
    </row>
    <row r="15" spans="1:10">
      <c r="A15" s="208" t="s">
        <v>286</v>
      </c>
      <c r="B15" s="256" t="s">
        <v>308</v>
      </c>
      <c r="C15" s="260" t="s">
        <v>309</v>
      </c>
      <c r="D15" s="256" t="s">
        <v>310</v>
      </c>
    </row>
    <row r="16" spans="1:10" ht="74.25" customHeight="1">
      <c r="A16" s="208" t="s">
        <v>286</v>
      </c>
      <c r="B16" s="256" t="s">
        <v>270</v>
      </c>
      <c r="C16" s="260" t="s">
        <v>311</v>
      </c>
      <c r="D16" s="256" t="s">
        <v>92</v>
      </c>
    </row>
    <row r="17" spans="1:4" ht="20.25" customHeight="1">
      <c r="A17" s="208" t="s">
        <v>286</v>
      </c>
      <c r="B17" s="256" t="s">
        <v>308</v>
      </c>
      <c r="C17" s="260" t="s">
        <v>312</v>
      </c>
      <c r="D17" s="256" t="s">
        <v>221</v>
      </c>
    </row>
    <row r="18" spans="1:4" ht="21" customHeight="1">
      <c r="A18" s="208" t="s">
        <v>286</v>
      </c>
      <c r="B18" s="256" t="s">
        <v>308</v>
      </c>
      <c r="C18" s="260" t="s">
        <v>313</v>
      </c>
      <c r="D18" s="256" t="s">
        <v>221</v>
      </c>
    </row>
    <row r="19" spans="1:4" ht="21" customHeight="1">
      <c r="A19" s="208" t="s">
        <v>286</v>
      </c>
      <c r="B19" s="256" t="s">
        <v>314</v>
      </c>
      <c r="C19" s="260" t="s">
        <v>315</v>
      </c>
      <c r="D19" s="256" t="s">
        <v>221</v>
      </c>
    </row>
    <row r="20" spans="1:4" ht="38.65" customHeight="1">
      <c r="A20" s="208" t="s">
        <v>286</v>
      </c>
      <c r="B20" s="256" t="s">
        <v>316</v>
      </c>
      <c r="C20" s="765" t="s">
        <v>317</v>
      </c>
      <c r="D20" s="256" t="s">
        <v>221</v>
      </c>
    </row>
    <row r="21" spans="1:4">
      <c r="A21" s="208" t="s">
        <v>286</v>
      </c>
      <c r="B21" s="256" t="s">
        <v>290</v>
      </c>
      <c r="C21" s="260" t="s">
        <v>318</v>
      </c>
      <c r="D21" s="256" t="s">
        <v>221</v>
      </c>
    </row>
    <row r="22" spans="1:4" ht="25.5">
      <c r="A22" s="786" t="s">
        <v>286</v>
      </c>
      <c r="B22" s="256" t="s">
        <v>319</v>
      </c>
      <c r="C22" s="260" t="s">
        <v>320</v>
      </c>
      <c r="D22" s="261" t="s">
        <v>289</v>
      </c>
    </row>
    <row r="23" spans="1:4" ht="25.5">
      <c r="A23" s="786" t="s">
        <v>286</v>
      </c>
      <c r="B23" s="256" t="s">
        <v>321</v>
      </c>
      <c r="C23" s="260" t="s">
        <v>322</v>
      </c>
      <c r="D23" s="261" t="s">
        <v>289</v>
      </c>
    </row>
    <row r="24" spans="1:4">
      <c r="A24" s="786" t="s">
        <v>286</v>
      </c>
      <c r="B24" s="256" t="s">
        <v>323</v>
      </c>
      <c r="C24" s="260" t="s">
        <v>324</v>
      </c>
      <c r="D24" s="261" t="s">
        <v>289</v>
      </c>
    </row>
    <row r="25" spans="1:4">
      <c r="A25" s="786" t="s">
        <v>286</v>
      </c>
      <c r="B25" s="256" t="s">
        <v>325</v>
      </c>
      <c r="C25" s="260" t="s">
        <v>326</v>
      </c>
      <c r="D25" s="261" t="s">
        <v>289</v>
      </c>
    </row>
    <row r="26" spans="1:4" ht="57.75" customHeight="1">
      <c r="A26" s="786" t="s">
        <v>286</v>
      </c>
      <c r="B26" s="256" t="s">
        <v>327</v>
      </c>
      <c r="C26" s="260" t="s">
        <v>328</v>
      </c>
      <c r="D26" s="207" t="s">
        <v>4</v>
      </c>
    </row>
    <row r="27" spans="1:4" ht="63.75" customHeight="1">
      <c r="A27" s="786" t="s">
        <v>286</v>
      </c>
      <c r="B27" s="256" t="s">
        <v>329</v>
      </c>
      <c r="C27" s="260" t="s">
        <v>330</v>
      </c>
      <c r="D27" s="207" t="s">
        <v>4</v>
      </c>
    </row>
    <row r="28" spans="1:4" ht="24" customHeight="1">
      <c r="A28" s="786" t="s">
        <v>286</v>
      </c>
      <c r="B28" s="256" t="s">
        <v>331</v>
      </c>
      <c r="C28" s="260" t="s">
        <v>332</v>
      </c>
      <c r="D28" s="207" t="s">
        <v>333</v>
      </c>
    </row>
    <row r="29" spans="1:4" ht="38.25">
      <c r="A29" s="786" t="s">
        <v>286</v>
      </c>
      <c r="B29" s="256" t="s">
        <v>334</v>
      </c>
      <c r="C29" s="260" t="s">
        <v>335</v>
      </c>
      <c r="D29" s="256" t="s">
        <v>336</v>
      </c>
    </row>
    <row r="30" spans="1:4">
      <c r="A30" s="786" t="s">
        <v>286</v>
      </c>
      <c r="B30" s="256" t="s">
        <v>270</v>
      </c>
      <c r="C30" s="260" t="s">
        <v>337</v>
      </c>
      <c r="D30" s="256" t="s">
        <v>29</v>
      </c>
    </row>
    <row r="31" spans="1:4">
      <c r="A31" s="786" t="s">
        <v>286</v>
      </c>
      <c r="B31" s="256" t="s">
        <v>338</v>
      </c>
      <c r="C31" s="260" t="s">
        <v>339</v>
      </c>
      <c r="D31" s="256" t="s">
        <v>340</v>
      </c>
    </row>
    <row r="32" spans="1:4">
      <c r="A32" s="786" t="s">
        <v>286</v>
      </c>
      <c r="B32" s="256" t="s">
        <v>341</v>
      </c>
      <c r="C32" s="260" t="s">
        <v>342</v>
      </c>
      <c r="D32" s="256" t="s">
        <v>289</v>
      </c>
    </row>
    <row r="33" spans="1:4">
      <c r="A33" s="786" t="s">
        <v>286</v>
      </c>
      <c r="B33" s="256" t="s">
        <v>341</v>
      </c>
      <c r="C33" s="260" t="s">
        <v>343</v>
      </c>
      <c r="D33" s="256" t="s">
        <v>289</v>
      </c>
    </row>
    <row r="34" spans="1:4">
      <c r="A34" s="786" t="s">
        <v>286</v>
      </c>
      <c r="B34" s="256" t="s">
        <v>344</v>
      </c>
      <c r="C34" s="260" t="s">
        <v>345</v>
      </c>
      <c r="D34" s="256" t="s">
        <v>289</v>
      </c>
    </row>
    <row r="35" spans="1:4">
      <c r="A35" s="786" t="s">
        <v>286</v>
      </c>
      <c r="B35" s="256" t="s">
        <v>346</v>
      </c>
      <c r="C35" s="260" t="s">
        <v>347</v>
      </c>
      <c r="D35" s="256" t="s">
        <v>289</v>
      </c>
    </row>
    <row r="36" spans="1:4">
      <c r="A36" s="786" t="s">
        <v>286</v>
      </c>
      <c r="B36" s="256" t="s">
        <v>348</v>
      </c>
      <c r="C36" s="260" t="s">
        <v>349</v>
      </c>
      <c r="D36" s="256" t="s">
        <v>350</v>
      </c>
    </row>
    <row r="37" spans="1:4" ht="15" customHeight="1">
      <c r="A37" s="786" t="s">
        <v>286</v>
      </c>
      <c r="B37" s="256" t="s">
        <v>348</v>
      </c>
      <c r="C37" s="260" t="s">
        <v>351</v>
      </c>
      <c r="D37" s="256" t="s">
        <v>350</v>
      </c>
    </row>
    <row r="38" spans="1:4" ht="17.649999999999999" customHeight="1">
      <c r="A38" s="786" t="s">
        <v>286</v>
      </c>
      <c r="B38" s="256" t="s">
        <v>348</v>
      </c>
      <c r="C38" s="260" t="s">
        <v>352</v>
      </c>
      <c r="D38" s="256" t="s">
        <v>221</v>
      </c>
    </row>
    <row r="39" spans="1:4" ht="26.25" customHeight="1">
      <c r="A39" s="786" t="s">
        <v>286</v>
      </c>
      <c r="B39" s="256" t="s">
        <v>348</v>
      </c>
      <c r="C39" s="260" t="s">
        <v>353</v>
      </c>
      <c r="D39" s="256" t="s">
        <v>350</v>
      </c>
    </row>
    <row r="40" spans="1:4" ht="25.5">
      <c r="A40" s="786" t="s">
        <v>286</v>
      </c>
      <c r="B40" s="256" t="s">
        <v>344</v>
      </c>
      <c r="C40" s="260" t="s">
        <v>354</v>
      </c>
      <c r="D40" s="256" t="s">
        <v>221</v>
      </c>
    </row>
    <row r="41" spans="1:4">
      <c r="A41" s="786" t="s">
        <v>286</v>
      </c>
      <c r="B41" s="256" t="s">
        <v>355</v>
      </c>
      <c r="C41" s="260" t="s">
        <v>356</v>
      </c>
      <c r="D41" s="256" t="s">
        <v>289</v>
      </c>
    </row>
    <row r="42" spans="1:4">
      <c r="A42" s="786" t="s">
        <v>286</v>
      </c>
      <c r="B42" s="256" t="s">
        <v>357</v>
      </c>
      <c r="C42" s="260" t="s">
        <v>358</v>
      </c>
      <c r="D42" s="256" t="s">
        <v>359</v>
      </c>
    </row>
    <row r="43" spans="1:4">
      <c r="A43" s="786" t="s">
        <v>286</v>
      </c>
      <c r="B43" s="256" t="s">
        <v>360</v>
      </c>
      <c r="C43" s="260" t="s">
        <v>361</v>
      </c>
      <c r="D43" s="256" t="s">
        <v>289</v>
      </c>
    </row>
    <row r="44" spans="1:4">
      <c r="A44" s="786"/>
      <c r="B44" s="808" t="s">
        <v>362</v>
      </c>
      <c r="C44" s="260" t="s">
        <v>363</v>
      </c>
      <c r="D44" s="256" t="s">
        <v>289</v>
      </c>
    </row>
    <row r="45" spans="1:4">
      <c r="A45" s="786"/>
      <c r="B45" s="808" t="s">
        <v>364</v>
      </c>
      <c r="C45" s="260" t="s">
        <v>365</v>
      </c>
      <c r="D45" s="256" t="s">
        <v>289</v>
      </c>
    </row>
    <row r="46" spans="1:4">
      <c r="A46" s="786" t="s">
        <v>286</v>
      </c>
      <c r="B46" s="256" t="s">
        <v>366</v>
      </c>
      <c r="C46" s="260" t="s">
        <v>367</v>
      </c>
      <c r="D46" s="256" t="s">
        <v>289</v>
      </c>
    </row>
    <row r="47" spans="1:4">
      <c r="A47" s="786" t="s">
        <v>286</v>
      </c>
      <c r="B47" s="256" t="s">
        <v>368</v>
      </c>
      <c r="C47" s="260" t="s">
        <v>369</v>
      </c>
      <c r="D47" s="256" t="s">
        <v>289</v>
      </c>
    </row>
    <row r="48" spans="1:4">
      <c r="A48" s="786" t="s">
        <v>286</v>
      </c>
      <c r="B48" s="256" t="s">
        <v>368</v>
      </c>
      <c r="C48" s="260" t="s">
        <v>370</v>
      </c>
      <c r="D48" s="256" t="s">
        <v>289</v>
      </c>
    </row>
    <row r="49" spans="1:4">
      <c r="A49" s="786" t="s">
        <v>286</v>
      </c>
      <c r="B49" s="256" t="s">
        <v>368</v>
      </c>
      <c r="C49" s="260" t="s">
        <v>371</v>
      </c>
      <c r="D49" s="256" t="s">
        <v>372</v>
      </c>
    </row>
    <row r="50" spans="1:4">
      <c r="A50" s="786" t="s">
        <v>286</v>
      </c>
      <c r="B50" s="256" t="s">
        <v>368</v>
      </c>
      <c r="C50" s="260" t="s">
        <v>373</v>
      </c>
      <c r="D50" s="256" t="s">
        <v>374</v>
      </c>
    </row>
    <row r="51" spans="1:4">
      <c r="A51" s="786" t="s">
        <v>286</v>
      </c>
      <c r="B51" s="256" t="s">
        <v>375</v>
      </c>
      <c r="C51" s="260" t="s">
        <v>376</v>
      </c>
      <c r="D51" s="256" t="s">
        <v>377</v>
      </c>
    </row>
    <row r="52" spans="1:4">
      <c r="A52" s="786" t="s">
        <v>286</v>
      </c>
      <c r="B52" s="256" t="s">
        <v>308</v>
      </c>
      <c r="C52" s="260" t="s">
        <v>378</v>
      </c>
      <c r="D52" s="256" t="s">
        <v>379</v>
      </c>
    </row>
    <row r="53" spans="1:4">
      <c r="A53" s="786" t="s">
        <v>286</v>
      </c>
      <c r="B53" s="256" t="s">
        <v>380</v>
      </c>
      <c r="C53" s="260" t="s">
        <v>381</v>
      </c>
      <c r="D53" s="256" t="s">
        <v>379</v>
      </c>
    </row>
    <row r="54" spans="1:4">
      <c r="A54" s="786" t="s">
        <v>286</v>
      </c>
      <c r="B54" s="256" t="s">
        <v>382</v>
      </c>
      <c r="C54" s="260" t="s">
        <v>383</v>
      </c>
      <c r="D54" s="207" t="s">
        <v>289</v>
      </c>
    </row>
    <row r="55" spans="1:4" ht="51">
      <c r="A55" s="786" t="s">
        <v>384</v>
      </c>
      <c r="B55" s="256" t="s">
        <v>385</v>
      </c>
      <c r="C55" s="260" t="s">
        <v>386</v>
      </c>
      <c r="D55" s="261" t="s">
        <v>289</v>
      </c>
    </row>
    <row r="56" spans="1:4" ht="51">
      <c r="A56" s="786" t="s">
        <v>384</v>
      </c>
      <c r="B56" s="256" t="s">
        <v>387</v>
      </c>
      <c r="C56" s="260" t="s">
        <v>388</v>
      </c>
      <c r="D56" s="261" t="s">
        <v>289</v>
      </c>
    </row>
    <row r="57" spans="1:4">
      <c r="A57" s="786" t="s">
        <v>384</v>
      </c>
      <c r="B57" s="256" t="s">
        <v>389</v>
      </c>
      <c r="C57" s="260" t="s">
        <v>390</v>
      </c>
      <c r="D57" s="261" t="s">
        <v>289</v>
      </c>
    </row>
    <row r="58" spans="1:4">
      <c r="A58" s="786" t="s">
        <v>384</v>
      </c>
      <c r="B58" s="256" t="s">
        <v>375</v>
      </c>
      <c r="C58" s="260" t="s">
        <v>391</v>
      </c>
      <c r="D58" s="261" t="s">
        <v>289</v>
      </c>
    </row>
    <row r="59" spans="1:4">
      <c r="A59" s="786" t="s">
        <v>384</v>
      </c>
      <c r="B59" s="256" t="s">
        <v>392</v>
      </c>
      <c r="C59" s="260" t="s">
        <v>393</v>
      </c>
      <c r="D59" s="261" t="s">
        <v>394</v>
      </c>
    </row>
    <row r="60" spans="1:4">
      <c r="A60" s="786" t="s">
        <v>384</v>
      </c>
      <c r="B60" s="256" t="s">
        <v>344</v>
      </c>
      <c r="C60" s="260" t="s">
        <v>395</v>
      </c>
      <c r="D60" s="261" t="s">
        <v>394</v>
      </c>
    </row>
    <row r="61" spans="1:4">
      <c r="A61" s="786" t="s">
        <v>384</v>
      </c>
      <c r="B61" s="256" t="s">
        <v>396</v>
      </c>
      <c r="C61" s="260" t="s">
        <v>397</v>
      </c>
      <c r="D61" s="261" t="s">
        <v>398</v>
      </c>
    </row>
    <row r="62" spans="1:4">
      <c r="A62" s="786" t="s">
        <v>384</v>
      </c>
      <c r="B62" s="256" t="s">
        <v>385</v>
      </c>
      <c r="C62" s="260" t="s">
        <v>399</v>
      </c>
      <c r="D62" s="261" t="s">
        <v>221</v>
      </c>
    </row>
    <row r="63" spans="1:4">
      <c r="A63" s="786" t="s">
        <v>384</v>
      </c>
      <c r="B63" s="256" t="s">
        <v>400</v>
      </c>
      <c r="C63" s="260" t="s">
        <v>401</v>
      </c>
      <c r="D63" s="261" t="s">
        <v>289</v>
      </c>
    </row>
    <row r="64" spans="1:4">
      <c r="A64" s="786" t="s">
        <v>384</v>
      </c>
      <c r="B64" s="256" t="s">
        <v>279</v>
      </c>
      <c r="C64" s="260" t="s">
        <v>402</v>
      </c>
      <c r="D64" s="261" t="s">
        <v>289</v>
      </c>
    </row>
    <row r="65" spans="1:4">
      <c r="A65" s="786" t="s">
        <v>384</v>
      </c>
      <c r="B65" s="256" t="s">
        <v>279</v>
      </c>
      <c r="C65" s="260" t="s">
        <v>403</v>
      </c>
      <c r="D65" s="261" t="s">
        <v>289</v>
      </c>
    </row>
    <row r="66" spans="1:4">
      <c r="A66" s="786" t="s">
        <v>384</v>
      </c>
      <c r="B66" s="256" t="s">
        <v>280</v>
      </c>
      <c r="C66" s="260" t="s">
        <v>404</v>
      </c>
      <c r="D66" s="261" t="s">
        <v>289</v>
      </c>
    </row>
    <row r="67" spans="1:4">
      <c r="A67" s="786" t="s">
        <v>384</v>
      </c>
      <c r="B67" s="256" t="s">
        <v>341</v>
      </c>
      <c r="C67" s="260" t="s">
        <v>405</v>
      </c>
      <c r="D67" s="261" t="s">
        <v>289</v>
      </c>
    </row>
    <row r="68" spans="1:4">
      <c r="A68" s="786" t="s">
        <v>406</v>
      </c>
      <c r="B68" s="256" t="s">
        <v>407</v>
      </c>
      <c r="C68" s="260" t="s">
        <v>408</v>
      </c>
      <c r="D68" s="261" t="s">
        <v>289</v>
      </c>
    </row>
    <row r="69" spans="1:4">
      <c r="A69" s="786" t="s">
        <v>406</v>
      </c>
      <c r="B69" s="256" t="s">
        <v>409</v>
      </c>
      <c r="C69" s="260" t="s">
        <v>410</v>
      </c>
      <c r="D69" s="261" t="s">
        <v>289</v>
      </c>
    </row>
    <row r="70" spans="1:4">
      <c r="A70" s="786" t="s">
        <v>406</v>
      </c>
      <c r="B70" s="800" t="s">
        <v>409</v>
      </c>
      <c r="C70" s="260" t="s">
        <v>411</v>
      </c>
      <c r="D70" s="261" t="s">
        <v>289</v>
      </c>
    </row>
    <row r="71" spans="1:4">
      <c r="A71" s="786" t="s">
        <v>406</v>
      </c>
      <c r="B71" s="800" t="s">
        <v>409</v>
      </c>
      <c r="C71" s="260" t="s">
        <v>412</v>
      </c>
      <c r="D71" s="261" t="s">
        <v>289</v>
      </c>
    </row>
    <row r="72" spans="1:4">
      <c r="A72" s="786" t="s">
        <v>406</v>
      </c>
      <c r="B72" s="800" t="s">
        <v>409</v>
      </c>
      <c r="C72" s="260" t="s">
        <v>413</v>
      </c>
      <c r="D72" s="261" t="s">
        <v>289</v>
      </c>
    </row>
    <row r="73" spans="1:4" ht="25.5">
      <c r="A73" s="786" t="s">
        <v>406</v>
      </c>
      <c r="B73" s="800" t="s">
        <v>414</v>
      </c>
      <c r="C73" s="260" t="s">
        <v>415</v>
      </c>
      <c r="D73" s="261" t="s">
        <v>289</v>
      </c>
    </row>
    <row r="74" spans="1:4" ht="25.5">
      <c r="A74" s="786" t="s">
        <v>416</v>
      </c>
      <c r="B74" s="800" t="s">
        <v>417</v>
      </c>
      <c r="C74" s="260" t="s">
        <v>418</v>
      </c>
      <c r="D74" s="261" t="s">
        <v>419</v>
      </c>
    </row>
    <row r="75" spans="1:4" ht="25.5">
      <c r="A75" s="786" t="s">
        <v>416</v>
      </c>
      <c r="B75" s="800" t="s">
        <v>420</v>
      </c>
      <c r="C75" s="260" t="s">
        <v>421</v>
      </c>
      <c r="D75" s="261" t="s">
        <v>419</v>
      </c>
    </row>
    <row r="76" spans="1:4">
      <c r="A76" s="786" t="s">
        <v>416</v>
      </c>
      <c r="B76" s="800" t="s">
        <v>422</v>
      </c>
      <c r="C76" s="260" t="s">
        <v>423</v>
      </c>
      <c r="D76" s="261" t="s">
        <v>424</v>
      </c>
    </row>
    <row r="77" spans="1:4" ht="25.5">
      <c r="A77" s="786" t="s">
        <v>416</v>
      </c>
      <c r="B77" s="809" t="s">
        <v>425</v>
      </c>
      <c r="C77" s="766" t="s">
        <v>426</v>
      </c>
      <c r="D77" s="762" t="s">
        <v>424</v>
      </c>
    </row>
    <row r="78" spans="1:4" ht="51">
      <c r="A78" s="786" t="s">
        <v>416</v>
      </c>
      <c r="B78" s="256" t="s">
        <v>427</v>
      </c>
      <c r="C78" s="260" t="s">
        <v>428</v>
      </c>
      <c r="D78" s="207" t="s">
        <v>289</v>
      </c>
    </row>
    <row r="79" spans="1:4">
      <c r="A79" s="786" t="s">
        <v>416</v>
      </c>
      <c r="B79" s="256" t="s">
        <v>429</v>
      </c>
      <c r="C79" s="260" t="s">
        <v>430</v>
      </c>
      <c r="D79" s="207" t="s">
        <v>289</v>
      </c>
    </row>
    <row r="80" spans="1:4">
      <c r="A80" s="786" t="s">
        <v>416</v>
      </c>
      <c r="B80" s="256" t="s">
        <v>334</v>
      </c>
      <c r="C80" s="260" t="s">
        <v>431</v>
      </c>
      <c r="D80" s="207" t="s">
        <v>289</v>
      </c>
    </row>
    <row r="81" spans="1:4">
      <c r="A81" s="786" t="s">
        <v>416</v>
      </c>
      <c r="B81" s="256" t="s">
        <v>334</v>
      </c>
      <c r="C81" s="260" t="s">
        <v>432</v>
      </c>
      <c r="D81" s="207" t="s">
        <v>289</v>
      </c>
    </row>
    <row r="82" spans="1:4">
      <c r="A82" s="786" t="s">
        <v>416</v>
      </c>
      <c r="B82" s="256" t="s">
        <v>433</v>
      </c>
      <c r="C82" s="260" t="s">
        <v>434</v>
      </c>
      <c r="D82" s="207" t="s">
        <v>289</v>
      </c>
    </row>
    <row r="83" spans="1:4" ht="25.5">
      <c r="A83" s="786" t="s">
        <v>416</v>
      </c>
      <c r="B83" s="256" t="s">
        <v>435</v>
      </c>
      <c r="C83" s="260" t="s">
        <v>436</v>
      </c>
      <c r="D83" s="207" t="s">
        <v>289</v>
      </c>
    </row>
    <row r="84" spans="1:4">
      <c r="A84" s="790" t="s">
        <v>416</v>
      </c>
      <c r="B84" s="810" t="s">
        <v>437</v>
      </c>
      <c r="C84" s="766" t="s">
        <v>438</v>
      </c>
      <c r="D84" s="207" t="s">
        <v>289</v>
      </c>
    </row>
    <row r="85" spans="1:4">
      <c r="A85" s="786" t="s">
        <v>416</v>
      </c>
      <c r="B85" s="256" t="s">
        <v>280</v>
      </c>
      <c r="C85" s="767" t="s">
        <v>439</v>
      </c>
      <c r="D85" s="207" t="s">
        <v>289</v>
      </c>
    </row>
    <row r="86" spans="1:4">
      <c r="A86" s="786" t="s">
        <v>440</v>
      </c>
      <c r="B86" s="810" t="s">
        <v>308</v>
      </c>
      <c r="C86" s="768" t="s">
        <v>441</v>
      </c>
      <c r="D86" s="207" t="s">
        <v>289</v>
      </c>
    </row>
    <row r="87" spans="1:4">
      <c r="A87" s="786" t="s">
        <v>440</v>
      </c>
      <c r="B87" s="811" t="s">
        <v>442</v>
      </c>
      <c r="C87" s="769" t="s">
        <v>443</v>
      </c>
      <c r="D87" s="109" t="s">
        <v>444</v>
      </c>
    </row>
    <row r="88" spans="1:4">
      <c r="A88" s="786" t="s">
        <v>440</v>
      </c>
      <c r="B88" s="256" t="s">
        <v>445</v>
      </c>
      <c r="C88" s="770" t="s">
        <v>446</v>
      </c>
      <c r="D88" s="771" t="s">
        <v>289</v>
      </c>
    </row>
    <row r="89" spans="1:4">
      <c r="A89" s="786" t="s">
        <v>440</v>
      </c>
      <c r="B89" s="256" t="s">
        <v>447</v>
      </c>
      <c r="C89" s="767" t="s">
        <v>448</v>
      </c>
      <c r="D89" s="207" t="s">
        <v>449</v>
      </c>
    </row>
    <row r="90" spans="1:4" ht="38.25">
      <c r="A90" s="786" t="s">
        <v>440</v>
      </c>
      <c r="B90" s="256" t="s">
        <v>450</v>
      </c>
      <c r="C90" s="772" t="s">
        <v>451</v>
      </c>
      <c r="D90" s="182" t="s">
        <v>449</v>
      </c>
    </row>
    <row r="91" spans="1:4" ht="25.5">
      <c r="A91" s="786" t="s">
        <v>440</v>
      </c>
      <c r="B91" s="806" t="s">
        <v>452</v>
      </c>
      <c r="C91" s="787" t="s">
        <v>453</v>
      </c>
      <c r="D91" s="783" t="s">
        <v>454</v>
      </c>
    </row>
    <row r="92" spans="1:4">
      <c r="A92" s="786" t="s">
        <v>440</v>
      </c>
      <c r="B92" s="806" t="s">
        <v>455</v>
      </c>
      <c r="C92" s="109" t="s">
        <v>456</v>
      </c>
      <c r="D92" s="109" t="s">
        <v>457</v>
      </c>
    </row>
    <row r="93" spans="1:4">
      <c r="A93" s="786" t="s">
        <v>440</v>
      </c>
      <c r="B93" s="806" t="s">
        <v>458</v>
      </c>
      <c r="C93" s="782" t="s">
        <v>459</v>
      </c>
      <c r="D93" s="109" t="s">
        <v>457</v>
      </c>
    </row>
    <row r="94" spans="1:4" ht="25.5">
      <c r="A94" s="786" t="s">
        <v>440</v>
      </c>
      <c r="B94" s="806" t="s">
        <v>460</v>
      </c>
      <c r="C94" s="782" t="s">
        <v>461</v>
      </c>
      <c r="D94" s="109" t="s">
        <v>462</v>
      </c>
    </row>
    <row r="95" spans="1:4">
      <c r="A95" s="786" t="s">
        <v>440</v>
      </c>
      <c r="B95" s="806" t="s">
        <v>463</v>
      </c>
      <c r="C95" s="782" t="s">
        <v>464</v>
      </c>
      <c r="D95" s="109" t="s">
        <v>462</v>
      </c>
    </row>
    <row r="96" spans="1:4">
      <c r="A96" s="786" t="s">
        <v>440</v>
      </c>
      <c r="B96" s="806" t="s">
        <v>325</v>
      </c>
      <c r="C96" s="782" t="s">
        <v>465</v>
      </c>
      <c r="D96" s="109" t="s">
        <v>466</v>
      </c>
    </row>
    <row r="97" spans="1:4" ht="126" customHeight="1">
      <c r="A97" s="786" t="s">
        <v>440</v>
      </c>
      <c r="B97" s="806" t="s">
        <v>262</v>
      </c>
      <c r="C97" s="782" t="s">
        <v>467</v>
      </c>
      <c r="D97" s="784" t="s">
        <v>468</v>
      </c>
    </row>
    <row r="98" spans="1:4" ht="46.5" customHeight="1">
      <c r="A98" s="786" t="s">
        <v>440</v>
      </c>
      <c r="B98" s="806" t="s">
        <v>469</v>
      </c>
      <c r="C98" s="785" t="s">
        <v>470</v>
      </c>
      <c r="D98" s="784" t="s">
        <v>466</v>
      </c>
    </row>
    <row r="99" spans="1:4">
      <c r="A99" s="786" t="s">
        <v>440</v>
      </c>
      <c r="B99" s="806" t="s">
        <v>341</v>
      </c>
      <c r="C99" s="785" t="s">
        <v>471</v>
      </c>
      <c r="D99" s="784" t="s">
        <v>472</v>
      </c>
    </row>
    <row r="100" spans="1:4">
      <c r="A100" s="786" t="s">
        <v>440</v>
      </c>
      <c r="B100" s="806" t="s">
        <v>473</v>
      </c>
      <c r="C100" s="785" t="s">
        <v>474</v>
      </c>
      <c r="D100" s="784" t="s">
        <v>289</v>
      </c>
    </row>
    <row r="101" spans="1:4">
      <c r="A101" s="786" t="s">
        <v>440</v>
      </c>
      <c r="B101" s="806" t="s">
        <v>325</v>
      </c>
      <c r="C101" s="785" t="s">
        <v>475</v>
      </c>
      <c r="D101" s="784" t="s">
        <v>289</v>
      </c>
    </row>
    <row r="102" spans="1:4">
      <c r="A102" s="786" t="s">
        <v>440</v>
      </c>
      <c r="B102" s="806" t="s">
        <v>325</v>
      </c>
      <c r="C102" s="785" t="s">
        <v>476</v>
      </c>
      <c r="D102" s="784" t="s">
        <v>477</v>
      </c>
    </row>
    <row r="103" spans="1:4">
      <c r="A103" s="786" t="s">
        <v>440</v>
      </c>
      <c r="B103" s="806" t="s">
        <v>279</v>
      </c>
      <c r="C103" s="785" t="s">
        <v>478</v>
      </c>
      <c r="D103" s="784" t="s">
        <v>289</v>
      </c>
    </row>
    <row r="104" spans="1:4" ht="25.5">
      <c r="A104" s="786" t="s">
        <v>440</v>
      </c>
      <c r="B104" s="806" t="s">
        <v>479</v>
      </c>
      <c r="C104" s="785" t="s">
        <v>480</v>
      </c>
      <c r="D104" s="784" t="s">
        <v>289</v>
      </c>
    </row>
    <row r="105" spans="1:4" ht="25.5">
      <c r="A105" s="786" t="s">
        <v>440</v>
      </c>
      <c r="B105" s="806" t="s">
        <v>267</v>
      </c>
      <c r="C105" s="785" t="s">
        <v>481</v>
      </c>
      <c r="D105" s="784" t="s">
        <v>289</v>
      </c>
    </row>
    <row r="106" spans="1:4">
      <c r="A106" s="786" t="s">
        <v>440</v>
      </c>
      <c r="B106" s="806" t="s">
        <v>482</v>
      </c>
      <c r="C106" s="796" t="s">
        <v>483</v>
      </c>
      <c r="D106" s="784" t="s">
        <v>204</v>
      </c>
    </row>
    <row r="107" spans="1:4" ht="14.25">
      <c r="A107" s="786" t="s">
        <v>484</v>
      </c>
      <c r="B107" s="807" t="s">
        <v>485</v>
      </c>
      <c r="C107" s="798" t="s">
        <v>486</v>
      </c>
      <c r="D107" s="797" t="s">
        <v>487</v>
      </c>
    </row>
    <row r="108" spans="1:4" ht="25.5">
      <c r="A108" s="786" t="s">
        <v>484</v>
      </c>
      <c r="B108" s="807" t="s">
        <v>488</v>
      </c>
      <c r="C108" s="799" t="s">
        <v>489</v>
      </c>
      <c r="D108" s="797" t="s">
        <v>457</v>
      </c>
    </row>
    <row r="109" spans="1:4" ht="25.5">
      <c r="A109" s="786" t="s">
        <v>484</v>
      </c>
      <c r="B109" s="807" t="s">
        <v>490</v>
      </c>
      <c r="C109" s="799" t="s">
        <v>491</v>
      </c>
      <c r="D109" s="797" t="s">
        <v>289</v>
      </c>
    </row>
    <row r="110" spans="1:4" ht="14.25">
      <c r="A110" s="786" t="s">
        <v>484</v>
      </c>
      <c r="B110" s="807" t="s">
        <v>492</v>
      </c>
      <c r="C110" s="799" t="s">
        <v>493</v>
      </c>
      <c r="D110" s="797" t="s">
        <v>289</v>
      </c>
    </row>
    <row r="111" spans="1:4">
      <c r="A111" s="786" t="s">
        <v>484</v>
      </c>
      <c r="B111" s="256" t="s">
        <v>279</v>
      </c>
      <c r="C111" s="260" t="s">
        <v>494</v>
      </c>
      <c r="D111" s="797" t="s">
        <v>289</v>
      </c>
    </row>
    <row r="112" spans="1:4">
      <c r="A112" s="786" t="s">
        <v>484</v>
      </c>
      <c r="B112" s="810" t="s">
        <v>280</v>
      </c>
      <c r="C112" s="766" t="s">
        <v>495</v>
      </c>
      <c r="D112" s="814" t="s">
        <v>289</v>
      </c>
    </row>
    <row r="113" spans="1:4">
      <c r="A113" s="786" t="s">
        <v>496</v>
      </c>
      <c r="B113" s="256" t="s">
        <v>497</v>
      </c>
      <c r="C113" s="207" t="s">
        <v>498</v>
      </c>
      <c r="D113" s="815" t="s">
        <v>499</v>
      </c>
    </row>
    <row r="114" spans="1:4" ht="25.5" customHeight="1">
      <c r="A114" s="786" t="s">
        <v>496</v>
      </c>
      <c r="B114" s="812" t="s">
        <v>500</v>
      </c>
      <c r="C114" s="182" t="s">
        <v>501</v>
      </c>
      <c r="D114" s="815" t="s">
        <v>289</v>
      </c>
    </row>
    <row r="115" spans="1:4" ht="25.5">
      <c r="A115" s="786" t="s">
        <v>496</v>
      </c>
      <c r="B115" s="812" t="s">
        <v>502</v>
      </c>
      <c r="C115" s="182" t="s">
        <v>503</v>
      </c>
      <c r="D115" s="815" t="s">
        <v>289</v>
      </c>
    </row>
    <row r="116" spans="1:4" ht="25.5">
      <c r="A116" s="786" t="s">
        <v>496</v>
      </c>
      <c r="B116" s="812" t="s">
        <v>504</v>
      </c>
      <c r="C116" s="182" t="s">
        <v>503</v>
      </c>
      <c r="D116" s="815" t="s">
        <v>289</v>
      </c>
    </row>
    <row r="117" spans="1:4" ht="25.5">
      <c r="A117" s="786" t="s">
        <v>496</v>
      </c>
      <c r="B117" s="812" t="s">
        <v>505</v>
      </c>
      <c r="C117" s="182" t="s">
        <v>503</v>
      </c>
      <c r="D117" s="815" t="s">
        <v>289</v>
      </c>
    </row>
    <row r="118" spans="1:4">
      <c r="A118" s="786" t="s">
        <v>496</v>
      </c>
      <c r="B118" s="812" t="s">
        <v>278</v>
      </c>
      <c r="C118" s="182" t="s">
        <v>506</v>
      </c>
      <c r="D118" s="815" t="s">
        <v>289</v>
      </c>
    </row>
    <row r="119" spans="1:4" ht="25.5">
      <c r="A119" s="786" t="s">
        <v>496</v>
      </c>
      <c r="B119" s="807" t="s">
        <v>490</v>
      </c>
      <c r="C119" s="799" t="s">
        <v>507</v>
      </c>
      <c r="D119" s="797" t="s">
        <v>289</v>
      </c>
    </row>
    <row r="120" spans="1:4">
      <c r="A120" s="786" t="s">
        <v>496</v>
      </c>
      <c r="B120" s="256" t="s">
        <v>279</v>
      </c>
      <c r="C120" s="260" t="s">
        <v>508</v>
      </c>
      <c r="D120" s="797" t="s">
        <v>289</v>
      </c>
    </row>
    <row r="121" spans="1:4">
      <c r="A121" s="786" t="s">
        <v>496</v>
      </c>
      <c r="B121" s="256" t="s">
        <v>280</v>
      </c>
      <c r="C121" s="260" t="s">
        <v>509</v>
      </c>
      <c r="D121" s="816" t="s">
        <v>289</v>
      </c>
    </row>
    <row r="122" spans="1:4">
      <c r="A122" s="786" t="s">
        <v>510</v>
      </c>
      <c r="B122" s="256" t="s">
        <v>511</v>
      </c>
      <c r="C122" s="207" t="s">
        <v>512</v>
      </c>
      <c r="D122" s="815" t="s">
        <v>513</v>
      </c>
    </row>
    <row r="123" spans="1:4">
      <c r="A123" s="786" t="s">
        <v>510</v>
      </c>
      <c r="B123" s="256" t="s">
        <v>279</v>
      </c>
      <c r="C123" s="207" t="s">
        <v>514</v>
      </c>
      <c r="D123" s="815" t="s">
        <v>289</v>
      </c>
    </row>
    <row r="124" spans="1:4">
      <c r="A124" s="786" t="s">
        <v>515</v>
      </c>
      <c r="B124" s="256" t="s">
        <v>516</v>
      </c>
      <c r="C124" s="207" t="s">
        <v>517</v>
      </c>
      <c r="D124" s="815" t="s">
        <v>518</v>
      </c>
    </row>
    <row r="125" spans="1:4" s="10" customFormat="1" ht="28.5" customHeight="1">
      <c r="A125" s="208" t="s">
        <v>515</v>
      </c>
      <c r="B125" s="256" t="s">
        <v>519</v>
      </c>
      <c r="C125" s="815" t="s">
        <v>520</v>
      </c>
      <c r="D125" s="815" t="s">
        <v>521</v>
      </c>
    </row>
    <row r="126" spans="1:4">
      <c r="A126" s="208" t="s">
        <v>515</v>
      </c>
      <c r="B126" s="256" t="s">
        <v>522</v>
      </c>
      <c r="C126" s="207" t="s">
        <v>523</v>
      </c>
      <c r="D126" s="815" t="s">
        <v>340</v>
      </c>
    </row>
    <row r="127" spans="1:4">
      <c r="A127" s="208" t="s">
        <v>515</v>
      </c>
      <c r="B127" s="256" t="s">
        <v>524</v>
      </c>
      <c r="C127" s="207" t="s">
        <v>525</v>
      </c>
      <c r="D127" s="815" t="s">
        <v>87</v>
      </c>
    </row>
    <row r="128" spans="1:4">
      <c r="A128" s="208" t="s">
        <v>526</v>
      </c>
      <c r="B128" s="256" t="s">
        <v>279</v>
      </c>
      <c r="C128" s="213" t="s">
        <v>527</v>
      </c>
      <c r="D128" s="815" t="s">
        <v>457</v>
      </c>
    </row>
    <row r="129" spans="1:4">
      <c r="A129" s="208" t="s">
        <v>526</v>
      </c>
      <c r="B129" s="256" t="s">
        <v>280</v>
      </c>
      <c r="C129" s="213" t="s">
        <v>528</v>
      </c>
      <c r="D129" s="815" t="s">
        <v>457</v>
      </c>
    </row>
    <row r="130" spans="1:4" ht="63.75">
      <c r="A130" s="208" t="s">
        <v>526</v>
      </c>
      <c r="B130" s="256" t="s">
        <v>529</v>
      </c>
      <c r="C130" s="815" t="s">
        <v>530</v>
      </c>
      <c r="D130" s="815" t="s">
        <v>457</v>
      </c>
    </row>
    <row r="131" spans="1:4">
      <c r="A131" s="208" t="s">
        <v>526</v>
      </c>
      <c r="B131" s="256" t="s">
        <v>531</v>
      </c>
      <c r="C131" s="815" t="s">
        <v>532</v>
      </c>
      <c r="D131" s="815" t="s">
        <v>204</v>
      </c>
    </row>
    <row r="132" spans="1:4" ht="63.75">
      <c r="A132" s="208" t="s">
        <v>526</v>
      </c>
      <c r="B132" s="256" t="s">
        <v>529</v>
      </c>
      <c r="C132" s="815" t="s">
        <v>533</v>
      </c>
      <c r="D132" s="815" t="s">
        <v>204</v>
      </c>
    </row>
  </sheetData>
  <phoneticPr fontId="250" type="noConversion"/>
  <pageMargins left="0.70866141732283472" right="0.70866141732283472" top="0.74803149606299213" bottom="0.74803149606299213" header="0.31496062992125984" footer="0.31496062992125984"/>
  <pageSetup paperSize="8" scale="86" orientation="landscape" r:id="rId1"/>
  <headerFooter>
    <oddFooter>&amp;C_x000D_&amp;1#&amp;"Calibri"&amp;10&amp;K000000 OFFICIAL-InternalOnly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C000"/>
    <pageSetUpPr fitToPage="1"/>
  </sheetPr>
  <dimension ref="A1:W107"/>
  <sheetViews>
    <sheetView zoomScale="80" zoomScaleNormal="80" workbookViewId="0">
      <selection activeCell="G80" sqref="G80"/>
    </sheetView>
  </sheetViews>
  <sheetFormatPr defaultColWidth="9" defaultRowHeight="12.75"/>
  <cols>
    <col min="1" max="1" width="8.375" customWidth="1"/>
    <col min="2" max="2" width="65.375" style="34" bestFit="1" customWidth="1"/>
    <col min="3" max="3" width="9.875" customWidth="1"/>
    <col min="4" max="4" width="10.625" bestFit="1" customWidth="1"/>
    <col min="5" max="5" width="10.875" bestFit="1" customWidth="1"/>
    <col min="6" max="8" width="9.125" customWidth="1"/>
    <col min="9" max="9" width="2.625" customWidth="1"/>
    <col min="10" max="11" width="13.75" customWidth="1"/>
    <col min="12" max="12" width="5.125" customWidth="1"/>
    <col min="16" max="16" width="10.5" bestFit="1" customWidth="1"/>
  </cols>
  <sheetData>
    <row r="1" spans="1:20" ht="20.25">
      <c r="A1" s="824" t="s">
        <v>534</v>
      </c>
      <c r="B1" s="849"/>
      <c r="C1" s="850"/>
      <c r="D1" s="850"/>
      <c r="E1" s="850"/>
      <c r="F1" s="850"/>
      <c r="G1" s="851"/>
      <c r="H1" s="851"/>
      <c r="I1" s="852"/>
      <c r="J1" s="852"/>
      <c r="K1" s="852"/>
      <c r="L1" s="301" t="s">
        <v>247</v>
      </c>
    </row>
    <row r="2" spans="1:20" ht="20.25">
      <c r="A2" s="825" t="str">
        <f>Licensee</f>
        <v>NGED-SWALES</v>
      </c>
      <c r="B2" s="302"/>
      <c r="C2" s="93"/>
      <c r="D2" s="93"/>
      <c r="E2" s="93"/>
      <c r="F2" s="93"/>
      <c r="G2" s="6"/>
      <c r="H2" s="6"/>
      <c r="I2" s="303"/>
      <c r="J2" s="303"/>
      <c r="K2" s="303"/>
      <c r="L2" s="304"/>
    </row>
    <row r="3" spans="1:20" ht="20.25">
      <c r="A3" s="823">
        <f>Reporting_Year</f>
        <v>2026</v>
      </c>
      <c r="B3" s="6" t="str">
        <f>IF(Licensee=Data!$B$86,"Only required to be completed to show Operational Performance","")</f>
        <v/>
      </c>
      <c r="C3" s="6"/>
      <c r="D3" s="6"/>
      <c r="E3" s="6"/>
      <c r="F3" s="6"/>
      <c r="G3" s="6"/>
      <c r="H3" s="305"/>
      <c r="I3" s="306"/>
      <c r="J3" s="306"/>
      <c r="K3" s="306"/>
      <c r="L3" s="307"/>
    </row>
    <row r="4" spans="1:20" ht="12.75" customHeight="1"/>
    <row r="5" spans="1:20">
      <c r="D5" s="308" t="str">
        <f t="shared" ref="D5:H5" si="0">IF(D6&lt;=Reporting_Year,"Actuals","Forecast")</f>
        <v>Actuals</v>
      </c>
      <c r="E5" s="308" t="str">
        <f t="shared" si="0"/>
        <v>Actuals</v>
      </c>
      <c r="F5" s="308" t="str">
        <f t="shared" si="0"/>
        <v>Actuals</v>
      </c>
      <c r="G5" s="308" t="str">
        <f t="shared" si="0"/>
        <v>Forecast</v>
      </c>
      <c r="H5" s="308" t="str">
        <f t="shared" si="0"/>
        <v>Forecast</v>
      </c>
      <c r="I5" s="309"/>
      <c r="J5" s="309"/>
    </row>
    <row r="6" spans="1:20" ht="31.5" customHeight="1">
      <c r="C6" s="310"/>
      <c r="D6" s="311">
        <f>RIIO_2_start_date</f>
        <v>2024</v>
      </c>
      <c r="E6" s="311">
        <f>D6+1</f>
        <v>2025</v>
      </c>
      <c r="F6" s="311">
        <f>E6+1</f>
        <v>2026</v>
      </c>
      <c r="G6" s="311">
        <f t="shared" ref="G6:H6" si="1">F6+1</f>
        <v>2027</v>
      </c>
      <c r="H6" s="311">
        <f t="shared" si="1"/>
        <v>2028</v>
      </c>
      <c r="I6" s="10"/>
      <c r="J6" s="312" t="str">
        <f>"Cumulative to "&amp;'RFPR cover'!$C$9</f>
        <v>Cumulative to 2026</v>
      </c>
      <c r="K6" s="313" t="s">
        <v>535</v>
      </c>
    </row>
    <row r="7" spans="1:20">
      <c r="C7" s="310"/>
      <c r="D7" s="314" t="str">
        <f>RIIO_2_start_date-1&amp;"/"&amp;RIGHT(RIIO_2_start_date,2)</f>
        <v>2023/24</v>
      </c>
      <c r="E7" s="314" t="str">
        <f>RIIO_2_start_date&amp;"/"&amp;RIGHT(RIIO_2_start_date+1,2)</f>
        <v>2024/25</v>
      </c>
      <c r="F7" s="314" t="str">
        <f>RIIO_2_start_date+1&amp;"/"&amp;RIGHT(RIIO_2_start_date+2,2)</f>
        <v>2025/26</v>
      </c>
      <c r="G7" s="314" t="str">
        <f>RIIO_2_start_date+2&amp;"/"&amp;RIGHT(RIIO_2_start_date+3,2)</f>
        <v>2026/27</v>
      </c>
      <c r="H7" s="314" t="str">
        <f>RIIO_2_start_date+3&amp;"/"&amp;RIGHT(RIIO_2_start_date+4,2)</f>
        <v>2027/28</v>
      </c>
      <c r="I7" s="310"/>
      <c r="J7" s="310"/>
      <c r="K7" s="310"/>
      <c r="L7" s="310"/>
    </row>
    <row r="8" spans="1:20">
      <c r="C8" s="34"/>
      <c r="D8" s="34"/>
      <c r="E8" s="34"/>
      <c r="F8" s="34"/>
      <c r="G8" s="34"/>
      <c r="H8" s="34"/>
      <c r="I8" s="34"/>
      <c r="J8" s="34"/>
      <c r="K8" s="34"/>
      <c r="L8" s="34"/>
      <c r="M8" s="34"/>
      <c r="N8" s="34"/>
      <c r="O8" s="34"/>
      <c r="P8" s="34"/>
      <c r="Q8" s="34"/>
      <c r="R8" s="34"/>
      <c r="S8" s="34"/>
      <c r="T8" s="34"/>
    </row>
    <row r="9" spans="1:20">
      <c r="B9" s="315" t="s">
        <v>536</v>
      </c>
      <c r="C9" s="38"/>
      <c r="D9" s="38"/>
      <c r="E9" s="38"/>
      <c r="F9" s="38"/>
      <c r="G9" s="38"/>
      <c r="H9" s="38"/>
      <c r="I9" s="316"/>
      <c r="J9" s="38"/>
      <c r="K9" s="38"/>
      <c r="L9" s="38"/>
    </row>
    <row r="10" spans="1:20">
      <c r="B10" s="317"/>
      <c r="I10" s="10"/>
    </row>
    <row r="11" spans="1:20">
      <c r="B11" s="158" t="s">
        <v>537</v>
      </c>
      <c r="C11" s="157" t="s">
        <v>538</v>
      </c>
      <c r="D11" s="60">
        <f>IFERROR(Equity_Return_on_the_RAV/NPV_neutral_equity_element_of_RAV,0)</f>
        <v>5.2833944000000001E-2</v>
      </c>
      <c r="E11" s="60">
        <f>IFERROR(Equity_Return_on_the_RAV/NPV_neutral_equity_element_of_RAV,0)</f>
        <v>5.5875458000000003E-2</v>
      </c>
      <c r="F11" s="60">
        <f>IFERROR(Equity_Return_on_the_RAV/NPV_neutral_equity_element_of_RAV,0)</f>
        <v>5.4475396000000002E-2</v>
      </c>
      <c r="G11" s="60">
        <f>IFERROR(Equity_Return_on_the_RAV/NPV_neutral_equity_element_of_RAV,0)</f>
        <v>5.6672044999999997E-2</v>
      </c>
      <c r="H11" s="60">
        <f>IFERROR(Equity_Return_on_the_RAV/NPV_neutral_equity_element_of_RAV,0)</f>
        <v>5.5271983000000004E-2</v>
      </c>
      <c r="I11" s="318"/>
      <c r="J11" s="61">
        <f>IFERROR(AVERAGE(D69:INDEX(D69:H69,0,MATCH('RFPR cover'!$C$9,$D$6:$H$6,0)))/AVERAGE($D$96:INDEX($D$96:$H$96,0,MATCH('RFPR cover'!$C$9,$D$6:$H$6,0))),0)</f>
        <v>5.4414228391932849E-2</v>
      </c>
      <c r="K11" s="61">
        <f t="shared" ref="K11:K19" si="2">IFERROR(AVERAGE(D69:H69)/AVERAGE($D$96:$H$96),0)</f>
        <v>5.5074338412759438E-2</v>
      </c>
    </row>
    <row r="12" spans="1:20">
      <c r="B12" s="158" t="str">
        <f t="shared" ref="B12:B18" si="3">B70</f>
        <v>Totex outperformance</v>
      </c>
      <c r="C12" s="157" t="s">
        <v>538</v>
      </c>
      <c r="D12" s="60">
        <f>IFERROR(Totex_outperformance/NPV_neutral_equity_element_of_RAV,0)</f>
        <v>-1.8610934145719656E-3</v>
      </c>
      <c r="E12" s="60">
        <f>IFERROR(Totex_outperformance/NPV_neutral_equity_element_of_RAV,0)</f>
        <v>-2.1821221855665433E-3</v>
      </c>
      <c r="F12" s="60">
        <f>IFERROR(Totex_outperformance/NPV_neutral_equity_element_of_RAV,0)</f>
        <v>-2.1982313538169707E-3</v>
      </c>
      <c r="G12" s="60">
        <f>IFERROR(Totex_outperformance/NPV_neutral_equity_element_of_RAV,0)</f>
        <v>-2.1267334118343735E-3</v>
      </c>
      <c r="H12" s="60">
        <f>IFERROR(Totex_outperformance/NPV_neutral_equity_element_of_RAV,0)</f>
        <v>-2.1338430979223207E-3</v>
      </c>
      <c r="I12" s="318"/>
      <c r="J12" s="61">
        <f>IFERROR(AVERAGE(D70:INDEX(D70:H70,0,MATCH('RFPR cover'!$C$9,$D$6:$H$6,0)))/AVERAGE($D$96:INDEX($D$96:$H$96,0,MATCH('RFPR cover'!$C$9,$D$6:$H$6,0))),0)</f>
        <v>-2.0849243487222387E-3</v>
      </c>
      <c r="K12" s="61">
        <f t="shared" si="2"/>
        <v>-2.1044121284728122E-3</v>
      </c>
      <c r="M12" s="318"/>
    </row>
    <row r="13" spans="1:20">
      <c r="A13" s="319" t="s">
        <v>539</v>
      </c>
      <c r="B13" s="158" t="str">
        <f t="shared" si="3"/>
        <v>Business Plan Incentive</v>
      </c>
      <c r="C13" s="157" t="s">
        <v>538</v>
      </c>
      <c r="D13" s="60">
        <f>IFERROR(Business_Plan_Incentive/NPV_neutral_equity_element_of_RAV,0)</f>
        <v>1.3514011713400542E-3</v>
      </c>
      <c r="E13" s="60">
        <f>IFERROR(Business_Plan_Incentive/NPV_neutral_equity_element_of_RAV,0)</f>
        <v>0</v>
      </c>
      <c r="F13" s="60">
        <f>IFERROR(Business_Plan_Incentive/NPV_neutral_equity_element_of_RAV,0)</f>
        <v>0</v>
      </c>
      <c r="G13" s="60">
        <f>IFERROR(Business_Plan_Incentive/NPV_neutral_equity_element_of_RAV,0)</f>
        <v>0</v>
      </c>
      <c r="H13" s="60">
        <f>IFERROR(Business_Plan_Incentive/NPV_neutral_equity_element_of_RAV,0)</f>
        <v>0</v>
      </c>
      <c r="I13" s="318"/>
      <c r="J13" s="61">
        <f>IFERROR(AVERAGE(D71:INDEX(D71:H71,0,MATCH('RFPR cover'!$C$9,$D$6:$H$6,0)))/AVERAGE($D$96:INDEX($D$96:$H$96,0,MATCH('RFPR cover'!$C$9,$D$6:$H$6,0))),0)</f>
        <v>4.3276322160111074E-4</v>
      </c>
      <c r="K13" s="61">
        <f t="shared" si="2"/>
        <v>2.4722863358262826E-4</v>
      </c>
    </row>
    <row r="14" spans="1:20">
      <c r="A14" s="319" t="s">
        <v>540</v>
      </c>
      <c r="B14" s="158" t="str">
        <f t="shared" si="3"/>
        <v>Time to connect ODI</v>
      </c>
      <c r="C14" s="157" t="s">
        <v>538</v>
      </c>
      <c r="D14" s="60">
        <f>IFERROR(ODI_1/NPV_neutral_equity_element_of_RAV,0)</f>
        <v>6.6894906376010891E-4</v>
      </c>
      <c r="E14" s="60">
        <f>IFERROR(ODI_1/NPV_neutral_equity_element_of_RAV,0)</f>
        <v>1.3498531405185745E-3</v>
      </c>
      <c r="F14" s="60">
        <f>IFERROR(ODI_1/NPV_neutral_equity_element_of_RAV,0)</f>
        <v>1.5511577840340582E-3</v>
      </c>
      <c r="G14" s="60">
        <f>IFERROR(ODI_1/NPV_neutral_equity_element_of_RAV,0)</f>
        <v>1.4523309680108205E-3</v>
      </c>
      <c r="H14" s="60">
        <f>IFERROR(ODI_1/NPV_neutral_equity_element_of_RAV,0)</f>
        <v>1.3792570570706497E-3</v>
      </c>
      <c r="I14" s="318"/>
      <c r="J14" s="61">
        <f>IFERROR(AVERAGE(D72:INDEX(D72:H72,0,MATCH('RFPR cover'!$C$9,$D$6:$H$6,0)))/AVERAGE($D$96:INDEX($D$96:$H$96,0,MATCH('RFPR cover'!$C$9,$D$6:$H$6,0))),0)</f>
        <v>1.2018613652113746E-3</v>
      </c>
      <c r="K14" s="61">
        <f t="shared" si="2"/>
        <v>1.2931744977775716E-3</v>
      </c>
    </row>
    <row r="15" spans="1:20">
      <c r="A15" s="319" t="s">
        <v>541</v>
      </c>
      <c r="B15" s="158" t="str">
        <f t="shared" si="3"/>
        <v>Broad Measure of Customer Service ODI</v>
      </c>
      <c r="C15" s="157" t="s">
        <v>538</v>
      </c>
      <c r="D15" s="60">
        <f>IFERROR(ODI_2/NPV_neutral_equity_element_of_RAV,0)</f>
        <v>8.7659095699628062E-4</v>
      </c>
      <c r="E15" s="60">
        <f>IFERROR(ODI_2/NPV_neutral_equity_element_of_RAV,0)</f>
        <v>1.5427087474901771E-4</v>
      </c>
      <c r="F15" s="60">
        <f>IFERROR(ODI_2/NPV_neutral_equity_element_of_RAV,0)</f>
        <v>1.2745259938422493E-3</v>
      </c>
      <c r="G15" s="60">
        <f>IFERROR(ODI_2/NPV_neutral_equity_element_of_RAV,0)</f>
        <v>2.1395555419783325E-3</v>
      </c>
      <c r="H15" s="60">
        <f>IFERROR(ODI_2/NPV_neutral_equity_element_of_RAV,0)</f>
        <v>2.5207373737444411E-3</v>
      </c>
      <c r="I15" s="318"/>
      <c r="J15" s="61">
        <f>IFERROR(AVERAGE(D73:INDEX(D73:H73,0,MATCH('RFPR cover'!$C$9,$D$6:$H$6,0)))/AVERAGE($D$96:INDEX($D$96:$H$96,0,MATCH('RFPR cover'!$C$9,$D$6:$H$6,0))),0)</f>
        <v>7.7544232633124403E-4</v>
      </c>
      <c r="K15" s="61">
        <f t="shared" si="2"/>
        <v>1.4440849737568841E-3</v>
      </c>
    </row>
    <row r="16" spans="1:20">
      <c r="A16" s="319" t="s">
        <v>542</v>
      </c>
      <c r="B16" s="158" t="str">
        <f t="shared" si="3"/>
        <v>Interruptions incentive scheme ODI</v>
      </c>
      <c r="C16" s="157" t="s">
        <v>538</v>
      </c>
      <c r="D16" s="60">
        <f>IFERROR(ODI_3/NPV_neutral_equity_element_of_RAV,0)</f>
        <v>-1.2067845176275854E-3</v>
      </c>
      <c r="E16" s="60">
        <f>IFERROR(ODI_3/NPV_neutral_equity_element_of_RAV,0)</f>
        <v>-1.1529893076064281E-3</v>
      </c>
      <c r="F16" s="60">
        <f>IFERROR(ODI_3/NPV_neutral_equity_element_of_RAV,0)</f>
        <v>-3.3036092552139371E-3</v>
      </c>
      <c r="G16" s="60">
        <f>IFERROR(ODI_3/NPV_neutral_equity_element_of_RAV,0)</f>
        <v>-1.7501578339173651E-3</v>
      </c>
      <c r="H16" s="60">
        <f>IFERROR(ODI_3/NPV_neutral_equity_element_of_RAV,0)</f>
        <v>-1.6620987891790401E-3</v>
      </c>
      <c r="I16" s="318"/>
      <c r="J16" s="61">
        <f>IFERROR(AVERAGE(D74:INDEX(D74:H74,0,MATCH('RFPR cover'!$C$9,$D$6:$H$6,0)))/AVERAGE($D$96:INDEX($D$96:$H$96,0,MATCH('RFPR cover'!$C$9,$D$6:$H$6,0))),0)</f>
        <v>-1.9186550083008195E-3</v>
      </c>
      <c r="K16" s="61">
        <f t="shared" si="2"/>
        <v>-1.827053259425906E-3</v>
      </c>
    </row>
    <row r="17" spans="1:11">
      <c r="A17" s="319" t="s">
        <v>543</v>
      </c>
      <c r="B17" s="158" t="str">
        <f t="shared" si="3"/>
        <v>Major connections ODI</v>
      </c>
      <c r="C17" s="157" t="s">
        <v>538</v>
      </c>
      <c r="D17" s="60">
        <f>IFERROR(ODI_4/NPV_neutral_equity_element_of_RAV,0)</f>
        <v>0</v>
      </c>
      <c r="E17" s="60">
        <f>IFERROR(ODI_4/NPV_neutral_equity_element_of_RAV,0)</f>
        <v>0</v>
      </c>
      <c r="F17" s="60">
        <f>IFERROR(ODI_4/NPV_neutral_equity_element_of_RAV,0)</f>
        <v>0</v>
      </c>
      <c r="G17" s="60">
        <f>IFERROR(ODI_4/NPV_neutral_equity_element_of_RAV,0)</f>
        <v>0</v>
      </c>
      <c r="H17" s="60">
        <f>IFERROR(ODI_4/NPV_neutral_equity_element_of_RAV,0)</f>
        <v>0</v>
      </c>
      <c r="I17" s="318"/>
      <c r="J17" s="61">
        <f>IFERROR(AVERAGE(D75:INDEX(D75:H75,0,MATCH('RFPR cover'!$C$9,$D$6:$H$6,0)))/AVERAGE($D$96:INDEX($D$96:$H$96,0,MATCH('RFPR cover'!$C$9,$D$6:$H$6,0))),0)</f>
        <v>0</v>
      </c>
      <c r="K17" s="61">
        <f t="shared" si="2"/>
        <v>0</v>
      </c>
    </row>
    <row r="18" spans="1:11">
      <c r="A18" s="319" t="s">
        <v>544</v>
      </c>
      <c r="B18" s="158" t="str">
        <f t="shared" si="3"/>
        <v>Consumer Vulnerability ODI</v>
      </c>
      <c r="C18" s="157" t="s">
        <v>538</v>
      </c>
      <c r="D18" s="60">
        <f>IFERROR(ODI_5/NPV_neutral_equity_element_of_RAV,0)</f>
        <v>0</v>
      </c>
      <c r="E18" s="60">
        <f>IFERROR(ODI_5/NPV_neutral_equity_element_of_RAV,0)</f>
        <v>6.0727565515047532E-4</v>
      </c>
      <c r="F18" s="60">
        <f>IFERROR(ODI_5/NPV_neutral_equity_element_of_RAV,0)</f>
        <v>0</v>
      </c>
      <c r="G18" s="60">
        <f>IFERROR(ODI_5/NPV_neutral_equity_element_of_RAV,0)</f>
        <v>0</v>
      </c>
      <c r="H18" s="60">
        <f>IFERROR(ODI_5/NPV_neutral_equity_element_of_RAV,0)</f>
        <v>1.5548144269395216E-3</v>
      </c>
      <c r="I18" s="318"/>
      <c r="J18" s="61">
        <f>IFERROR(AVERAGE(D76:INDEX(D76:H76,0,MATCH('RFPR cover'!$C$9,$D$6:$H$6,0)))/AVERAGE($D$96:INDEX($D$96:$H$96,0,MATCH('RFPR cover'!$C$9,$D$6:$H$6,0))),0)</f>
        <v>2.0146755274922837E-4</v>
      </c>
      <c r="K18" s="61">
        <f t="shared" si="2"/>
        <v>4.5698598370153833E-4</v>
      </c>
    </row>
    <row r="19" spans="1:11">
      <c r="A19" s="319" t="s">
        <v>545</v>
      </c>
      <c r="B19" s="158" t="str">
        <f>B77</f>
        <v>Distribution System Operator ODI</v>
      </c>
      <c r="C19" s="157" t="s">
        <v>538</v>
      </c>
      <c r="D19" s="60">
        <f>IFERROR(ODI_6/NPV_neutral_equity_element_of_RAV,0)</f>
        <v>1.8038267808756377E-3</v>
      </c>
      <c r="E19" s="60">
        <f>IFERROR(ODI_6/NPV_neutral_equity_element_of_RAV,0)</f>
        <v>4.3557654856877471E-3</v>
      </c>
      <c r="F19" s="60">
        <f>IFERROR(ODI_6/NPV_neutral_equity_element_of_RAV,0)</f>
        <v>4.1523233241439108E-3</v>
      </c>
      <c r="G19" s="60">
        <f>IFERROR(ODI_6/NPV_neutral_equity_element_of_RAV,0)</f>
        <v>3.7103777479934015E-3</v>
      </c>
      <c r="H19" s="60">
        <f>IFERROR(ODI_6/NPV_neutral_equity_element_of_RAV,0)</f>
        <v>3.5236904025582106E-3</v>
      </c>
      <c r="I19" s="318"/>
      <c r="J19" s="61">
        <f>IFERROR(AVERAGE(D77:INDEX(D77:H77,0,MATCH('RFPR cover'!$C$9,$D$6:$H$6,0)))/AVERAGE($D$96:INDEX($D$96:$H$96,0,MATCH('RFPR cover'!$C$9,$D$6:$H$6,0))),0)</f>
        <v>3.4677505104819444E-3</v>
      </c>
      <c r="K19" s="61">
        <f t="shared" si="2"/>
        <v>3.5307187358571486E-3</v>
      </c>
    </row>
    <row r="20" spans="1:11">
      <c r="A20" s="319" t="s">
        <v>546</v>
      </c>
      <c r="B20" s="158" t="str">
        <f t="shared" ref="B20:B21" si="4">B78</f>
        <v>Dig, Fix and Go ODI (ENWL only)</v>
      </c>
      <c r="C20" s="157" t="s">
        <v>538</v>
      </c>
      <c r="D20" s="60">
        <f>IFERROR(ODI_7/NPV_neutral_equity_element_of_RAV,0)</f>
        <v>0</v>
      </c>
      <c r="E20" s="60">
        <f>IFERROR(ODI_7/NPV_neutral_equity_element_of_RAV,0)</f>
        <v>0</v>
      </c>
      <c r="F20" s="60">
        <f>IFERROR(ODI_7/NPV_neutral_equity_element_of_RAV,0)</f>
        <v>0</v>
      </c>
      <c r="G20" s="60">
        <f>IFERROR(ODI_7/NPV_neutral_equity_element_of_RAV,0)</f>
        <v>0</v>
      </c>
      <c r="H20" s="60">
        <f>IFERROR(ODI_7/NPV_neutral_equity_element_of_RAV,0)</f>
        <v>0</v>
      </c>
      <c r="I20" s="318"/>
      <c r="J20" s="61">
        <f>IFERROR(AVERAGE(D78:INDEX(D78:H78,0,MATCH('RFPR cover'!$C$9,$D$6:$H$6,0)))/AVERAGE($D$96:INDEX($D$96:$H$96,0,MATCH('RFPR cover'!$C$9,$D$6:$H$6,0))),0)</f>
        <v>0</v>
      </c>
      <c r="K20" s="61">
        <f t="shared" ref="K20:K21" si="5">IFERROR(AVERAGE(D78:H78)/AVERAGE($D$96:$H$96),0)</f>
        <v>0</v>
      </c>
    </row>
    <row r="21" spans="1:11">
      <c r="A21" s="319" t="s">
        <v>547</v>
      </c>
      <c r="B21" s="158" t="str">
        <f t="shared" si="4"/>
        <v>Collaborative Streetworks ODI (EPN, LPN and SPN only)</v>
      </c>
      <c r="C21" s="157" t="s">
        <v>538</v>
      </c>
      <c r="D21" s="60">
        <f>IFERROR(ODI_8/NPV_neutral_equity_element_of_RAV,0)</f>
        <v>0</v>
      </c>
      <c r="E21" s="60">
        <f>IFERROR(ODI_8/NPV_neutral_equity_element_of_RAV,0)</f>
        <v>0</v>
      </c>
      <c r="F21" s="60">
        <f>IFERROR(ODI_8/NPV_neutral_equity_element_of_RAV,0)</f>
        <v>0</v>
      </c>
      <c r="G21" s="60">
        <f>IFERROR(ODI_8/NPV_neutral_equity_element_of_RAV,0)</f>
        <v>0</v>
      </c>
      <c r="H21" s="60">
        <f>IFERROR(ODI_8/NPV_neutral_equity_element_of_RAV,0)</f>
        <v>0</v>
      </c>
      <c r="I21" s="318"/>
      <c r="J21" s="61">
        <f>IFERROR(AVERAGE(D79:INDEX(D79:H79,0,MATCH('RFPR cover'!$C$9,$D$6:$H$6,0)))/AVERAGE($D$96:INDEX($D$96:$H$96,0,MATCH('RFPR cover'!$C$9,$D$6:$H$6,0))),0)</f>
        <v>0</v>
      </c>
      <c r="K21" s="61">
        <f t="shared" si="5"/>
        <v>0</v>
      </c>
    </row>
    <row r="22" spans="1:11">
      <c r="A22" s="319" t="s">
        <v>547</v>
      </c>
      <c r="B22" s="158" t="str">
        <f t="shared" ref="B22" si="6">B80</f>
        <v>Network innovation input for RORE</v>
      </c>
      <c r="C22" s="157" t="s">
        <v>538</v>
      </c>
      <c r="D22" s="60">
        <f>IFERROR(ORA_1/NPV_neutral_equity_element_of_RAV,0)</f>
        <v>-4.5116565394365501E-6</v>
      </c>
      <c r="E22" s="60">
        <f>IFERROR(ORA_1/NPV_neutral_equity_element_of_RAV,0)</f>
        <v>-2.1631420332581031E-5</v>
      </c>
      <c r="F22" s="60">
        <f>IFERROR(ORA_1/NPV_neutral_equity_element_of_RAV,0)</f>
        <v>-6.2605791569818767E-5</v>
      </c>
      <c r="G22" s="60">
        <f>IFERROR(ORA_1/NPV_neutral_equity_element_of_RAV,0)</f>
        <v>-1.9570916300806082E-4</v>
      </c>
      <c r="H22" s="60">
        <f>IFERROR(ORA_1/NPV_neutral_equity_element_of_RAV,0)</f>
        <v>-2.5458329111776326E-4</v>
      </c>
      <c r="I22" s="318"/>
      <c r="J22" s="61">
        <f>IFERROR(AVERAGE(D80:INDEX(D80:H80,0,MATCH('RFPR cover'!$C$9,$D$6:$H$6,0)))/AVERAGE($D$96:INDEX($D$96:$H$96,0,MATCH('RFPR cover'!$C$9,$D$6:$H$6,0))),0)</f>
        <v>-3.0408625996336115E-5</v>
      </c>
      <c r="K22" s="61">
        <f>IFERROR(AVERAGE(D80:H80)/AVERAGE($D$96:$H$96),0)</f>
        <v>-1.14222370834638E-4</v>
      </c>
    </row>
    <row r="23" spans="1:11">
      <c r="A23" s="319" t="s">
        <v>548</v>
      </c>
      <c r="B23" s="158" t="str">
        <f t="shared" ref="B23" si="7">B81</f>
        <v>Carry-over Network innovation input for RORE</v>
      </c>
      <c r="C23" s="157" t="s">
        <v>538</v>
      </c>
      <c r="D23" s="60">
        <f>IFERROR(ORA_2/NPV_neutral_equity_element_of_RAV,0)</f>
        <v>-5.6938634902787397E-5</v>
      </c>
      <c r="E23" s="60">
        <f>IFERROR(ORA_2/NPV_neutral_equity_element_of_RAV,0)</f>
        <v>0</v>
      </c>
      <c r="F23" s="60">
        <f>IFERROR(ORA_2/NPV_neutral_equity_element_of_RAV,0)</f>
        <v>0</v>
      </c>
      <c r="G23" s="60">
        <f>IFERROR(ORA_2/NPV_neutral_equity_element_of_RAV,0)</f>
        <v>0</v>
      </c>
      <c r="H23" s="60">
        <f>IFERROR(ORA_2/NPV_neutral_equity_element_of_RAV,0)</f>
        <v>0</v>
      </c>
      <c r="I23" s="318"/>
      <c r="J23" s="61">
        <f>IFERROR(AVERAGE(D81:INDEX(D81:H81,0,MATCH('RFPR cover'!$C$9,$D$6:$H$6,0)))/AVERAGE($D$96:INDEX($D$96:$H$96,0,MATCH('RFPR cover'!$C$9,$D$6:$H$6,0))),0)</f>
        <v>-1.823362861944664E-5</v>
      </c>
      <c r="K23" s="61">
        <f>IFERROR(AVERAGE(D81:H81)/AVERAGE($D$96:$H$96),0)</f>
        <v>-1.0416493047077656E-5</v>
      </c>
    </row>
    <row r="24" spans="1:11">
      <c r="A24" s="319" t="s">
        <v>549</v>
      </c>
      <c r="B24" s="158" t="str">
        <f t="shared" ref="B24:B29" si="8">B82</f>
        <v>Strategic innovation input for RORE</v>
      </c>
      <c r="C24" s="157" t="s">
        <v>538</v>
      </c>
      <c r="D24" s="60">
        <f>IFERROR(ORA_3/NPV_neutral_equity_element_of_RAV,0)</f>
        <v>0</v>
      </c>
      <c r="E24" s="60">
        <f>IFERROR(ORA_3/NPV_neutral_equity_element_of_RAV,0)</f>
        <v>0</v>
      </c>
      <c r="F24" s="60">
        <f>IFERROR(ORA_3/NPV_neutral_equity_element_of_RAV,0)</f>
        <v>0</v>
      </c>
      <c r="G24" s="60">
        <f>IFERROR(ORA_3/NPV_neutral_equity_element_of_RAV,0)</f>
        <v>0</v>
      </c>
      <c r="H24" s="60">
        <f>IFERROR(ORA_3/NPV_neutral_equity_element_of_RAV,0)</f>
        <v>0</v>
      </c>
      <c r="I24" s="318"/>
      <c r="J24" s="61">
        <f>IFERROR(AVERAGE(D82:INDEX(D82:H82,0,MATCH('RFPR cover'!$C$9,$D$6:$H$6,0)))/AVERAGE($D$96:INDEX($D$96:$H$96,0,MATCH('RFPR cover'!$C$9,$D$6:$H$6,0))),0)</f>
        <v>0</v>
      </c>
      <c r="K24" s="61">
        <f>IFERROR(AVERAGE(D82:H82)/AVERAGE($D$96:$H$96),0)</f>
        <v>0</v>
      </c>
    </row>
    <row r="25" spans="1:11">
      <c r="A25" s="319" t="s">
        <v>550</v>
      </c>
      <c r="B25" s="158" t="str">
        <f t="shared" si="8"/>
        <v/>
      </c>
      <c r="C25" s="157" t="s">
        <v>538</v>
      </c>
      <c r="D25" s="60">
        <f>IFERROR(ORA_4/NPV_neutral_equity_element_of_RAV,0)</f>
        <v>0</v>
      </c>
      <c r="E25" s="60">
        <f>IFERROR(ORA_4/NPV_neutral_equity_element_of_RAV,0)</f>
        <v>0</v>
      </c>
      <c r="F25" s="60">
        <f>IFERROR(ORA_4/NPV_neutral_equity_element_of_RAV,0)</f>
        <v>0</v>
      </c>
      <c r="G25" s="60">
        <f>IFERROR(ORA_4/NPV_neutral_equity_element_of_RAV,0)</f>
        <v>0</v>
      </c>
      <c r="H25" s="60">
        <f>IFERROR(ORA_4/NPV_neutral_equity_element_of_RAV,0)</f>
        <v>0</v>
      </c>
      <c r="I25" s="318"/>
      <c r="J25" s="61">
        <f>IFERROR(AVERAGE(D83:INDEX(D83:H83,0,MATCH('RFPR cover'!$C$9,$D$6:$H$6,0)))/AVERAGE($D$96:INDEX($D$96:$H$96,0,MATCH('RFPR cover'!$C$9,$D$6:$H$6,0))),0)</f>
        <v>0</v>
      </c>
      <c r="K25" s="61">
        <f t="shared" ref="K25:K30" si="9">IFERROR(AVERAGE(D83:H83)/AVERAGE($D$96:$H$96),0)</f>
        <v>0</v>
      </c>
    </row>
    <row r="26" spans="1:11">
      <c r="A26" s="319" t="s">
        <v>551</v>
      </c>
      <c r="B26" s="158" t="str">
        <f t="shared" si="8"/>
        <v/>
      </c>
      <c r="C26" s="157" t="s">
        <v>538</v>
      </c>
      <c r="D26" s="60">
        <f>IFERROR(ORA_5/NPV_neutral_equity_element_of_RAV,0)</f>
        <v>0</v>
      </c>
      <c r="E26" s="60">
        <f>IFERROR(ORA_5/NPV_neutral_equity_element_of_RAV,0)</f>
        <v>0</v>
      </c>
      <c r="F26" s="60">
        <f>IFERROR(ORA_5/NPV_neutral_equity_element_of_RAV,0)</f>
        <v>0</v>
      </c>
      <c r="G26" s="60">
        <f>IFERROR(ORA_5/NPV_neutral_equity_element_of_RAV,0)</f>
        <v>0</v>
      </c>
      <c r="H26" s="60">
        <f>IFERROR(ORA_5/NPV_neutral_equity_element_of_RAV,0)</f>
        <v>0</v>
      </c>
      <c r="I26" s="318"/>
      <c r="J26" s="61">
        <f>IFERROR(AVERAGE(D84:INDEX(D84:H84,0,MATCH('RFPR cover'!$C$9,$D$6:$H$6,0)))/AVERAGE($D$96:INDEX($D$96:$H$96,0,MATCH('RFPR cover'!$C$9,$D$6:$H$6,0))),0)</f>
        <v>0</v>
      </c>
      <c r="K26" s="61">
        <f t="shared" si="9"/>
        <v>0</v>
      </c>
    </row>
    <row r="27" spans="1:11">
      <c r="A27" s="319" t="s">
        <v>552</v>
      </c>
      <c r="B27" s="158" t="str">
        <f t="shared" si="8"/>
        <v/>
      </c>
      <c r="C27" s="157" t="s">
        <v>538</v>
      </c>
      <c r="D27" s="60">
        <f>IFERROR(ORA_6/NPV_neutral_equity_element_of_RAV,0)</f>
        <v>0</v>
      </c>
      <c r="E27" s="60">
        <f>IFERROR(ORA_6/NPV_neutral_equity_element_of_RAV,0)</f>
        <v>0</v>
      </c>
      <c r="F27" s="60">
        <f>IFERROR(ORA_6/NPV_neutral_equity_element_of_RAV,0)</f>
        <v>0</v>
      </c>
      <c r="G27" s="60">
        <f>IFERROR(ORA_6/NPV_neutral_equity_element_of_RAV,0)</f>
        <v>0</v>
      </c>
      <c r="H27" s="60">
        <f>IFERROR(ORA_6/NPV_neutral_equity_element_of_RAV,0)</f>
        <v>0</v>
      </c>
      <c r="I27" s="318"/>
      <c r="J27" s="61">
        <f>IFERROR(AVERAGE(D85:INDEX(D85:H85,0,MATCH('RFPR cover'!$C$9,$D$6:$H$6,0)))/AVERAGE($D$96:INDEX($D$96:$H$96,0,MATCH('RFPR cover'!$C$9,$D$6:$H$6,0))),0)</f>
        <v>0</v>
      </c>
      <c r="K27" s="61">
        <f t="shared" si="9"/>
        <v>0</v>
      </c>
    </row>
    <row r="28" spans="1:11">
      <c r="A28" s="319" t="s">
        <v>553</v>
      </c>
      <c r="B28" s="158" t="str">
        <f t="shared" si="8"/>
        <v/>
      </c>
      <c r="C28" s="157" t="s">
        <v>538</v>
      </c>
      <c r="D28" s="60">
        <f>IFERROR(ORA_7/NPV_neutral_equity_element_of_RAV,0)</f>
        <v>0</v>
      </c>
      <c r="E28" s="60">
        <f>IFERROR(ORA_7/NPV_neutral_equity_element_of_RAV,0)</f>
        <v>0</v>
      </c>
      <c r="F28" s="60">
        <f>IFERROR(ORA_7/NPV_neutral_equity_element_of_RAV,0)</f>
        <v>0</v>
      </c>
      <c r="G28" s="60">
        <f>IFERROR(ORA_7/NPV_neutral_equity_element_of_RAV,0)</f>
        <v>0</v>
      </c>
      <c r="H28" s="60">
        <f>IFERROR(ORA_7/NPV_neutral_equity_element_of_RAV,0)</f>
        <v>0</v>
      </c>
      <c r="I28" s="318"/>
      <c r="J28" s="61">
        <f>IFERROR(AVERAGE(D86:INDEX(D86:H86,0,MATCH('RFPR cover'!$C$9,$D$6:$H$6,0)))/AVERAGE($D$96:INDEX($D$96:$H$96,0,MATCH('RFPR cover'!$C$9,$D$6:$H$6,0))),0)</f>
        <v>0</v>
      </c>
      <c r="K28" s="61">
        <f t="shared" si="9"/>
        <v>0</v>
      </c>
    </row>
    <row r="29" spans="1:11">
      <c r="A29" s="319" t="s">
        <v>554</v>
      </c>
      <c r="B29" s="158" t="str">
        <f t="shared" si="8"/>
        <v/>
      </c>
      <c r="C29" s="157" t="s">
        <v>538</v>
      </c>
      <c r="D29" s="60">
        <f>IFERROR(ORA_8/NPV_neutral_equity_element_of_RAV,0)</f>
        <v>0</v>
      </c>
      <c r="E29" s="60">
        <f>IFERROR(ORA_8/NPV_neutral_equity_element_of_RAV,0)</f>
        <v>0</v>
      </c>
      <c r="F29" s="60">
        <f>IFERROR(ORA_8/NPV_neutral_equity_element_of_RAV,0)</f>
        <v>0</v>
      </c>
      <c r="G29" s="60">
        <f>IFERROR(ORA_8/NPV_neutral_equity_element_of_RAV,0)</f>
        <v>0</v>
      </c>
      <c r="H29" s="60">
        <f>IFERROR(ORA_8/NPV_neutral_equity_element_of_RAV,0)</f>
        <v>0</v>
      </c>
      <c r="I29" s="318"/>
      <c r="J29" s="61">
        <f>IFERROR(AVERAGE(D87:INDEX(D87:H87,0,MATCH('RFPR cover'!$C$9,$D$6:$H$6,0)))/AVERAGE($D$96:INDEX($D$96:$H$96,0,MATCH('RFPR cover'!$C$9,$D$6:$H$6,0))),0)</f>
        <v>0</v>
      </c>
      <c r="K29" s="61">
        <f t="shared" si="9"/>
        <v>0</v>
      </c>
    </row>
    <row r="30" spans="1:11" ht="13.5" thickBot="1">
      <c r="B30" s="158" t="str">
        <f t="shared" ref="B30:B32" si="10">B88</f>
        <v>Penalties and fines (Other Activities)</v>
      </c>
      <c r="C30" s="157" t="s">
        <v>538</v>
      </c>
      <c r="D30" s="320">
        <f>IFERROR(Penalties_and_fines/NPV_neutral_equity_element_of_RAV,0)</f>
        <v>-3.4755049104642582E-6</v>
      </c>
      <c r="E30" s="320">
        <f>IFERROR(Penalties_and_fines/NPV_neutral_equity_element_of_RAV,0)</f>
        <v>-6.1657801745613316E-3</v>
      </c>
      <c r="F30" s="320">
        <f>IFERROR(Penalties_and_fines/NPV_neutral_equity_element_of_RAV,0)</f>
        <v>-8.6809619305960439E-5</v>
      </c>
      <c r="G30" s="320">
        <f>IFERROR(Penalties_and_fines/NPV_neutral_equity_element_of_RAV,0)</f>
        <v>0</v>
      </c>
      <c r="H30" s="320">
        <f>IFERROR(Penalties_and_fines/NPV_neutral_equity_element_of_RAV,0)</f>
        <v>0</v>
      </c>
      <c r="I30" s="318"/>
      <c r="J30" s="61">
        <f>IFERROR(AVERAGE(D88:INDEX(D88:H88,0,MATCH('RFPR cover'!$C$9,$D$6:$H$6,0)))/AVERAGE($D$96:INDEX($D$96:$H$96,0,MATCH('RFPR cover'!$C$9,$D$6:$H$6,0))),0)</f>
        <v>-2.0768603503567612E-3</v>
      </c>
      <c r="K30" s="61">
        <f t="shared" si="9"/>
        <v>-1.1864671509306528E-3</v>
      </c>
    </row>
    <row r="31" spans="1:11" ht="13.5" thickBot="1">
      <c r="B31" s="159" t="str">
        <f t="shared" si="10"/>
        <v>RoRE - Operational performance</v>
      </c>
      <c r="C31" s="58" t="s">
        <v>538</v>
      </c>
      <c r="D31" s="146">
        <f>SUM(D11:D30)</f>
        <v>5.4401908244419837E-2</v>
      </c>
      <c r="E31" s="147">
        <f t="shared" ref="E31:H31" si="11">SUM(E11:E30)</f>
        <v>5.2820100068038923E-2</v>
      </c>
      <c r="F31" s="147">
        <f t="shared" si="11"/>
        <v>5.5802147082113535E-2</v>
      </c>
      <c r="G31" s="147">
        <f t="shared" si="11"/>
        <v>5.9901708849222753E-2</v>
      </c>
      <c r="H31" s="148">
        <f t="shared" si="11"/>
        <v>6.0199957082093698E-2</v>
      </c>
      <c r="I31" s="321"/>
      <c r="J31" s="150">
        <f>SUM(J11:J30)</f>
        <v>5.4364431406312141E-2</v>
      </c>
      <c r="K31" s="148">
        <f>SUM(K11:K30)</f>
        <v>5.6803959834724117E-2</v>
      </c>
    </row>
    <row r="32" spans="1:11">
      <c r="B32" s="158" t="str">
        <f t="shared" si="10"/>
        <v>Debt performance - at notional gearing</v>
      </c>
      <c r="C32" s="157" t="s">
        <v>538</v>
      </c>
      <c r="D32" s="322">
        <f>IFERROR(Debt_performance___at_notional_gearing/NPV_neutral_equity_element_of_RAV,0)</f>
        <v>9.7353234797186231E-2</v>
      </c>
      <c r="E32" s="322">
        <f>IFERROR(Debt_performance___at_notional_gearing/NPV_neutral_equity_element_of_RAV,0)</f>
        <v>3.8397807013798059E-2</v>
      </c>
      <c r="F32" s="322">
        <f>IFERROR(Debt_performance___at_notional_gearing/NPV_neutral_equity_element_of_RAV,0)</f>
        <v>4.1278851442197742E-2</v>
      </c>
      <c r="G32" s="322">
        <f>IFERROR(Debt_performance___at_notional_gearing/NPV_neutral_equity_element_of_RAV,0)</f>
        <v>3.6293116152751527E-2</v>
      </c>
      <c r="H32" s="322">
        <f>IFERROR(Debt_performance___at_notional_gearing/NPV_neutral_equity_element_of_RAV,0)</f>
        <v>1.5095100675749307E-2</v>
      </c>
      <c r="I32" s="318"/>
      <c r="J32" s="149">
        <f>IFERROR(AVERAGE(D90:INDEX(D90:H90,0,MATCH('RFPR cover'!$C$9,$D$6:$H$6,0)))/AVERAGE($D$96:INDEX($D$96:$H$96,0,MATCH('RFPR cover'!$C$9,$D$6:$H$6,0))),0)</f>
        <v>5.827991344069168E-2</v>
      </c>
      <c r="K32" s="149">
        <f>IFERROR(AVERAGE(D90:H90)/AVERAGE($D$96:$H$96),0)</f>
        <v>4.4192435556035019E-2</v>
      </c>
    </row>
    <row r="33" spans="1:13" ht="13.5" thickBot="1">
      <c r="B33" s="158" t="str">
        <f>B92</f>
        <v>Tax performance - at notional gearing</v>
      </c>
      <c r="C33" s="157" t="s">
        <v>538</v>
      </c>
      <c r="D33" s="320">
        <f>IFERROR(Tax_performance___at_notional_gearing/NPV_neutral_equity_element_of_RAV,0)</f>
        <v>2.9938805695168793E-4</v>
      </c>
      <c r="E33" s="320">
        <f>IFERROR(Tax_performance___at_notional_gearing/NPV_neutral_equity_element_of_RAV,0)</f>
        <v>-1.5153113784026385E-2</v>
      </c>
      <c r="F33" s="320">
        <f>IFERROR(Tax_performance___at_notional_gearing/NPV_neutral_equity_element_of_RAV,0)</f>
        <v>8.5660543084685567E-4</v>
      </c>
      <c r="G33" s="320">
        <f>IFERROR(Tax_performance___at_notional_gearing/NPV_neutral_equity_element_of_RAV,0)</f>
        <v>3.5165279957564543E-5</v>
      </c>
      <c r="H33" s="320">
        <f>IFERROR(Tax_performance___at_notional_gearing/NPV_neutral_equity_element_of_RAV,0)</f>
        <v>-1.3502412228775052E-3</v>
      </c>
      <c r="I33" s="318"/>
      <c r="J33" s="33">
        <f>IFERROR(AVERAGE(D92:INDEX(D92:H92,0,MATCH('RFPR cover'!$C$9,$D$6:$H$6,0)))/AVERAGE($D$96:INDEX($D$96:$H$96,0,MATCH('RFPR cover'!$C$9,$D$6:$H$6,0))),0)</f>
        <v>-4.6331599054778806E-3</v>
      </c>
      <c r="K33" s="33">
        <f>IFERROR(AVERAGE(D92:H92)/AVERAGE($D$96:$H$96),0)</f>
        <v>-2.9363921241411599E-3</v>
      </c>
    </row>
    <row r="34" spans="1:13" ht="13.5" thickBot="1">
      <c r="B34" s="159" t="str">
        <f>B94</f>
        <v>RoRE - including financing and tax</v>
      </c>
      <c r="C34" s="58" t="s">
        <v>538</v>
      </c>
      <c r="D34" s="146">
        <f>SUM(D31:D33)</f>
        <v>0.15205453109855774</v>
      </c>
      <c r="E34" s="147">
        <f t="shared" ref="E34:H34" si="12">SUM(E31:E33)</f>
        <v>7.6064793297810601E-2</v>
      </c>
      <c r="F34" s="147">
        <f t="shared" si="12"/>
        <v>9.7937603955158131E-2</v>
      </c>
      <c r="G34" s="147">
        <f t="shared" si="12"/>
        <v>9.622999028193184E-2</v>
      </c>
      <c r="H34" s="148">
        <f t="shared" si="12"/>
        <v>7.3944816534965499E-2</v>
      </c>
      <c r="I34" s="321"/>
      <c r="J34" s="150">
        <f>SUM(J31:J33)</f>
        <v>0.10801118494152594</v>
      </c>
      <c r="K34" s="148">
        <f>SUM(K31:K33)</f>
        <v>9.8060003266617971E-2</v>
      </c>
    </row>
    <row r="38" spans="1:13">
      <c r="B38" s="315" t="s">
        <v>555</v>
      </c>
      <c r="C38" s="38"/>
      <c r="D38" s="38"/>
      <c r="E38" s="38"/>
      <c r="F38" s="38"/>
      <c r="G38" s="38"/>
      <c r="H38" s="38"/>
      <c r="I38" s="316"/>
      <c r="J38" s="38"/>
      <c r="K38" s="38"/>
      <c r="L38" s="38"/>
    </row>
    <row r="39" spans="1:13">
      <c r="B39" s="317"/>
      <c r="I39" s="10"/>
    </row>
    <row r="40" spans="1:13">
      <c r="B40" s="158" t="s">
        <v>537</v>
      </c>
      <c r="C40" s="157" t="s">
        <v>538</v>
      </c>
      <c r="D40" s="60">
        <f>IFERROR(Equity_Return_on_the_RAV/Equity_RAV_based_on_actual_gearing,0)</f>
        <v>4.5744539007397673E-2</v>
      </c>
      <c r="E40" s="60">
        <f>IFERROR(Equity_Return_on_the_RAV/Equity_RAV_based_on_actual_gearing,0)</f>
        <v>4.9338472468166091E-2</v>
      </c>
      <c r="F40" s="60">
        <f>IFERROR(Equity_Return_on_the_RAV/Equity_RAV_based_on_actual_gearing,0)</f>
        <v>4.8636733589134194E-2</v>
      </c>
      <c r="G40" s="60">
        <f>IFERROR(Equity_Return_on_the_RAV/Equity_RAV_based_on_actual_gearing,0)</f>
        <v>5.5991746608217575E-2</v>
      </c>
      <c r="H40" s="60">
        <f>IFERROR(Equity_Return_on_the_RAV/Equity_RAV_based_on_actual_gearing,0)</f>
        <v>5.6913979202224969E-2</v>
      </c>
      <c r="I40" s="318"/>
      <c r="J40" s="30">
        <f>IFERROR(AVERAGE(D69:INDEX(D69:H69,0,MATCH('RFPR cover'!$C$9,$D$6:$H$6,0)))/AVERAGE($D$97:INDEX($D$97:$H$97,0,MATCH('RFPR cover'!$C$9,$D$6:$H$6,0))),0)</f>
        <v>4.7926773387334698E-2</v>
      </c>
      <c r="K40" s="61">
        <f t="shared" ref="K40:K48" si="13">IFERROR(AVERAGE(D69:H69)/AVERAGE($D$97:$H$97),0)</f>
        <v>5.1302446560677804E-2</v>
      </c>
      <c r="M40" s="323"/>
    </row>
    <row r="41" spans="1:13">
      <c r="B41" s="158" t="str">
        <f t="shared" ref="B41:B50" si="14">B70</f>
        <v>Totex outperformance</v>
      </c>
      <c r="C41" s="157" t="s">
        <v>538</v>
      </c>
      <c r="D41" s="60">
        <f>IFERROR(Totex_outperformance/Equity_RAV_based_on_actual_gearing,0)</f>
        <v>-1.61136674368467E-3</v>
      </c>
      <c r="E41" s="60">
        <f>IFERROR(Totex_outperformance/Equity_RAV_based_on_actual_gearing,0)</f>
        <v>-1.9268311925917335E-3</v>
      </c>
      <c r="F41" s="60">
        <f>IFERROR(Totex_outperformance/Equity_RAV_based_on_actual_gearing,0)</f>
        <v>-1.9626253423266123E-3</v>
      </c>
      <c r="G41" s="60">
        <f>IFERROR(Totex_outperformance/Equity_RAV_based_on_actual_gearing,0)</f>
        <v>-2.1012038351300058E-3</v>
      </c>
      <c r="H41" s="60">
        <f>IFERROR(Totex_outperformance/Equity_RAV_based_on_actual_gearing,0)</f>
        <v>-2.1972343871932776E-3</v>
      </c>
      <c r="I41" s="318"/>
      <c r="J41" s="30">
        <f>IFERROR(AVERAGE(D70:INDEX(D70:H70,0,MATCH('RFPR cover'!$C$9,$D$6:$H$6,0)))/AVERAGE($D$97:INDEX($D$97:$H$97,0,MATCH('RFPR cover'!$C$9,$D$6:$H$6,0))),0)</f>
        <v>-1.8363523612100188E-3</v>
      </c>
      <c r="K41" s="61">
        <f t="shared" si="13"/>
        <v>-1.9602866575262668E-3</v>
      </c>
    </row>
    <row r="42" spans="1:13">
      <c r="A42" s="319" t="s">
        <v>539</v>
      </c>
      <c r="B42" s="158" t="str">
        <f t="shared" si="14"/>
        <v>Business Plan Incentive</v>
      </c>
      <c r="C42" s="157" t="s">
        <v>538</v>
      </c>
      <c r="D42" s="60">
        <f>IFERROR(Business_Plan_Incentive/Equity_RAV_based_on_actual_gearing,0)</f>
        <v>1.1700664178507668E-3</v>
      </c>
      <c r="E42" s="60">
        <f>IFERROR(Business_Plan_Incentive/Equity_RAV_based_on_actual_gearing,0)</f>
        <v>0</v>
      </c>
      <c r="F42" s="60">
        <f>IFERROR(Business_Plan_Incentive/Equity_RAV_based_on_actual_gearing,0)</f>
        <v>0</v>
      </c>
      <c r="G42" s="60">
        <f>IFERROR(Business_Plan_Incentive/Equity_RAV_based_on_actual_gearing,0)</f>
        <v>0</v>
      </c>
      <c r="H42" s="60">
        <f>IFERROR(Business_Plan_Incentive/Equity_RAV_based_on_actual_gearing,0)</f>
        <v>0</v>
      </c>
      <c r="I42" s="318"/>
      <c r="J42" s="30">
        <f>IFERROR(AVERAGE(D71:INDEX(D71:H71,0,MATCH('RFPR cover'!$C$9,$D$6:$H$6,0)))/AVERAGE($D$97:INDEX($D$97:$H$97,0,MATCH('RFPR cover'!$C$9,$D$6:$H$6,0))),0)</f>
        <v>3.8116767369477723E-4</v>
      </c>
      <c r="K42" s="61">
        <f t="shared" si="13"/>
        <v>2.3029661595905297E-4</v>
      </c>
    </row>
    <row r="43" spans="1:13">
      <c r="A43" s="319" t="s">
        <v>540</v>
      </c>
      <c r="B43" s="158" t="str">
        <f t="shared" si="14"/>
        <v>Time to connect ODI</v>
      </c>
      <c r="C43" s="157" t="s">
        <v>538</v>
      </c>
      <c r="D43" s="60">
        <f>IFERROR(ODI_1/Equity_RAV_based_on_actual_gearing,0)</f>
        <v>5.7918762493173808E-4</v>
      </c>
      <c r="E43" s="60">
        <f>IFERROR(ODI_1/Equity_RAV_based_on_actual_gearing,0)</f>
        <v>1.1919310264900777E-3</v>
      </c>
      <c r="F43" s="60">
        <f>IFERROR(ODI_1/Equity_RAV_based_on_actual_gearing,0)</f>
        <v>1.3849049926461525E-3</v>
      </c>
      <c r="G43" s="60">
        <f>IFERROR(ODI_1/Equity_RAV_based_on_actual_gearing,0)</f>
        <v>1.4348970034896256E-3</v>
      </c>
      <c r="H43" s="60">
        <f>IFERROR(ODI_1/Equity_RAV_based_on_actual_gearing,0)</f>
        <v>1.4202314301015938E-3</v>
      </c>
      <c r="I43" s="318"/>
      <c r="J43" s="30">
        <f>IFERROR(AVERAGE(D72:INDEX(D72:H72,0,MATCH('RFPR cover'!$C$9,$D$6:$H$6,0)))/AVERAGE($D$97:INDEX($D$97:$H$97,0,MATCH('RFPR cover'!$C$9,$D$6:$H$6,0))),0)</f>
        <v>1.0585712413045613E-3</v>
      </c>
      <c r="K43" s="61">
        <f t="shared" si="13"/>
        <v>1.2046084887784162E-3</v>
      </c>
    </row>
    <row r="44" spans="1:13">
      <c r="A44" s="319" t="s">
        <v>541</v>
      </c>
      <c r="B44" s="158" t="str">
        <f t="shared" si="14"/>
        <v>Broad Measure of Customer Service ODI</v>
      </c>
      <c r="C44" s="157" t="s">
        <v>538</v>
      </c>
      <c r="D44" s="60">
        <f>IFERROR(ODI_2/Equity_RAV_based_on_actual_gearing,0)</f>
        <v>7.5896755362136917E-4</v>
      </c>
      <c r="E44" s="60">
        <f>IFERROR(ODI_2/Equity_RAV_based_on_actual_gearing,0)</f>
        <v>1.362224056659063E-4</v>
      </c>
      <c r="F44" s="60">
        <f>IFERROR(ODI_2/Equity_RAV_based_on_actual_gearing,0)</f>
        <v>1.1379225442423946E-3</v>
      </c>
      <c r="G44" s="60">
        <f>IFERROR(ODI_2/Equity_RAV_based_on_actual_gearing,0)</f>
        <v>2.1138720468029419E-3</v>
      </c>
      <c r="H44" s="60">
        <f>IFERROR(ODI_2/Equity_RAV_based_on_actual_gearing,0)</f>
        <v>2.5956223510844958E-3</v>
      </c>
      <c r="I44" s="318"/>
      <c r="J44" s="30">
        <f>IFERROR(AVERAGE(D73:INDEX(D73:H73,0,MATCH('RFPR cover'!$C$9,$D$6:$H$6,0)))/AVERAGE($D$97:INDEX($D$97:$H$97,0,MATCH('RFPR cover'!$C$9,$D$6:$H$6,0))),0)</f>
        <v>6.8299137463345835E-4</v>
      </c>
      <c r="K44" s="61">
        <f t="shared" si="13"/>
        <v>1.345183516141459E-3</v>
      </c>
    </row>
    <row r="45" spans="1:13">
      <c r="A45" s="319" t="s">
        <v>542</v>
      </c>
      <c r="B45" s="158" t="str">
        <f t="shared" si="14"/>
        <v>Interruptions incentive scheme ODI</v>
      </c>
      <c r="C45" s="157" t="s">
        <v>538</v>
      </c>
      <c r="D45" s="60">
        <f>IFERROR(ODI_3/Equity_RAV_based_on_actual_gearing,0)</f>
        <v>-1.0448548274219064E-3</v>
      </c>
      <c r="E45" s="60">
        <f>IFERROR(ODI_3/Equity_RAV_based_on_actual_gearing,0)</f>
        <v>-1.0180987010331016E-3</v>
      </c>
      <c r="F45" s="60">
        <f>IFERROR(ODI_3/Equity_RAV_based_on_actual_gearing,0)</f>
        <v>-2.9495290539684796E-3</v>
      </c>
      <c r="G45" s="60">
        <f>IFERROR(ODI_3/Equity_RAV_based_on_actual_gearing,0)</f>
        <v>-1.7291487180511669E-3</v>
      </c>
      <c r="H45" s="60">
        <f>IFERROR(ODI_3/Equity_RAV_based_on_actual_gearing,0)</f>
        <v>-1.7114757022446468E-3</v>
      </c>
      <c r="I45" s="318"/>
      <c r="J45" s="30">
        <f>IFERROR(AVERAGE(D74:INDEX(D74:H74,0,MATCH('RFPR cover'!$C$9,$D$6:$H$6,0)))/AVERAGE($D$97:INDEX($D$97:$H$97,0,MATCH('RFPR cover'!$C$9,$D$6:$H$6,0))),0)</f>
        <v>-1.6899062342477483E-3</v>
      </c>
      <c r="K45" s="61">
        <f t="shared" si="13"/>
        <v>-1.7019233440940284E-3</v>
      </c>
    </row>
    <row r="46" spans="1:13">
      <c r="A46" s="319" t="s">
        <v>543</v>
      </c>
      <c r="B46" s="158" t="str">
        <f t="shared" si="14"/>
        <v>Major connections ODI</v>
      </c>
      <c r="C46" s="157" t="s">
        <v>538</v>
      </c>
      <c r="D46" s="60">
        <f>IFERROR(ODI_4/Equity_RAV_based_on_actual_gearing,0)</f>
        <v>0</v>
      </c>
      <c r="E46" s="60">
        <f>IFERROR(ODI_4/Equity_RAV_based_on_actual_gearing,0)</f>
        <v>0</v>
      </c>
      <c r="F46" s="60">
        <f>IFERROR(ODI_4/Equity_RAV_based_on_actual_gearing,0)</f>
        <v>0</v>
      </c>
      <c r="G46" s="60">
        <f>IFERROR(ODI_4/Equity_RAV_based_on_actual_gearing,0)</f>
        <v>0</v>
      </c>
      <c r="H46" s="60">
        <f>IFERROR(ODI_4/Equity_RAV_based_on_actual_gearing,0)</f>
        <v>0</v>
      </c>
      <c r="I46" s="318"/>
      <c r="J46" s="30">
        <f>IFERROR(AVERAGE(D75:INDEX(D75:H75,0,MATCH('RFPR cover'!$C$9,$D$6:$H$6,0)))/AVERAGE($D$97:INDEX($D$97:$H$97,0,MATCH('RFPR cover'!$C$9,$D$6:$H$6,0))),0)</f>
        <v>0</v>
      </c>
      <c r="K46" s="61">
        <f t="shared" si="13"/>
        <v>0</v>
      </c>
    </row>
    <row r="47" spans="1:13">
      <c r="A47" s="319" t="s">
        <v>544</v>
      </c>
      <c r="B47" s="158" t="str">
        <f t="shared" si="14"/>
        <v>Consumer Vulnerability ODI</v>
      </c>
      <c r="C47" s="157" t="s">
        <v>538</v>
      </c>
      <c r="D47" s="60">
        <f>IFERROR(ODI_5/Equity_RAV_based_on_actual_gearing,0)</f>
        <v>0</v>
      </c>
      <c r="E47" s="60">
        <f>IFERROR(ODI_5/Equity_RAV_based_on_actual_gearing,0)</f>
        <v>5.3622921877847065E-4</v>
      </c>
      <c r="F47" s="60">
        <f>IFERROR(ODI_5/Equity_RAV_based_on_actual_gearing,0)</f>
        <v>0</v>
      </c>
      <c r="G47" s="60">
        <f>IFERROR(ODI_5/Equity_RAV_based_on_actual_gearing,0)</f>
        <v>0</v>
      </c>
      <c r="H47" s="60">
        <f>IFERROR(ODI_5/Equity_RAV_based_on_actual_gearing,0)</f>
        <v>1.6010041825015625E-3</v>
      </c>
      <c r="I47" s="318"/>
      <c r="J47" s="30">
        <f>IFERROR(AVERAGE(D76:INDEX(D76:H76,0,MATCH('RFPR cover'!$C$9,$D$6:$H$6,0)))/AVERAGE($D$97:INDEX($D$97:$H$97,0,MATCH('RFPR cover'!$C$9,$D$6:$H$6,0))),0)</f>
        <v>1.7744788506354465E-4</v>
      </c>
      <c r="K47" s="61">
        <f t="shared" si="13"/>
        <v>4.2568825488415504E-4</v>
      </c>
    </row>
    <row r="48" spans="1:13">
      <c r="A48" s="319" t="s">
        <v>545</v>
      </c>
      <c r="B48" s="158" t="str">
        <f t="shared" si="14"/>
        <v>Distribution System Operator ODI</v>
      </c>
      <c r="C48" s="157" t="s">
        <v>538</v>
      </c>
      <c r="D48" s="60">
        <f>IFERROR(ODI_6/Equity_RAV_based_on_actual_gearing,0)</f>
        <v>1.5617843055660237E-3</v>
      </c>
      <c r="E48" s="60">
        <f>IFERROR(ODI_6/Equity_RAV_based_on_actual_gearing,0)</f>
        <v>3.8461754621034699E-3</v>
      </c>
      <c r="F48" s="60">
        <f>IFERROR(ODI_6/Equity_RAV_based_on_actual_gearing,0)</f>
        <v>3.7072781130831154E-3</v>
      </c>
      <c r="G48" s="60">
        <f>IFERROR(ODI_6/Equity_RAV_based_on_actual_gearing,0)</f>
        <v>3.6658379044979851E-3</v>
      </c>
      <c r="H48" s="60">
        <f>IFERROR(ODI_6/Equity_RAV_based_on_actual_gearing,0)</f>
        <v>3.6283706753614704E-3</v>
      </c>
      <c r="I48" s="318"/>
      <c r="J48" s="30">
        <f>IFERROR(AVERAGE(D77:INDEX(D77:H77,0,MATCH('RFPR cover'!$C$9,$D$6:$H$6,0)))/AVERAGE($D$97:INDEX($D$97:$H$97,0,MATCH('RFPR cover'!$C$9,$D$6:$H$6,0))),0)</f>
        <v>3.0543131418238022E-3</v>
      </c>
      <c r="K48" s="61">
        <f t="shared" si="13"/>
        <v>3.2889093993207301E-3</v>
      </c>
    </row>
    <row r="49" spans="1:11">
      <c r="A49" s="319" t="s">
        <v>546</v>
      </c>
      <c r="B49" s="158" t="str">
        <f t="shared" si="14"/>
        <v>Dig, Fix and Go ODI (ENWL only)</v>
      </c>
      <c r="C49" s="157" t="s">
        <v>538</v>
      </c>
      <c r="D49" s="60">
        <f>IFERROR(ODI_7/Equity_RAV_based_on_actual_gearing,0)</f>
        <v>0</v>
      </c>
      <c r="E49" s="60">
        <f>IFERROR(ODI_7/Equity_RAV_based_on_actual_gearing,0)</f>
        <v>0</v>
      </c>
      <c r="F49" s="60">
        <f>IFERROR(ODI_7/Equity_RAV_based_on_actual_gearing,0)</f>
        <v>0</v>
      </c>
      <c r="G49" s="60">
        <f>IFERROR(ODI_7/Equity_RAV_based_on_actual_gearing,0)</f>
        <v>0</v>
      </c>
      <c r="H49" s="60">
        <f>IFERROR(ODI_7/Equity_RAV_based_on_actual_gearing,0)</f>
        <v>0</v>
      </c>
      <c r="I49" s="318"/>
      <c r="J49" s="30">
        <f>IFERROR(AVERAGE(D78:INDEX(D78:H78,0,MATCH('RFPR cover'!$C$9,$D$6:$H$6,0)))/AVERAGE($D$97:INDEX($D$97:$H$97,0,MATCH('RFPR cover'!$C$9,$D$6:$H$6,0))),0)</f>
        <v>0</v>
      </c>
      <c r="K49" s="61">
        <f t="shared" ref="K49:K50" si="15">IFERROR(AVERAGE(D78:H78)/AVERAGE($D$97:$H$97),0)</f>
        <v>0</v>
      </c>
    </row>
    <row r="50" spans="1:11">
      <c r="A50" s="319" t="s">
        <v>547</v>
      </c>
      <c r="B50" s="158" t="str">
        <f t="shared" si="14"/>
        <v>Collaborative Streetworks ODI (EPN, LPN and SPN only)</v>
      </c>
      <c r="C50" s="157" t="s">
        <v>538</v>
      </c>
      <c r="D50" s="60">
        <f>IFERROR(ODI_8/Equity_RAV_based_on_actual_gearing,0)</f>
        <v>0</v>
      </c>
      <c r="E50" s="60">
        <f>IFERROR(ODI_8/Equity_RAV_based_on_actual_gearing,0)</f>
        <v>0</v>
      </c>
      <c r="F50" s="60">
        <f>IFERROR(ODI_8/Equity_RAV_based_on_actual_gearing,0)</f>
        <v>0</v>
      </c>
      <c r="G50" s="60">
        <f>IFERROR(ODI_8/Equity_RAV_based_on_actual_gearing,0)</f>
        <v>0</v>
      </c>
      <c r="H50" s="60">
        <f>IFERROR(ODI_8/Equity_RAV_based_on_actual_gearing,0)</f>
        <v>0</v>
      </c>
      <c r="I50" s="318"/>
      <c r="J50" s="30">
        <f>IFERROR(AVERAGE(D79:INDEX(D79:H79,0,MATCH('RFPR cover'!$C$9,$D$6:$H$6,0)))/AVERAGE($D$97:INDEX($D$97:$H$97,0,MATCH('RFPR cover'!$C$9,$D$6:$H$6,0))),0)</f>
        <v>0</v>
      </c>
      <c r="K50" s="61">
        <f t="shared" si="15"/>
        <v>0</v>
      </c>
    </row>
    <row r="51" spans="1:11">
      <c r="A51" s="319" t="s">
        <v>547</v>
      </c>
      <c r="B51" s="158" t="str">
        <f t="shared" ref="B51" si="16">B80</f>
        <v>Network innovation input for RORE</v>
      </c>
      <c r="C51" s="157" t="s">
        <v>538</v>
      </c>
      <c r="D51" s="60">
        <f>IFERROR(ORA_1/Equity_RAV_based_on_actual_gearing,0)</f>
        <v>-3.906269964556045E-6</v>
      </c>
      <c r="E51" s="60">
        <f>IFERROR(ORA_1/Equity_RAV_based_on_actual_gearing,0)</f>
        <v>-1.9100715676037544E-5</v>
      </c>
      <c r="F51" s="60">
        <f>IFERROR(ORA_1/Equity_RAV_based_on_actual_gearing,0)</f>
        <v>-5.5895714933731525E-5</v>
      </c>
      <c r="G51" s="60">
        <f>IFERROR(ORA_1/Equity_RAV_based_on_actual_gearing,0)</f>
        <v>-1.9335984547679E-4</v>
      </c>
      <c r="H51" s="60">
        <f>IFERROR(ORA_1/Equity_RAV_based_on_actual_gearing,0)</f>
        <v>-2.6214634159064574E-4</v>
      </c>
      <c r="I51" s="318"/>
      <c r="J51" s="30">
        <f>IFERROR(AVERAGE(D80:INDEX(D80:H80,0,MATCH('RFPR cover'!$C$9,$D$6:$H$6,0)))/AVERAGE($D$97:INDEX($D$97:$H$97,0,MATCH('RFPR cover'!$C$9,$D$6:$H$6,0))),0)</f>
        <v>-2.6783203037437168E-5</v>
      </c>
      <c r="K51" s="61">
        <f>IFERROR(AVERAGE(D80:H80)/AVERAGE($D$97:$H$97),0)</f>
        <v>-1.0639959089223194E-4</v>
      </c>
    </row>
    <row r="52" spans="1:11">
      <c r="A52" s="319" t="s">
        <v>548</v>
      </c>
      <c r="B52" s="158" t="str">
        <f t="shared" ref="B52" si="17">B81</f>
        <v>Carry-over Network innovation input for RORE</v>
      </c>
      <c r="C52" s="157" t="s">
        <v>538</v>
      </c>
      <c r="D52" s="60">
        <f>IFERROR(ORA_2/Equity_RAV_based_on_actual_gearing,0)</f>
        <v>-4.9298451112007322E-5</v>
      </c>
      <c r="E52" s="60">
        <f>IFERROR(ORA_2/Equity_RAV_based_on_actual_gearing,0)</f>
        <v>0</v>
      </c>
      <c r="F52" s="60">
        <f>IFERROR(ORA_2/Equity_RAV_based_on_actual_gearing,0)</f>
        <v>0</v>
      </c>
      <c r="G52" s="60">
        <f>IFERROR(ORA_2/Equity_RAV_based_on_actual_gearing,0)</f>
        <v>0</v>
      </c>
      <c r="H52" s="60">
        <f>IFERROR(ORA_2/Equity_RAV_based_on_actual_gearing,0)</f>
        <v>0</v>
      </c>
      <c r="I52" s="318"/>
      <c r="J52" s="30">
        <f>IFERROR(AVERAGE(D81:INDEX(D81:H81,0,MATCH('RFPR cover'!$C$9,$D$6:$H$6,0)))/AVERAGE($D$97:INDEX($D$97:$H$97,0,MATCH('RFPR cover'!$C$9,$D$6:$H$6,0))),0)</f>
        <v>-1.6059751515333369E-5</v>
      </c>
      <c r="K52" s="61">
        <f>IFERROR(AVERAGE(D81:H81)/AVERAGE($D$97:$H$97),0)</f>
        <v>-9.7030957302170207E-6</v>
      </c>
    </row>
    <row r="53" spans="1:11">
      <c r="A53" s="319" t="s">
        <v>549</v>
      </c>
      <c r="B53" s="235" t="str">
        <f>B82</f>
        <v>Strategic innovation input for RORE</v>
      </c>
      <c r="C53" s="157" t="s">
        <v>538</v>
      </c>
      <c r="D53" s="60">
        <f>IFERROR(ORA_3/Equity_RAV_based_on_actual_gearing,0)</f>
        <v>0</v>
      </c>
      <c r="E53" s="60">
        <f>IFERROR(ORA_3/Equity_RAV_based_on_actual_gearing,0)</f>
        <v>0</v>
      </c>
      <c r="F53" s="60">
        <f>IFERROR(ORA_3/Equity_RAV_based_on_actual_gearing,0)</f>
        <v>0</v>
      </c>
      <c r="G53" s="60">
        <f>IFERROR(ORA_3/Equity_RAV_based_on_actual_gearing,0)</f>
        <v>0</v>
      </c>
      <c r="H53" s="60">
        <f>IFERROR(ORA_3/Equity_RAV_based_on_actual_gearing,0)</f>
        <v>0</v>
      </c>
      <c r="I53" s="318"/>
      <c r="J53" s="30">
        <f>IFERROR(AVERAGE(D82:INDEX(D82:H82,0,MATCH('RFPR cover'!$C$9,$D$6:$H$6,0)))/AVERAGE($D$97:INDEX($D$97:$H$97,0,MATCH('RFPR cover'!$C$9,$D$6:$H$6,0))),0)</f>
        <v>0</v>
      </c>
      <c r="K53" s="61">
        <f>IFERROR(AVERAGE(D82:H82)/AVERAGE($D$97:$H$97),0)</f>
        <v>0</v>
      </c>
    </row>
    <row r="54" spans="1:11">
      <c r="A54" s="319" t="s">
        <v>550</v>
      </c>
      <c r="B54" s="158" t="str">
        <f t="shared" ref="B54:B58" si="18">B83</f>
        <v/>
      </c>
      <c r="C54" s="157" t="s">
        <v>538</v>
      </c>
      <c r="D54" s="60">
        <f>IFERROR(ORA_4/Equity_RAV_based_on_actual_gearing,0)</f>
        <v>0</v>
      </c>
      <c r="E54" s="60">
        <f>IFERROR(ORA_4/Equity_RAV_based_on_actual_gearing,0)</f>
        <v>0</v>
      </c>
      <c r="F54" s="60">
        <f>IFERROR(ORA_4/Equity_RAV_based_on_actual_gearing,0)</f>
        <v>0</v>
      </c>
      <c r="G54" s="60">
        <f>IFERROR(ORA_4/Equity_RAV_based_on_actual_gearing,0)</f>
        <v>0</v>
      </c>
      <c r="H54" s="60">
        <f>IFERROR(ORA_4/Equity_RAV_based_on_actual_gearing,0)</f>
        <v>0</v>
      </c>
      <c r="I54" s="318"/>
      <c r="J54" s="30">
        <f>IFERROR(AVERAGE(D83:INDEX(D83:H83,0,MATCH('RFPR cover'!$C$9,$D$6:$H$6,0)))/AVERAGE($D$97:INDEX($D$97:$H$97,0,MATCH('RFPR cover'!$C$9,$D$6:$H$6,0))),0)</f>
        <v>0</v>
      </c>
      <c r="K54" s="61">
        <f t="shared" ref="K54:K59" si="19">IFERROR(AVERAGE(D83:H83)/AVERAGE($D$97:$H$97),0)</f>
        <v>0</v>
      </c>
    </row>
    <row r="55" spans="1:11">
      <c r="A55" s="319" t="s">
        <v>551</v>
      </c>
      <c r="B55" s="158" t="str">
        <f t="shared" si="18"/>
        <v/>
      </c>
      <c r="C55" s="157" t="s">
        <v>538</v>
      </c>
      <c r="D55" s="60">
        <f>IFERROR(ORA_5/Equity_RAV_based_on_actual_gearing,0)</f>
        <v>0</v>
      </c>
      <c r="E55" s="60">
        <f>IFERROR(ORA_5/Equity_RAV_based_on_actual_gearing,0)</f>
        <v>0</v>
      </c>
      <c r="F55" s="60">
        <f>IFERROR(ORA_5/Equity_RAV_based_on_actual_gearing,0)</f>
        <v>0</v>
      </c>
      <c r="G55" s="60">
        <f>IFERROR(ORA_5/Equity_RAV_based_on_actual_gearing,0)</f>
        <v>0</v>
      </c>
      <c r="H55" s="60">
        <f>IFERROR(ORA_5/Equity_RAV_based_on_actual_gearing,0)</f>
        <v>0</v>
      </c>
      <c r="I55" s="318"/>
      <c r="J55" s="30">
        <f>IFERROR(AVERAGE(D84:INDEX(D84:H84,0,MATCH('RFPR cover'!$C$9,$D$6:$H$6,0)))/AVERAGE($D$97:INDEX($D$97:$H$97,0,MATCH('RFPR cover'!$C$9,$D$6:$H$6,0))),0)</f>
        <v>0</v>
      </c>
      <c r="K55" s="61">
        <f t="shared" si="19"/>
        <v>0</v>
      </c>
    </row>
    <row r="56" spans="1:11">
      <c r="A56" s="319" t="s">
        <v>552</v>
      </c>
      <c r="B56" s="158" t="str">
        <f t="shared" si="18"/>
        <v/>
      </c>
      <c r="C56" s="157" t="s">
        <v>538</v>
      </c>
      <c r="D56" s="60">
        <f>IFERROR(ORA_6/Equity_RAV_based_on_actual_gearing,0)</f>
        <v>0</v>
      </c>
      <c r="E56" s="60">
        <f>IFERROR(ORA_6/Equity_RAV_based_on_actual_gearing,0)</f>
        <v>0</v>
      </c>
      <c r="F56" s="60">
        <f>IFERROR(ORA_6/Equity_RAV_based_on_actual_gearing,0)</f>
        <v>0</v>
      </c>
      <c r="G56" s="60">
        <f>IFERROR(ORA_6/Equity_RAV_based_on_actual_gearing,0)</f>
        <v>0</v>
      </c>
      <c r="H56" s="60">
        <f>IFERROR(ORA_6/Equity_RAV_based_on_actual_gearing,0)</f>
        <v>0</v>
      </c>
      <c r="I56" s="318"/>
      <c r="J56" s="30">
        <f>IFERROR(AVERAGE(D85:INDEX(D85:H85,0,MATCH('RFPR cover'!$C$9,$D$6:$H$6,0)))/AVERAGE($D$97:INDEX($D$97:$H$97,0,MATCH('RFPR cover'!$C$9,$D$6:$H$6,0))),0)</f>
        <v>0</v>
      </c>
      <c r="K56" s="61">
        <f t="shared" si="19"/>
        <v>0</v>
      </c>
    </row>
    <row r="57" spans="1:11">
      <c r="A57" s="319" t="s">
        <v>553</v>
      </c>
      <c r="B57" s="158" t="str">
        <f t="shared" si="18"/>
        <v/>
      </c>
      <c r="C57" s="157" t="s">
        <v>538</v>
      </c>
      <c r="D57" s="60">
        <f>IFERROR(ORA_7/Equity_RAV_based_on_actual_gearing,0)</f>
        <v>0</v>
      </c>
      <c r="E57" s="60">
        <f>IFERROR(ORA_7/Equity_RAV_based_on_actual_gearing,0)</f>
        <v>0</v>
      </c>
      <c r="F57" s="60">
        <f>IFERROR(ORA_7/Equity_RAV_based_on_actual_gearing,0)</f>
        <v>0</v>
      </c>
      <c r="G57" s="60">
        <f>IFERROR(ORA_7/Equity_RAV_based_on_actual_gearing,0)</f>
        <v>0</v>
      </c>
      <c r="H57" s="60">
        <f>IFERROR(ORA_7/Equity_RAV_based_on_actual_gearing,0)</f>
        <v>0</v>
      </c>
      <c r="I57" s="318"/>
      <c r="J57" s="30">
        <f>IFERROR(AVERAGE(D86:INDEX(D86:H86,0,MATCH('RFPR cover'!$C$9,$D$6:$H$6,0)))/AVERAGE($D$97:INDEX($D$97:$H$97,0,MATCH('RFPR cover'!$C$9,$D$6:$H$6,0))),0)</f>
        <v>0</v>
      </c>
      <c r="K57" s="61">
        <f t="shared" si="19"/>
        <v>0</v>
      </c>
    </row>
    <row r="58" spans="1:11">
      <c r="A58" s="319" t="s">
        <v>554</v>
      </c>
      <c r="B58" s="158" t="str">
        <f t="shared" si="18"/>
        <v/>
      </c>
      <c r="C58" s="157" t="s">
        <v>538</v>
      </c>
      <c r="D58" s="60">
        <f>IFERROR(ORA_8/Equity_RAV_based_on_actual_gearing,0)</f>
        <v>0</v>
      </c>
      <c r="E58" s="60">
        <f>IFERROR(ORA_8/Equity_RAV_based_on_actual_gearing,0)</f>
        <v>0</v>
      </c>
      <c r="F58" s="60">
        <f>IFERROR(ORA_8/Equity_RAV_based_on_actual_gearing,0)</f>
        <v>0</v>
      </c>
      <c r="G58" s="60">
        <f>IFERROR(ORA_8/Equity_RAV_based_on_actual_gearing,0)</f>
        <v>0</v>
      </c>
      <c r="H58" s="60">
        <f>IFERROR(ORA_8/Equity_RAV_based_on_actual_gearing,0)</f>
        <v>0</v>
      </c>
      <c r="I58" s="318"/>
      <c r="J58" s="30">
        <f>IFERROR(AVERAGE(D87:INDEX(D87:H87,0,MATCH('RFPR cover'!$C$9,$D$6:$H$6,0)))/AVERAGE($D$97:INDEX($D$97:$H$97,0,MATCH('RFPR cover'!$C$9,$D$6:$H$6,0))),0)</f>
        <v>0</v>
      </c>
      <c r="K58" s="61">
        <f t="shared" si="19"/>
        <v>0</v>
      </c>
    </row>
    <row r="59" spans="1:11" ht="13.5" thickBot="1">
      <c r="B59" s="158" t="str">
        <f t="shared" ref="B59:B60" si="20">B88</f>
        <v>Penalties and fines (Other Activities)</v>
      </c>
      <c r="C59" s="157" t="s">
        <v>538</v>
      </c>
      <c r="D59" s="320">
        <f>IFERROR(Penalties_and_fines/Equity_RAV_based_on_actual_gearing,0)</f>
        <v>-3.0091520320181743E-6</v>
      </c>
      <c r="E59" s="320">
        <f>IFERROR(Penalties_and_fines/Equity_RAV_based_on_actual_gearing,0)</f>
        <v>-5.444432784557373E-3</v>
      </c>
      <c r="F59" s="320">
        <f>IFERROR(Penalties_and_fines/Equity_RAV_based_on_actual_gearing,0)</f>
        <v>-7.75053810927443E-5</v>
      </c>
      <c r="G59" s="320">
        <f>IFERROR(Penalties_and_fines/Equity_RAV_based_on_actual_gearing,0)</f>
        <v>0</v>
      </c>
      <c r="H59" s="320">
        <f>IFERROR(Penalties_and_fines/Equity_RAV_based_on_actual_gearing,0)</f>
        <v>0</v>
      </c>
      <c r="I59" s="318"/>
      <c r="J59" s="30">
        <f>IFERROR(AVERAGE(D88:INDEX(D88:H88,0,MATCH('RFPR cover'!$C$9,$D$6:$H$6,0)))/AVERAGE($D$97:INDEX($D$97:$H$97,0,MATCH('RFPR cover'!$C$9,$D$6:$H$6,0))),0)</f>
        <v>-1.8292497809901109E-3</v>
      </c>
      <c r="K59" s="61">
        <f t="shared" si="19"/>
        <v>-1.1052092382923227E-3</v>
      </c>
    </row>
    <row r="60" spans="1:11" ht="13.5" thickBot="1">
      <c r="B60" s="159" t="str">
        <f t="shared" si="20"/>
        <v>RoRE - Operational performance</v>
      </c>
      <c r="C60" s="58" t="s">
        <v>538</v>
      </c>
      <c r="D60" s="146">
        <f t="shared" ref="D60:H60" si="21">SUM(D40:D59)</f>
        <v>4.7102109465152413E-2</v>
      </c>
      <c r="E60" s="147">
        <f t="shared" si="21"/>
        <v>4.6640567187345772E-2</v>
      </c>
      <c r="F60" s="147">
        <f t="shared" si="21"/>
        <v>4.9821283746784281E-2</v>
      </c>
      <c r="G60" s="147">
        <f t="shared" si="21"/>
        <v>5.9182641164350167E-2</v>
      </c>
      <c r="H60" s="148">
        <f t="shared" si="21"/>
        <v>6.1988351410245522E-2</v>
      </c>
      <c r="I60" s="321"/>
      <c r="J60" s="150">
        <f>SUM(J40:J59)</f>
        <v>4.7882913372854191E-2</v>
      </c>
      <c r="K60" s="148">
        <f>SUM(K40:K59)</f>
        <v>5.2913610909226555E-2</v>
      </c>
    </row>
    <row r="61" spans="1:11">
      <c r="B61" s="158" t="s">
        <v>556</v>
      </c>
      <c r="C61" s="157" t="s">
        <v>538</v>
      </c>
      <c r="D61" s="322">
        <f>IFERROR((Debt_performance___at_notional_gearing+Debt_performance___impact_of_actual_gearing)/Equity_RAV_based_on_actual_gearing,0)</f>
        <v>7.9741022720206708E-2</v>
      </c>
      <c r="E61" s="322">
        <f>IFERROR((Debt_performance___at_notional_gearing+Debt_performance___impact_of_actual_gearing)/Equity_RAV_based_on_actual_gearing,0)</f>
        <v>3.4619390734034486E-2</v>
      </c>
      <c r="F61" s="322">
        <f>IFERROR((Debt_performance___at_notional_gearing+Debt_performance___impact_of_actual_gearing)/Equity_RAV_based_on_actual_gearing,0)</f>
        <v>3.7324121746877978E-2</v>
      </c>
      <c r="G61" s="322">
        <f>IFERROR((Debt_performance___at_notional_gearing+Debt_performance___impact_of_actual_gearing)/Equity_RAV_based_on_actual_gearing,0)</f>
        <v>3.5951136274510354E-2</v>
      </c>
      <c r="H61" s="322">
        <f>IFERROR((Debt_performance___at_notional_gearing+Debt_performance___impact_of_actual_gearing)/Equity_RAV_based_on_actual_gearing,0)</f>
        <v>1.4891856381651414E-2</v>
      </c>
      <c r="I61" s="318"/>
      <c r="J61" s="149">
        <f>IFERROR((AVERAGE(D90:INDEX(D90:H90,0,MATCH('RFPR cover'!$C$9,$D$6:$H$6,0)))+AVERAGE(D91:INDEX(D91:H91,0,MATCH('RFPR cover'!$C$9,$D$6:$H$6,0))))/AVERAGE($D$97:INDEX($D$97:$H$97,0,MATCH('RFPR cover'!$C$9,$D$6:$H$6,0))),0)</f>
        <v>5.0247055177074319E-2</v>
      </c>
      <c r="K61" s="149">
        <f>IFERROR((AVERAGE(D90:H90)+AVERAGE(D91:H91))/AVERAGE($D$97:$H$97),0)</f>
        <v>4.0399372301201282E-2</v>
      </c>
    </row>
    <row r="62" spans="1:11" ht="13.5" thickBot="1">
      <c r="B62" s="158" t="s">
        <v>557</v>
      </c>
      <c r="C62" s="157" t="s">
        <v>538</v>
      </c>
      <c r="D62" s="151">
        <f>IFERROR((Tax_performance___at_notional_gearing+Tax_performance___impact_of_actual_gearing)/D$97,0)</f>
        <v>1.396486661928943E-3</v>
      </c>
      <c r="E62" s="151">
        <f>IFERROR((Tax_performance___at_notional_gearing+Tax_performance___impact_of_actual_gearing)/E$97,0)</f>
        <v>-1.3558775293249493E-2</v>
      </c>
      <c r="F62" s="151">
        <f>IFERROR((Tax_performance___at_notional_gearing+Tax_performance___impact_of_actual_gearing)/F$97,0)</f>
        <v>6.4741222106327748E-4</v>
      </c>
      <c r="G62" s="151">
        <f>IFERROR((Tax_performance___at_notional_gearing+Tax_performance___impact_of_actual_gearing)/G$97,0)</f>
        <v>1.1321332574343148E-5</v>
      </c>
      <c r="H62" s="151">
        <f>IFERROR((Tax_performance___at_notional_gearing+Tax_performance___impact_of_actual_gearing)/H$97,0)</f>
        <v>-1.2274328494661518E-3</v>
      </c>
      <c r="I62" s="318"/>
      <c r="J62" s="33">
        <f>IFERROR((AVERAGE(D92:INDEX(D92:H92,0,MATCH('RFPR cover'!$C$9,$D$6:$H$6,0)))+AVERAGE(D93:INDEX(D93:H93,0,MATCH('RFPR cover'!$C$9,$D$6:$H$6,0))))/AVERAGE($D$97:INDEX($D$97:$H$97,0,MATCH('RFPR cover'!$C$9,$D$6:$H$6,0))),0)</f>
        <v>-3.8096476595140317E-3</v>
      </c>
      <c r="K62" s="33">
        <f>IFERROR((AVERAGE(D92:H92)+AVERAGE(D93:H93))/AVERAGE($D$97:$H$97),0)</f>
        <v>-2.5436757596606005E-3</v>
      </c>
    </row>
    <row r="63" spans="1:11" ht="13.5" thickBot="1">
      <c r="B63" s="159" t="str">
        <f>B94</f>
        <v>RoRE - including financing and tax</v>
      </c>
      <c r="C63" s="58" t="s">
        <v>538</v>
      </c>
      <c r="D63" s="146">
        <f>SUM(D60:D62)</f>
        <v>0.12823961884728804</v>
      </c>
      <c r="E63" s="147">
        <f t="shared" ref="E63:H63" si="22">SUM(E60:E62)</f>
        <v>6.7701182628130768E-2</v>
      </c>
      <c r="F63" s="147">
        <f t="shared" si="22"/>
        <v>8.7792817714725538E-2</v>
      </c>
      <c r="G63" s="147">
        <f t="shared" si="22"/>
        <v>9.5145098771434858E-2</v>
      </c>
      <c r="H63" s="148">
        <f t="shared" si="22"/>
        <v>7.5652774942430792E-2</v>
      </c>
      <c r="I63" s="321"/>
      <c r="J63" s="150">
        <f>SUM(J60:J62)</f>
        <v>9.4320320890414477E-2</v>
      </c>
      <c r="K63" s="148">
        <f>SUM(K60:K62)</f>
        <v>9.0769307450767223E-2</v>
      </c>
    </row>
    <row r="64" spans="1:11">
      <c r="B64" s="57"/>
      <c r="C64" s="58"/>
      <c r="D64" s="59"/>
      <c r="E64" s="59"/>
      <c r="F64" s="59"/>
      <c r="G64" s="59"/>
      <c r="H64" s="59"/>
      <c r="I64" s="321"/>
      <c r="J64" s="59"/>
      <c r="K64" s="59"/>
    </row>
    <row r="65" spans="1:12">
      <c r="B65" s="57"/>
      <c r="C65" s="58"/>
      <c r="D65" s="59"/>
      <c r="E65" s="59"/>
      <c r="F65" s="59"/>
      <c r="G65" s="59"/>
      <c r="H65" s="59"/>
      <c r="I65" s="321"/>
      <c r="J65" s="59"/>
      <c r="K65" s="59"/>
    </row>
    <row r="66" spans="1:12">
      <c r="B66" s="64" t="s">
        <v>558</v>
      </c>
      <c r="C66" s="65"/>
      <c r="D66" s="66"/>
      <c r="E66" s="66"/>
      <c r="F66" s="66"/>
      <c r="G66" s="66"/>
      <c r="H66" s="66"/>
      <c r="I66" s="324"/>
      <c r="J66" s="66"/>
      <c r="K66" s="66"/>
      <c r="L66" s="38"/>
    </row>
    <row r="67" spans="1:12">
      <c r="B67" s="68" t="str">
        <f>"Input values provided in "&amp;Data!C9&amp;" prices"</f>
        <v>Input values provided in £m 20/21 prices</v>
      </c>
      <c r="C67" s="67"/>
      <c r="D67" s="67"/>
      <c r="E67" s="67"/>
      <c r="F67" s="67"/>
      <c r="G67" s="67"/>
      <c r="H67" s="67"/>
      <c r="I67" s="67"/>
      <c r="J67" s="67"/>
      <c r="K67" s="67"/>
      <c r="L67" s="67"/>
    </row>
    <row r="69" spans="1:12">
      <c r="B69" s="325" t="s">
        <v>559</v>
      </c>
      <c r="C69" s="326" t="str">
        <f>Data!$C$9</f>
        <v>£m 20/21</v>
      </c>
      <c r="D69" s="31">
        <f>'R7 - RAV'!F44</f>
        <v>26.976017287191393</v>
      </c>
      <c r="E69" s="32">
        <f>'R7 - RAV'!G44</f>
        <v>29.555552440783721</v>
      </c>
      <c r="F69" s="32">
        <f>'R7 - RAV'!H44</f>
        <v>30.226767663829936</v>
      </c>
      <c r="G69" s="32">
        <f>'R7 - RAV'!I44</f>
        <v>33.03002431241265</v>
      </c>
      <c r="H69" s="32">
        <f>'R7 - RAV'!J44</f>
        <v>33.920749389110782</v>
      </c>
      <c r="I69" s="34"/>
      <c r="J69" s="18">
        <f>SUM(D69:INDEX(D69:H69,0,MATCH('RFPR cover'!$C$9,$D$6:$H$6,0)))</f>
        <v>86.758337391805043</v>
      </c>
      <c r="K69" s="18">
        <f t="shared" ref="K69:K88" si="23">SUM(D69:H69)</f>
        <v>153.70911109332849</v>
      </c>
      <c r="L69" s="34"/>
    </row>
    <row r="70" spans="1:12">
      <c r="B70" s="325" t="s">
        <v>560</v>
      </c>
      <c r="C70" s="326" t="str">
        <f>Data!$C$9</f>
        <v>£m 20/21</v>
      </c>
      <c r="D70" s="46">
        <f>'R3 - Totex - Reconciliation'!D102</f>
        <v>-0.95023926520744695</v>
      </c>
      <c r="E70" s="46">
        <f>'R3 - Totex - Reconciliation'!E102</f>
        <v>-1.1542424705979064</v>
      </c>
      <c r="F70" s="46">
        <f>'R3 - Totex - Reconciliation'!F102</f>
        <v>-1.2197328203575042</v>
      </c>
      <c r="G70" s="46">
        <f>'R3 - Totex - Reconciliation'!G102</f>
        <v>-1.2395186427260505</v>
      </c>
      <c r="H70" s="46">
        <f>'R3 - Totex - Reconciliation'!H102</f>
        <v>-1.3095523813630283</v>
      </c>
      <c r="I70" s="34"/>
      <c r="J70" s="18">
        <f>SUM(D70:INDEX(D70:H70,0,MATCH('RFPR cover'!$C$9,$D$6:$H$6,0)))</f>
        <v>-3.3242145561628575</v>
      </c>
      <c r="K70" s="18">
        <f t="shared" si="23"/>
        <v>-5.8732855802519364</v>
      </c>
      <c r="L70" s="34"/>
    </row>
    <row r="71" spans="1:12">
      <c r="A71" s="319" t="s">
        <v>539</v>
      </c>
      <c r="B71" s="325" t="s">
        <v>561</v>
      </c>
      <c r="C71" s="326" t="str">
        <f>Data!$C$9</f>
        <v>£m 20/21</v>
      </c>
      <c r="D71" s="43">
        <f>'R4 - Incentives and Other Rev'!D12</f>
        <v>0.69</v>
      </c>
      <c r="E71" s="43">
        <f>'R4 - Incentives and Other Rev'!E12</f>
        <v>0</v>
      </c>
      <c r="F71" s="43">
        <f>'R4 - Incentives and Other Rev'!F12</f>
        <v>0</v>
      </c>
      <c r="G71" s="43">
        <f>'R4 - Incentives and Other Rev'!G12</f>
        <v>0</v>
      </c>
      <c r="H71" s="43">
        <f>'R4 - Incentives and Other Rev'!H12</f>
        <v>0</v>
      </c>
      <c r="I71" s="34"/>
      <c r="J71" s="18">
        <f>SUM(D71:INDEX(D71:H71,0,MATCH('RFPR cover'!$C$9,$D$6:$H$6,0)))</f>
        <v>0.69</v>
      </c>
      <c r="K71" s="18">
        <f t="shared" si="23"/>
        <v>0.69</v>
      </c>
      <c r="L71" s="34"/>
    </row>
    <row r="72" spans="1:12">
      <c r="A72" s="319" t="s">
        <v>540</v>
      </c>
      <c r="B72" s="234" t="str">
        <f>'R4 - Incentives and Other Rev'!B14</f>
        <v>Time to connect ODI</v>
      </c>
      <c r="C72" s="326" t="str">
        <f>Data!$C$9</f>
        <v>£m 20/21</v>
      </c>
      <c r="D72" s="43">
        <f>'R4 - Incentives and Other Rev'!D14</f>
        <v>0.34155279999999988</v>
      </c>
      <c r="E72" s="43">
        <f>'R4 - Incentives and Other Rev'!E14</f>
        <v>0.7140103492655635</v>
      </c>
      <c r="F72" s="43">
        <f>'R4 - Incentives and Other Rev'!F14</f>
        <v>0.86069105303867399</v>
      </c>
      <c r="G72" s="43">
        <f>'R4 - Incentives and Other Rev'!G14</f>
        <v>0.84645837613707431</v>
      </c>
      <c r="H72" s="43">
        <f>'R4 - Incentives and Other Rev'!H14</f>
        <v>0.84645837613707431</v>
      </c>
      <c r="I72" s="327"/>
      <c r="J72" s="18">
        <f>SUM(D72:INDEX(D72:H72,0,MATCH('RFPR cover'!$C$9,$D$6:$H$6,0)))</f>
        <v>1.9162542023042373</v>
      </c>
      <c r="K72" s="18">
        <f t="shared" si="23"/>
        <v>3.6091709545783859</v>
      </c>
      <c r="L72" s="34"/>
    </row>
    <row r="73" spans="1:12">
      <c r="A73" s="319" t="s">
        <v>541</v>
      </c>
      <c r="B73" s="234" t="str">
        <f>'R4 - Incentives and Other Rev'!B15</f>
        <v>Broad Measure of Customer Service ODI</v>
      </c>
      <c r="C73" s="326" t="str">
        <f>Data!$C$9</f>
        <v>£m 20/21</v>
      </c>
      <c r="D73" s="43">
        <f>'R4 - Incentives and Other Rev'!D15</f>
        <v>0.44757084214131948</v>
      </c>
      <c r="E73" s="43">
        <f>'R4 - Incentives and Other Rev'!E15</f>
        <v>8.1602211273689607E-2</v>
      </c>
      <c r="F73" s="43">
        <f>'R4 - Incentives and Other Rev'!F15</f>
        <v>0.70719634782244833</v>
      </c>
      <c r="G73" s="43">
        <f>'R4 - Incentives and Other Rev'!G15</f>
        <v>1.246991732331197</v>
      </c>
      <c r="H73" s="43">
        <f>'R4 - Incentives and Other Rev'!H15</f>
        <v>1.5469917323311968</v>
      </c>
      <c r="I73" s="327"/>
      <c r="J73" s="18">
        <f>SUM(D73:INDEX(D73:H73,0,MATCH('RFPR cover'!$C$9,$D$6:$H$6,0)))</f>
        <v>1.2363694012374573</v>
      </c>
      <c r="K73" s="18">
        <f t="shared" si="23"/>
        <v>4.0303528658998511</v>
      </c>
      <c r="L73" s="34"/>
    </row>
    <row r="74" spans="1:12">
      <c r="A74" s="319" t="s">
        <v>542</v>
      </c>
      <c r="B74" s="234" t="str">
        <f>'R4 - Incentives and Other Rev'!B16</f>
        <v>Interruptions incentive scheme ODI</v>
      </c>
      <c r="C74" s="326" t="str">
        <f>Data!$C$9</f>
        <v>£m 20/21</v>
      </c>
      <c r="D74" s="43">
        <f>'R4 - Incentives and Other Rev'!D16</f>
        <v>-0.61616145880452666</v>
      </c>
      <c r="E74" s="43">
        <f>'R4 - Incentives and Other Rev'!E16</f>
        <v>-0.6098784182605661</v>
      </c>
      <c r="F74" s="43">
        <f>'R4 - Incentives and Other Rev'!F16</f>
        <v>-1.8330739515767802</v>
      </c>
      <c r="G74" s="43">
        <f>'R4 - Incentives and Other Rev'!G16</f>
        <v>-1.0200400533428788</v>
      </c>
      <c r="H74" s="43">
        <f>'R4 - Incentives and Other Rev'!H16</f>
        <v>-1.0200400533428788</v>
      </c>
      <c r="I74" s="327"/>
      <c r="J74" s="18">
        <f>SUM(D74:INDEX(D74:H74,0,MATCH('RFPR cover'!$C$9,$D$6:$H$6,0)))</f>
        <v>-3.0591138286418729</v>
      </c>
      <c r="K74" s="18">
        <f t="shared" si="23"/>
        <v>-5.0991939353276301</v>
      </c>
      <c r="L74" s="34"/>
    </row>
    <row r="75" spans="1:12">
      <c r="A75" s="319" t="s">
        <v>543</v>
      </c>
      <c r="B75" s="234" t="str">
        <f>'R4 - Incentives and Other Rev'!B17</f>
        <v>Major connections ODI</v>
      </c>
      <c r="C75" s="326" t="str">
        <f>Data!$C$9</f>
        <v>£m 20/21</v>
      </c>
      <c r="D75" s="43">
        <f>'R4 - Incentives and Other Rev'!D17</f>
        <v>0</v>
      </c>
      <c r="E75" s="43">
        <f>'R4 - Incentives and Other Rev'!E17</f>
        <v>0</v>
      </c>
      <c r="F75" s="43">
        <f>'R4 - Incentives and Other Rev'!F17</f>
        <v>0</v>
      </c>
      <c r="G75" s="43">
        <f>'R4 - Incentives and Other Rev'!G17</f>
        <v>0</v>
      </c>
      <c r="H75" s="43">
        <f>'R4 - Incentives and Other Rev'!H17</f>
        <v>0</v>
      </c>
      <c r="I75" s="327"/>
      <c r="J75" s="18">
        <f>SUM(D75:INDEX(D75:H75,0,MATCH('RFPR cover'!$C$9,$D$6:$H$6,0)))</f>
        <v>0</v>
      </c>
      <c r="K75" s="18">
        <f t="shared" si="23"/>
        <v>0</v>
      </c>
      <c r="L75" s="34"/>
    </row>
    <row r="76" spans="1:12">
      <c r="A76" s="319" t="s">
        <v>544</v>
      </c>
      <c r="B76" s="234" t="str">
        <f>'R4 - Incentives and Other Rev'!B18</f>
        <v>Consumer Vulnerability ODI</v>
      </c>
      <c r="C76" s="326" t="str">
        <f>Data!$C$9</f>
        <v>£m 20/21</v>
      </c>
      <c r="D76" s="43">
        <f>'R4 - Incentives and Other Rev'!D18</f>
        <v>0</v>
      </c>
      <c r="E76" s="43">
        <f>'R4 - Incentives and Other Rev'!E18</f>
        <v>0.32122094590815098</v>
      </c>
      <c r="F76" s="43">
        <f>'R4 - Incentives and Other Rev'!F18</f>
        <v>0</v>
      </c>
      <c r="G76" s="43">
        <f>'R4 - Incentives and Other Rev'!G18</f>
        <v>0</v>
      </c>
      <c r="H76" s="43">
        <f>'R4 - Incentives and Other Rev'!H18</f>
        <v>0.95419899305565725</v>
      </c>
      <c r="I76" s="327"/>
      <c r="J76" s="18">
        <f>SUM(D76:INDEX(D76:H76,0,MATCH('RFPR cover'!$C$9,$D$6:$H$6,0)))</f>
        <v>0.32122094590815098</v>
      </c>
      <c r="K76" s="18">
        <f t="shared" si="23"/>
        <v>1.2754199389638083</v>
      </c>
      <c r="L76" s="34"/>
    </row>
    <row r="77" spans="1:12">
      <c r="A77" s="319" t="s">
        <v>545</v>
      </c>
      <c r="B77" s="234" t="str">
        <f>'R4 - Incentives and Other Rev'!B19</f>
        <v>Distribution System Operator ODI</v>
      </c>
      <c r="C77" s="326" t="str">
        <f>Data!$C$9</f>
        <v>£m 20/21</v>
      </c>
      <c r="D77" s="43">
        <f>'R4 - Incentives and Other Rev'!D19</f>
        <v>0.92100000000000004</v>
      </c>
      <c r="E77" s="43">
        <f>'R4 - Incentives and Other Rev'!E19</f>
        <v>2.3039999999999998</v>
      </c>
      <c r="F77" s="43">
        <f>'R4 - Incentives and Other Rev'!F19</f>
        <v>2.3039999999999998</v>
      </c>
      <c r="G77" s="43">
        <f>'R4 - Incentives and Other Rev'!G19</f>
        <v>2.1625100563153659</v>
      </c>
      <c r="H77" s="43">
        <f>'R4 - Incentives and Other Rev'!H19</f>
        <v>2.1625100563153659</v>
      </c>
      <c r="I77" s="327"/>
      <c r="J77" s="18">
        <f>SUM(D77:INDEX(D77:H77,0,MATCH('RFPR cover'!$C$9,$D$6:$H$6,0)))</f>
        <v>5.5289999999999999</v>
      </c>
      <c r="K77" s="18">
        <f t="shared" ref="K77:K82" si="24">SUM(D77:H77)</f>
        <v>9.8540201126307316</v>
      </c>
      <c r="L77" s="34"/>
    </row>
    <row r="78" spans="1:12">
      <c r="A78" s="319" t="s">
        <v>546</v>
      </c>
      <c r="B78" s="234" t="str">
        <f>'R4 - Incentives and Other Rev'!B20</f>
        <v>Dig, Fix and Go ODI (ENWL only)</v>
      </c>
      <c r="C78" s="326" t="str">
        <f>Data!$C$9</f>
        <v>£m 20/21</v>
      </c>
      <c r="D78" s="43">
        <f>'R4 - Incentives and Other Rev'!D20</f>
        <v>0</v>
      </c>
      <c r="E78" s="43">
        <f>'R4 - Incentives and Other Rev'!E20</f>
        <v>0</v>
      </c>
      <c r="F78" s="43">
        <f>'R4 - Incentives and Other Rev'!F20</f>
        <v>0</v>
      </c>
      <c r="G78" s="43">
        <f>'R4 - Incentives and Other Rev'!G20</f>
        <v>0</v>
      </c>
      <c r="H78" s="43">
        <f>'R4 - Incentives and Other Rev'!H20</f>
        <v>0</v>
      </c>
      <c r="I78" s="318"/>
      <c r="J78" s="18">
        <f>SUM(D78:INDEX(D78:H78,0,MATCH('RFPR cover'!$C$9,$D$6:$H$6,0)))</f>
        <v>0</v>
      </c>
      <c r="K78" s="18">
        <f t="shared" ref="K78:K79" si="25">SUM(D78:H78)</f>
        <v>0</v>
      </c>
      <c r="L78" s="34"/>
    </row>
    <row r="79" spans="1:12">
      <c r="A79" s="319" t="s">
        <v>547</v>
      </c>
      <c r="B79" s="234" t="str">
        <f>'R4 - Incentives and Other Rev'!B21</f>
        <v>Collaborative Streetworks ODI (EPN, LPN and SPN only)</v>
      </c>
      <c r="C79" s="326" t="str">
        <f>Data!$C$9</f>
        <v>£m 20/21</v>
      </c>
      <c r="D79" s="43">
        <f>'R4 - Incentives and Other Rev'!D21</f>
        <v>0</v>
      </c>
      <c r="E79" s="43">
        <f>'R4 - Incentives and Other Rev'!E21</f>
        <v>0</v>
      </c>
      <c r="F79" s="43">
        <f>'R4 - Incentives and Other Rev'!F21</f>
        <v>0</v>
      </c>
      <c r="G79" s="43">
        <f>'R4 - Incentives and Other Rev'!G21</f>
        <v>0</v>
      </c>
      <c r="H79" s="43">
        <f>'R4 - Incentives and Other Rev'!H21</f>
        <v>0</v>
      </c>
      <c r="I79" s="318"/>
      <c r="J79" s="18">
        <f>SUM(D79:INDEX(D79:H79,0,MATCH('RFPR cover'!$C$9,$D$6:$H$6,0)))</f>
        <v>0</v>
      </c>
      <c r="K79" s="18">
        <f t="shared" si="25"/>
        <v>0</v>
      </c>
      <c r="L79" s="34"/>
    </row>
    <row r="80" spans="1:12">
      <c r="A80" s="319" t="s">
        <v>547</v>
      </c>
      <c r="B80" s="234" t="str">
        <f>'R4 - Incentives and Other Rev'!B45</f>
        <v>Network innovation input for RORE</v>
      </c>
      <c r="C80" s="326" t="str">
        <f>Data!$C$9</f>
        <v>£m 20/21</v>
      </c>
      <c r="D80" s="43">
        <f>-'R4 - Incentives and Other Rev'!D45</f>
        <v>-2.3035669039152269E-3</v>
      </c>
      <c r="E80" s="43">
        <f>-'R4 - Incentives and Other Rev'!E45</f>
        <v>-1.1442028412692991E-2</v>
      </c>
      <c r="F80" s="43">
        <f>-'R4 - Incentives and Other Rev'!F45</f>
        <v>-3.4738080952932855E-2</v>
      </c>
      <c r="G80" s="43">
        <f>-'R4 - Incentives and Other Rev'!G45</f>
        <v>-0.11406467531422554</v>
      </c>
      <c r="H80" s="43">
        <f>-'R4 - Incentives and Other Rev'!H45</f>
        <v>-0.1562393015039949</v>
      </c>
      <c r="I80" s="34"/>
      <c r="J80" s="18">
        <f>SUM(D80:INDEX(D80:H80,0,MATCH('RFPR cover'!$C$9,$D$6:$H$6,0)))</f>
        <v>-4.8483676269541073E-2</v>
      </c>
      <c r="K80" s="18">
        <f t="shared" si="24"/>
        <v>-0.31878765308776152</v>
      </c>
      <c r="L80" s="34"/>
    </row>
    <row r="81" spans="1:12">
      <c r="A81" s="319" t="s">
        <v>548</v>
      </c>
      <c r="B81" s="234" t="str">
        <f>'R4 - Incentives and Other Rev'!B52</f>
        <v>Carry-over Network innovation input for RORE</v>
      </c>
      <c r="C81" s="326" t="str">
        <f>Data!$C$9</f>
        <v>£m 20/21</v>
      </c>
      <c r="D81" s="43">
        <f>-'R4 - Incentives and Other Rev'!D52</f>
        <v>-2.9071795197547091E-2</v>
      </c>
      <c r="E81" s="43">
        <f>-'R4 - Incentives and Other Rev'!E52</f>
        <v>0</v>
      </c>
      <c r="F81" s="43">
        <f>-'R4 - Incentives and Other Rev'!F52</f>
        <v>0</v>
      </c>
      <c r="G81" s="43">
        <f>-'R4 - Incentives and Other Rev'!G52</f>
        <v>0</v>
      </c>
      <c r="H81" s="43">
        <f>-'R4 - Incentives and Other Rev'!H52</f>
        <v>0</v>
      </c>
      <c r="I81" s="34"/>
      <c r="J81" s="18">
        <f>SUM(D81:INDEX(D81:H81,0,MATCH('RFPR cover'!$C$9,$D$6:$H$6,0)))</f>
        <v>-2.9071795197547091E-2</v>
      </c>
      <c r="K81" s="18">
        <f t="shared" si="24"/>
        <v>-2.9071795197547091E-2</v>
      </c>
      <c r="L81" s="34"/>
    </row>
    <row r="82" spans="1:12">
      <c r="A82" s="319" t="s">
        <v>549</v>
      </c>
      <c r="B82" s="234" t="str">
        <f>'R4 - Incentives and Other Rev'!B59</f>
        <v>Strategic innovation input for RORE</v>
      </c>
      <c r="C82" s="326" t="str">
        <f>Data!$C$9</f>
        <v>£m 20/21</v>
      </c>
      <c r="D82" s="43">
        <f>-'R4 - Incentives and Other Rev'!D59</f>
        <v>0</v>
      </c>
      <c r="E82" s="43">
        <f>-'R4 - Incentives and Other Rev'!E59</f>
        <v>0</v>
      </c>
      <c r="F82" s="43">
        <f>-'R4 - Incentives and Other Rev'!F59</f>
        <v>0</v>
      </c>
      <c r="G82" s="43">
        <f>-'R4 - Incentives and Other Rev'!G59</f>
        <v>0</v>
      </c>
      <c r="H82" s="43">
        <f>-'R4 - Incentives and Other Rev'!H59</f>
        <v>0</v>
      </c>
      <c r="I82" s="34"/>
      <c r="J82" s="18">
        <f>SUM(D82:INDEX(D82:H82,0,MATCH('RFPR cover'!$C$9,$D$6:$H$6,0)))</f>
        <v>0</v>
      </c>
      <c r="K82" s="18">
        <f t="shared" si="24"/>
        <v>0</v>
      </c>
      <c r="L82" s="34"/>
    </row>
    <row r="83" spans="1:12">
      <c r="A83" s="319" t="s">
        <v>550</v>
      </c>
      <c r="B83" s="234" t="str">
        <f>'R4 - Incentives and Other Rev'!B66</f>
        <v/>
      </c>
      <c r="C83" s="326" t="str">
        <f>Data!$C$9</f>
        <v>£m 20/21</v>
      </c>
      <c r="D83" s="44">
        <f>'R4 - Incentives and Other Rev'!D66</f>
        <v>0</v>
      </c>
      <c r="E83" s="44">
        <f>'R4 - Incentives and Other Rev'!E66</f>
        <v>0</v>
      </c>
      <c r="F83" s="44">
        <f>'R4 - Incentives and Other Rev'!F66</f>
        <v>0</v>
      </c>
      <c r="G83" s="44">
        <f>'R4 - Incentives and Other Rev'!G66</f>
        <v>0</v>
      </c>
      <c r="H83" s="44">
        <f>'R4 - Incentives and Other Rev'!H66</f>
        <v>0</v>
      </c>
      <c r="I83" s="34"/>
      <c r="J83" s="18">
        <f>SUM(D83:INDEX(D83:H83,0,MATCH('RFPR cover'!$C$9,$D$6:$H$6,0)))</f>
        <v>0</v>
      </c>
      <c r="K83" s="18">
        <f t="shared" si="23"/>
        <v>0</v>
      </c>
      <c r="L83" s="34"/>
    </row>
    <row r="84" spans="1:12">
      <c r="A84" s="319" t="s">
        <v>551</v>
      </c>
      <c r="B84" s="234" t="str">
        <f>'R4 - Incentives and Other Rev'!B67</f>
        <v/>
      </c>
      <c r="C84" s="326" t="str">
        <f>Data!$C$9</f>
        <v>£m 20/21</v>
      </c>
      <c r="D84" s="44">
        <f>'R4 - Incentives and Other Rev'!D67</f>
        <v>0</v>
      </c>
      <c r="E84" s="44">
        <f>'R4 - Incentives and Other Rev'!E67</f>
        <v>0</v>
      </c>
      <c r="F84" s="44">
        <f>'R4 - Incentives and Other Rev'!F67</f>
        <v>0</v>
      </c>
      <c r="G84" s="44">
        <f>'R4 - Incentives and Other Rev'!G67</f>
        <v>0</v>
      </c>
      <c r="H84" s="44">
        <f>'R4 - Incentives and Other Rev'!H67</f>
        <v>0</v>
      </c>
      <c r="I84" s="34"/>
      <c r="J84" s="18">
        <f>SUM(D84:INDEX(D84:H84,0,MATCH('RFPR cover'!$C$9,$D$6:$H$6,0)))</f>
        <v>0</v>
      </c>
      <c r="K84" s="18">
        <f t="shared" si="23"/>
        <v>0</v>
      </c>
      <c r="L84" s="34"/>
    </row>
    <row r="85" spans="1:12">
      <c r="A85" s="319" t="s">
        <v>552</v>
      </c>
      <c r="B85" s="234" t="str">
        <f>'R4 - Incentives and Other Rev'!B68</f>
        <v/>
      </c>
      <c r="C85" s="326" t="str">
        <f>Data!$C$9</f>
        <v>£m 20/21</v>
      </c>
      <c r="D85" s="44">
        <f>'R4 - Incentives and Other Rev'!D68</f>
        <v>0</v>
      </c>
      <c r="E85" s="44">
        <f>'R4 - Incentives and Other Rev'!E68</f>
        <v>0</v>
      </c>
      <c r="F85" s="44">
        <f>'R4 - Incentives and Other Rev'!F68</f>
        <v>0</v>
      </c>
      <c r="G85" s="44">
        <f>'R4 - Incentives and Other Rev'!G68</f>
        <v>0</v>
      </c>
      <c r="H85" s="44">
        <f>'R4 - Incentives and Other Rev'!H68</f>
        <v>0</v>
      </c>
      <c r="I85" s="34"/>
      <c r="J85" s="18">
        <f>SUM(D85:INDEX(D85:H85,0,MATCH('RFPR cover'!$C$9,$D$6:$H$6,0)))</f>
        <v>0</v>
      </c>
      <c r="K85" s="18">
        <f t="shared" si="23"/>
        <v>0</v>
      </c>
      <c r="L85" s="34"/>
    </row>
    <row r="86" spans="1:12">
      <c r="A86" s="319" t="s">
        <v>553</v>
      </c>
      <c r="B86" s="234" t="str">
        <f>'R4 - Incentives and Other Rev'!B69</f>
        <v/>
      </c>
      <c r="C86" s="326" t="str">
        <f>Data!$C$9</f>
        <v>£m 20/21</v>
      </c>
      <c r="D86" s="44">
        <f>'R4 - Incentives and Other Rev'!D69</f>
        <v>0</v>
      </c>
      <c r="E86" s="44">
        <f>'R4 - Incentives and Other Rev'!E69</f>
        <v>0</v>
      </c>
      <c r="F86" s="44">
        <f>'R4 - Incentives and Other Rev'!F69</f>
        <v>0</v>
      </c>
      <c r="G86" s="44">
        <f>'R4 - Incentives and Other Rev'!G69</f>
        <v>0</v>
      </c>
      <c r="H86" s="44">
        <f>'R4 - Incentives and Other Rev'!H69</f>
        <v>0</v>
      </c>
      <c r="I86" s="34"/>
      <c r="J86" s="18">
        <f>SUM(D86:INDEX(D86:H86,0,MATCH('RFPR cover'!$C$9,$D$6:$H$6,0)))</f>
        <v>0</v>
      </c>
      <c r="K86" s="18">
        <f>SUM(D86:H86)</f>
        <v>0</v>
      </c>
      <c r="L86" s="34"/>
    </row>
    <row r="87" spans="1:12">
      <c r="A87" s="319" t="s">
        <v>554</v>
      </c>
      <c r="B87" s="234" t="str">
        <f>'R4 - Incentives and Other Rev'!B70</f>
        <v/>
      </c>
      <c r="C87" s="326" t="str">
        <f>Data!$C$9</f>
        <v>£m 20/21</v>
      </c>
      <c r="D87" s="44">
        <f>'R4 - Incentives and Other Rev'!D70</f>
        <v>0</v>
      </c>
      <c r="E87" s="44">
        <f>'R4 - Incentives and Other Rev'!E70</f>
        <v>0</v>
      </c>
      <c r="F87" s="44">
        <f>'R4 - Incentives and Other Rev'!F70</f>
        <v>0</v>
      </c>
      <c r="G87" s="44">
        <f>'R4 - Incentives and Other Rev'!G70</f>
        <v>0</v>
      </c>
      <c r="H87" s="44">
        <f>'R4 - Incentives and Other Rev'!H70</f>
        <v>0</v>
      </c>
      <c r="I87" s="34"/>
      <c r="J87" s="18">
        <f>SUM(D87:INDEX(D87:H87,0,MATCH('RFPR cover'!$C$9,$D$6:$H$6,0)))</f>
        <v>0</v>
      </c>
      <c r="K87" s="18">
        <f>SUM(D87:H87)</f>
        <v>0</v>
      </c>
      <c r="L87" s="34"/>
    </row>
    <row r="88" spans="1:12" ht="13.5" thickBot="1">
      <c r="B88" s="325" t="s">
        <v>562</v>
      </c>
      <c r="C88" s="326" t="str">
        <f>Data!$C$9</f>
        <v>£m 20/21</v>
      </c>
      <c r="D88" s="44">
        <f>-'R10 - Pensions &amp; Oth Activities'!D54</f>
        <v>-1.7745273861516453E-3</v>
      </c>
      <c r="E88" s="44">
        <f>-'R10 - Pensions &amp; Oth Activities'!E54</f>
        <v>-3.2614146856316064</v>
      </c>
      <c r="F88" s="44">
        <f>-'R10 - Pensions &amp; Oth Activities'!F54</f>
        <v>-4.816806093060419E-2</v>
      </c>
      <c r="G88" s="44">
        <f>-'R10 - Pensions &amp; Oth Activities'!G54</f>
        <v>0</v>
      </c>
      <c r="H88" s="44">
        <f>-'R10 - Pensions &amp; Oth Activities'!H54</f>
        <v>0</v>
      </c>
      <c r="I88" s="34"/>
      <c r="J88" s="137">
        <f>SUM(D88:INDEX(D88:H88,0,MATCH('RFPR cover'!$C$9,$D$6:$H$6,0)))</f>
        <v>-3.3113572739483623</v>
      </c>
      <c r="K88" s="137">
        <f t="shared" si="23"/>
        <v>-3.3113572739483623</v>
      </c>
      <c r="L88" s="34"/>
    </row>
    <row r="89" spans="1:12" ht="13.5" thickBot="1">
      <c r="B89" s="328" t="s">
        <v>563</v>
      </c>
      <c r="C89" s="329" t="str">
        <f>Data!$C$9</f>
        <v>£m 20/21</v>
      </c>
      <c r="D89" s="142">
        <f>SUM(D69:D88)</f>
        <v>27.776590315833126</v>
      </c>
      <c r="E89" s="144">
        <f>SUM(E69:E88)</f>
        <v>27.939408344328353</v>
      </c>
      <c r="F89" s="144">
        <f>SUM(F69:F88)</f>
        <v>30.962942150873239</v>
      </c>
      <c r="G89" s="144">
        <f>SUM(G69:G88)</f>
        <v>34.912361105813133</v>
      </c>
      <c r="H89" s="143">
        <f>SUM(H69:H88)</f>
        <v>36.945076810740169</v>
      </c>
      <c r="I89" s="78"/>
      <c r="J89" s="142">
        <f>SUM(J69:J88)</f>
        <v>86.678940811034693</v>
      </c>
      <c r="K89" s="143">
        <f>SUM(K69:K88)</f>
        <v>158.53637872758802</v>
      </c>
      <c r="L89" s="34"/>
    </row>
    <row r="90" spans="1:12">
      <c r="B90" s="325" t="s">
        <v>564</v>
      </c>
      <c r="C90" s="326" t="str">
        <f>Data!$C$9</f>
        <v>£m 20/21</v>
      </c>
      <c r="D90" s="44">
        <f>IFERROR('R5 - Financing'!D85,0)</f>
        <v>49.706729159816241</v>
      </c>
      <c r="E90" s="44">
        <f>IFERROR('R5 - Financing'!E85,0)</f>
        <v>20.310677342589326</v>
      </c>
      <c r="F90" s="44">
        <f>IFERROR('R5 - Financing'!F85,0)</f>
        <v>22.904399850036196</v>
      </c>
      <c r="G90" s="44">
        <f>IFERROR('R5 - Financing'!G85,0)</f>
        <v>21.152624877020038</v>
      </c>
      <c r="H90" s="44">
        <f>IFERROR('R5 - Financing'!H85,0)</f>
        <v>9.2639543442016379</v>
      </c>
      <c r="I90" s="34"/>
      <c r="J90" s="141">
        <f>SUM(D90:INDEX(D90:H90,0,MATCH('RFPR cover'!$C$9,$D$6:$H$6,0)))</f>
        <v>92.921806352441763</v>
      </c>
      <c r="K90" s="141">
        <f>SUM(D90:H90)</f>
        <v>123.33838557366343</v>
      </c>
      <c r="L90" s="34"/>
    </row>
    <row r="91" spans="1:12">
      <c r="B91" s="325" t="s">
        <v>565</v>
      </c>
      <c r="C91" s="326" t="str">
        <f>Data!$C$9</f>
        <v>£m 20/21</v>
      </c>
      <c r="D91" s="44">
        <f>IFERROR('R5 - Financing'!D87,0)</f>
        <v>-2.682641605873485</v>
      </c>
      <c r="E91" s="44">
        <f>IFERROR('R5 - Financing'!E87,0)</f>
        <v>0.42760593052819473</v>
      </c>
      <c r="F91" s="44">
        <f>IFERROR('R5 - Financing'!F87,0)</f>
        <v>0.29180337014527424</v>
      </c>
      <c r="G91" s="44">
        <f>IFERROR('R5 - Financing'!G87,0)</f>
        <v>5.526694880237315E-2</v>
      </c>
      <c r="H91" s="44">
        <f>IFERROR('R5 - Financing'!H87,0)</f>
        <v>-0.38840328730277562</v>
      </c>
      <c r="I91" s="34"/>
      <c r="J91" s="18">
        <f>SUM(D91:INDEX(D91:H91,0,MATCH('RFPR cover'!$C$9,$D$6:$H$6,0)))</f>
        <v>-1.963232305200016</v>
      </c>
      <c r="K91" s="18">
        <f>SUM(D91:H91)</f>
        <v>-2.2963686437004185</v>
      </c>
      <c r="L91" s="34"/>
    </row>
    <row r="92" spans="1:12">
      <c r="B92" s="325" t="s">
        <v>566</v>
      </c>
      <c r="C92" s="326" t="str">
        <f>Data!$C$9</f>
        <v>£m 20/21</v>
      </c>
      <c r="D92" s="44">
        <f>IFERROR('R8 - Tax'!E62,0)</f>
        <v>0.15286190635148067</v>
      </c>
      <c r="E92" s="44">
        <f>IFERROR('R8 - Tax'!F62,0)</f>
        <v>-8.0153016210615124</v>
      </c>
      <c r="F92" s="44">
        <f>IFERROR('R8 - Tax'!G62,0)</f>
        <v>0.47530472908875865</v>
      </c>
      <c r="G92" s="44">
        <f>IFERROR('R8 - Tax'!H62,0)</f>
        <v>2.0495290966668911E-2</v>
      </c>
      <c r="H92" s="44">
        <f>IFERROR('R8 - Tax'!I62,0)</f>
        <v>-0.8286511836579904</v>
      </c>
      <c r="I92" s="34"/>
      <c r="J92" s="18">
        <f>SUM(D92:INDEX(D92:H92,0,MATCH('RFPR cover'!$C$9,$D$6:$H$6,0)))</f>
        <v>-7.3871349856212731</v>
      </c>
      <c r="K92" s="18">
        <f>SUM(D92:H92)</f>
        <v>-8.1952908783125942</v>
      </c>
      <c r="L92" s="34"/>
    </row>
    <row r="93" spans="1:12" ht="13.5" thickBot="1">
      <c r="B93" s="325" t="s">
        <v>567</v>
      </c>
      <c r="C93" s="326" t="str">
        <f>Data!$C$9</f>
        <v>£m 20/21</v>
      </c>
      <c r="D93" s="44">
        <f>IFERROR('R8 - Tax'!E64,0)</f>
        <v>0.67066040146837125</v>
      </c>
      <c r="E93" s="44">
        <f>IFERROR('R8 - Tax'!F64,0)</f>
        <v>-0.10690148263205046</v>
      </c>
      <c r="F93" s="44">
        <f>IFERROR('R8 - Tax'!G64,0)</f>
        <v>-7.2950842536317673E-2</v>
      </c>
      <c r="G93" s="44">
        <f>IFERROR('R8 - Tax'!H64,0)</f>
        <v>-1.3816737200593288E-2</v>
      </c>
      <c r="H93" s="44">
        <f>IFERROR('R8 - Tax'!I64,0)</f>
        <v>9.7100821825693906E-2</v>
      </c>
      <c r="I93" s="34"/>
      <c r="J93" s="137">
        <f>SUM(D93:INDEX(D93:H93,0,MATCH('RFPR cover'!$C$9,$D$6:$H$6,0)))</f>
        <v>0.49080807630000312</v>
      </c>
      <c r="K93" s="137">
        <f>SUM(D93:H93)</f>
        <v>0.57409216092510373</v>
      </c>
      <c r="L93" s="34"/>
    </row>
    <row r="94" spans="1:12" ht="13.5" thickBot="1">
      <c r="B94" s="328" t="s">
        <v>568</v>
      </c>
      <c r="C94" s="329" t="str">
        <f>Data!$C$9</f>
        <v>£m 20/21</v>
      </c>
      <c r="D94" s="226">
        <f>IF(OR(Licensee=Data!$B$86,Licensee=Data!$B$89),"N/A",SUM(D89:D93))</f>
        <v>75.624200177595725</v>
      </c>
      <c r="E94" s="226">
        <f>IF(OR(Licensee=Data!$B$86,Licensee=Data!$B$89),"N/A",SUM(E89:E93))</f>
        <v>40.555488513752309</v>
      </c>
      <c r="F94" s="226">
        <f>IF(OR(Licensee=Data!$B$86,Licensee=Data!$B$89),"N/A",SUM(F89:F93))</f>
        <v>54.561499257607153</v>
      </c>
      <c r="G94" s="226">
        <f>IF(OR(Licensee=Data!$B$86,Licensee=Data!$B$89),"N/A",SUM(G89:G93))</f>
        <v>56.126931485401627</v>
      </c>
      <c r="H94" s="226">
        <f>IF(OR(Licensee=Data!$B$86,Licensee=Data!$B$89),"N/A",SUM(H89:H93))</f>
        <v>45.089077505806735</v>
      </c>
      <c r="I94" s="78"/>
      <c r="J94" s="142">
        <f>SUM(J89:J93)</f>
        <v>170.74118794895517</v>
      </c>
      <c r="K94" s="143">
        <f>SUM(K89:K93)</f>
        <v>271.9571969401635</v>
      </c>
      <c r="L94" s="34"/>
    </row>
    <row r="95" spans="1:12">
      <c r="D95" s="145"/>
      <c r="I95" s="34"/>
      <c r="L95" s="34"/>
    </row>
    <row r="96" spans="1:12">
      <c r="B96" s="330" t="s">
        <v>569</v>
      </c>
      <c r="C96" s="326" t="str">
        <f>Data!$C$9</f>
        <v>£m 20/21</v>
      </c>
      <c r="D96" s="42">
        <f>'R7 - RAV'!F40</f>
        <v>510.58117651015021</v>
      </c>
      <c r="E96" s="32">
        <f>'R7 - RAV'!G40</f>
        <v>528.95409717775772</v>
      </c>
      <c r="F96" s="32">
        <f>'R7 - RAV'!H40</f>
        <v>554.8700860078178</v>
      </c>
      <c r="G96" s="32">
        <f>'R7 - RAV'!I40</f>
        <v>582.82746480054936</v>
      </c>
      <c r="H96" s="32">
        <f>'R7 - RAV'!J40</f>
        <v>613.70603238734498</v>
      </c>
      <c r="I96" s="34"/>
      <c r="L96" s="34"/>
    </row>
    <row r="97" spans="2:23">
      <c r="B97" s="325" t="s">
        <v>570</v>
      </c>
      <c r="C97" s="326" t="str">
        <f>Data!$C$9</f>
        <v>£m 20/21</v>
      </c>
      <c r="D97" s="45">
        <f>IFERROR('R6 - Net Debt'!D73,0)</f>
        <v>589.71011343734187</v>
      </c>
      <c r="E97" s="45">
        <f>IFERROR('R6 - Net Debt'!E73,0)</f>
        <v>599.03663332612086</v>
      </c>
      <c r="F97" s="45">
        <f>IFERROR('R6 - Net Debt'!F73,0)</f>
        <v>621.4802153280873</v>
      </c>
      <c r="G97" s="45">
        <f>IFERROR('R6 - Net Debt'!G73,0)</f>
        <v>589.90880465881071</v>
      </c>
      <c r="H97" s="45">
        <f>IFERROR('R6 - Net Debt'!H73,0)</f>
        <v>596.00031248183575</v>
      </c>
      <c r="I97" s="34"/>
      <c r="L97" s="34"/>
    </row>
    <row r="98" spans="2:23">
      <c r="L98" s="34"/>
    </row>
    <row r="99" spans="2:23">
      <c r="L99" s="34"/>
    </row>
    <row r="100" spans="2:23">
      <c r="L100" s="34"/>
      <c r="S100" s="101"/>
      <c r="T100" s="101"/>
      <c r="U100" s="101"/>
      <c r="V100" s="101"/>
      <c r="W100" s="101"/>
    </row>
    <row r="101" spans="2:23">
      <c r="S101" s="101"/>
      <c r="T101" s="101"/>
      <c r="U101" s="101"/>
      <c r="V101" s="101"/>
      <c r="W101" s="101"/>
    </row>
    <row r="105" spans="2:23">
      <c r="M105" s="101"/>
      <c r="N105" s="101"/>
      <c r="O105" s="101"/>
      <c r="P105" s="101"/>
      <c r="Q105" s="101"/>
    </row>
    <row r="107" spans="2:23">
      <c r="M107" s="101"/>
      <c r="N107" s="101"/>
      <c r="O107" s="101"/>
      <c r="P107" s="101"/>
      <c r="Q107" s="101"/>
    </row>
  </sheetData>
  <sheetProtection sort="0" autoFilter="0" pivotTables="0"/>
  <phoneticPr fontId="250" type="noConversion"/>
  <conditionalFormatting sqref="D6:G6">
    <cfRule type="expression" dxfId="104" priority="8">
      <formula>AND(D$5="Actuals",E$5="Forecast")</formula>
    </cfRule>
  </conditionalFormatting>
  <conditionalFormatting sqref="D7:H7">
    <cfRule type="expression" dxfId="103" priority="2">
      <formula>AND(D$5="Actuals",E$5="Forecast")</formula>
    </cfRule>
  </conditionalFormatting>
  <conditionalFormatting sqref="H6">
    <cfRule type="expression" dxfId="102"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Footer>&amp;C_x000D_&amp;1#&amp;"Calibri"&amp;10&amp;K000000 OFFICIAL-InternalOnly</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T144"/>
  <sheetViews>
    <sheetView zoomScale="80" zoomScaleNormal="80" workbookViewId="0">
      <selection activeCell="G102" sqref="G102:G103"/>
    </sheetView>
  </sheetViews>
  <sheetFormatPr defaultColWidth="9" defaultRowHeight="12.75" outlineLevelCol="1"/>
  <cols>
    <col min="1" max="1" width="9.75" style="101" customWidth="1"/>
    <col min="2" max="2" width="67.5" style="77" customWidth="1"/>
    <col min="3" max="3" width="50.25" style="77" customWidth="1"/>
    <col min="4" max="4" width="14.5" style="29" customWidth="1"/>
    <col min="5" max="5" width="10.375" style="101" customWidth="1"/>
    <col min="6" max="9" width="11.125" style="101" customWidth="1"/>
    <col min="10" max="10" width="5" style="101" customWidth="1"/>
    <col min="11" max="20" width="9.25" style="101" customWidth="1" outlineLevel="1"/>
    <col min="21" max="16384" width="9" style="101"/>
  </cols>
  <sheetData>
    <row r="1" spans="1:14" ht="20.25">
      <c r="A1" s="826" t="s">
        <v>571</v>
      </c>
      <c r="B1" s="853"/>
      <c r="C1" s="853"/>
      <c r="D1" s="854"/>
      <c r="E1" s="855"/>
      <c r="F1" s="855"/>
      <c r="G1" s="855"/>
      <c r="H1" s="855"/>
      <c r="I1" s="855"/>
      <c r="J1" s="331"/>
    </row>
    <row r="2" spans="1:14" ht="20.25">
      <c r="A2" s="827" t="str">
        <f t="shared" ref="A2" si="0">Licensee</f>
        <v>NGED-SWALES</v>
      </c>
      <c r="B2" s="283"/>
      <c r="C2" s="283"/>
      <c r="D2" s="332"/>
      <c r="E2" s="285"/>
      <c r="F2" s="285"/>
      <c r="G2" s="285"/>
      <c r="H2" s="285"/>
      <c r="I2" s="285"/>
      <c r="J2" s="287"/>
    </row>
    <row r="3" spans="1:14" ht="20.25">
      <c r="A3" s="828">
        <f>Reporting_Year</f>
        <v>2026</v>
      </c>
      <c r="B3" s="333"/>
      <c r="C3" s="333"/>
      <c r="D3" s="334"/>
      <c r="E3" s="288"/>
      <c r="F3" s="288"/>
      <c r="G3" s="288"/>
      <c r="H3" s="288"/>
      <c r="I3" s="288"/>
      <c r="J3" s="290"/>
    </row>
    <row r="4" spans="1:14" s="292" customFormat="1" ht="12.75" customHeight="1">
      <c r="B4" s="335"/>
      <c r="C4" s="335"/>
      <c r="D4" s="29"/>
    </row>
    <row r="5" spans="1:14" s="292" customFormat="1">
      <c r="B5" s="335"/>
      <c r="C5" s="335"/>
      <c r="D5" s="29"/>
      <c r="E5" s="291" t="str">
        <f>IF(E6&lt;=Reporting_Year,"Actuals","Forecast")</f>
        <v>Actuals</v>
      </c>
      <c r="F5" s="291" t="str">
        <f>IF(F6&lt;=Reporting_Year,"Actuals","Forecast")</f>
        <v>Actuals</v>
      </c>
      <c r="G5" s="291" t="str">
        <f>IF(G6&lt;=Reporting_Year,"Actuals","Forecast")</f>
        <v>Actuals</v>
      </c>
      <c r="H5" s="291" t="str">
        <f>IF(H6&lt;=Reporting_Year,"Actuals","Forecast")</f>
        <v>Forecast</v>
      </c>
      <c r="I5" s="291" t="str">
        <f>IF(I6&lt;=Reporting_Year,"Actuals","Forecast")</f>
        <v>Forecast</v>
      </c>
    </row>
    <row r="6" spans="1:14" s="292" customFormat="1">
      <c r="B6" s="335"/>
      <c r="C6" s="335"/>
      <c r="D6" s="29"/>
      <c r="E6" s="293">
        <f>RIIO_2_start_date</f>
        <v>2024</v>
      </c>
      <c r="F6" s="293">
        <f>E6+1</f>
        <v>2025</v>
      </c>
      <c r="G6" s="293">
        <f>F6+1</f>
        <v>2026</v>
      </c>
      <c r="H6" s="293">
        <f t="shared" ref="H6:I6" si="1">G6+1</f>
        <v>2027</v>
      </c>
      <c r="I6" s="293">
        <f t="shared" si="1"/>
        <v>2028</v>
      </c>
    </row>
    <row r="7" spans="1:14" s="292" customFormat="1">
      <c r="B7" s="75"/>
      <c r="C7" s="75"/>
      <c r="D7" s="29"/>
      <c r="E7" s="296" t="str">
        <f>RIIO_2_start_date-1&amp;"/"&amp;RIGHT(RIIO_2_start_date,2)</f>
        <v>2023/24</v>
      </c>
      <c r="F7" s="296" t="str">
        <f>RIIO_2_start_date&amp;"/"&amp;RIGHT(RIIO_2_start_date+1,2)</f>
        <v>2024/25</v>
      </c>
      <c r="G7" s="296" t="str">
        <f>RIIO_2_start_date+1&amp;"/"&amp;RIGHT(RIIO_2_start_date+2,2)</f>
        <v>2025/26</v>
      </c>
      <c r="H7" s="296" t="str">
        <f>RIIO_2_start_date+2&amp;"/"&amp;RIGHT(RIIO_2_start_date+3,2)</f>
        <v>2026/27</v>
      </c>
      <c r="I7" s="296" t="str">
        <f>RIIO_2_start_date+3&amp;"/"&amp;RIGHT(RIIO_2_start_date+4,2)</f>
        <v>2027/28</v>
      </c>
    </row>
    <row r="8" spans="1:14" s="292" customFormat="1">
      <c r="B8" s="75"/>
      <c r="C8" s="75"/>
      <c r="D8" s="29"/>
      <c r="E8" s="336"/>
      <c r="F8" s="336"/>
      <c r="G8" s="336"/>
      <c r="H8" s="336"/>
      <c r="I8" s="336"/>
    </row>
    <row r="9" spans="1:14" s="292" customFormat="1">
      <c r="B9" s="337" t="s">
        <v>572</v>
      </c>
      <c r="C9" s="337"/>
      <c r="D9" s="338"/>
      <c r="E9" s="339"/>
      <c r="F9" s="339"/>
      <c r="G9" s="339"/>
      <c r="H9" s="339"/>
      <c r="I9" s="339"/>
      <c r="J9" s="340"/>
    </row>
    <row r="10" spans="1:14" s="292" customFormat="1">
      <c r="B10" s="75"/>
      <c r="C10" s="75"/>
      <c r="D10" s="29"/>
      <c r="E10" s="336"/>
      <c r="F10" s="336"/>
      <c r="G10" s="336"/>
      <c r="H10" s="336"/>
      <c r="I10" s="336"/>
    </row>
    <row r="11" spans="1:14" s="292" customFormat="1">
      <c r="B11" s="341" t="s">
        <v>573</v>
      </c>
      <c r="C11" s="75"/>
      <c r="D11" s="29"/>
    </row>
    <row r="12" spans="1:14" s="292" customFormat="1">
      <c r="B12" s="342"/>
      <c r="C12" s="75"/>
      <c r="D12" s="29"/>
    </row>
    <row r="13" spans="1:14" s="292" customFormat="1">
      <c r="B13" s="77" t="s">
        <v>574</v>
      </c>
      <c r="C13" s="294" t="str">
        <f>IF(Licensee="NGGT (SO)","SORt* x  PIt* / PI2018/19",IF(Sector="ED2","Rt* x  PIt* / PI2020/21","Rt* x  PIt* / PI2018/19"))</f>
        <v>Rt* x  PIt* / PI2020/21</v>
      </c>
      <c r="D13" s="28" t="s">
        <v>575</v>
      </c>
      <c r="E13" s="343">
        <v>285.8307948519913</v>
      </c>
      <c r="F13" s="343">
        <v>290.28497107883805</v>
      </c>
      <c r="G13" s="343">
        <v>296.94586707166235</v>
      </c>
      <c r="H13" s="343"/>
      <c r="I13" s="343"/>
      <c r="N13" s="294"/>
    </row>
    <row r="14" spans="1:14" s="292" customFormat="1">
      <c r="B14" s="77" t="s">
        <v>576</v>
      </c>
      <c r="C14" s="101" t="str">
        <f>IF(Licensee="NGGT (SO)","SOADJt*","ADJt*")</f>
        <v>ADJt*</v>
      </c>
      <c r="D14" s="28" t="s">
        <v>575</v>
      </c>
      <c r="E14" s="343"/>
      <c r="F14" s="343"/>
      <c r="G14" s="343"/>
      <c r="H14" s="343"/>
      <c r="I14" s="343"/>
    </row>
    <row r="15" spans="1:14" s="292" customFormat="1">
      <c r="B15" s="77" t="str">
        <f>IF(Sector="ED2","Calculated revenue","Adjusted revenue (as published)")</f>
        <v>Calculated revenue</v>
      </c>
      <c r="C15" s="101" t="str">
        <f>IF(Licensee="NGGT (SO)","SOADJRt*",IF(Sector="ED2"," ","ADJRt*"))</f>
        <v xml:space="preserve"> </v>
      </c>
      <c r="D15" s="28" t="s">
        <v>575</v>
      </c>
      <c r="E15" s="384">
        <f>SUM(E13:E14)</f>
        <v>285.8307948519913</v>
      </c>
      <c r="F15" s="384">
        <f t="shared" ref="F15:G15" si="2">SUM(F13:F14)</f>
        <v>290.28497107883805</v>
      </c>
      <c r="G15" s="384">
        <f t="shared" si="2"/>
        <v>296.94586707166235</v>
      </c>
      <c r="H15" s="384">
        <f t="shared" ref="H15:I15" si="3">SUM(H13:H14)</f>
        <v>0</v>
      </c>
      <c r="I15" s="384">
        <f t="shared" si="3"/>
        <v>0</v>
      </c>
    </row>
    <row r="16" spans="1:14" s="292" customFormat="1">
      <c r="B16" s="77" t="s">
        <v>577</v>
      </c>
      <c r="C16" s="101" t="str">
        <f>IF(OR(Licensee="ESO",Licensee="NGGT (SO)"),"SOLARt","LARt")</f>
        <v>LARt</v>
      </c>
      <c r="D16" s="28" t="s">
        <v>575</v>
      </c>
      <c r="E16" s="343">
        <v>-15.476988251258661</v>
      </c>
      <c r="F16" s="343">
        <v>19.041074555993937</v>
      </c>
      <c r="G16" s="343">
        <v>0.71954493776719741</v>
      </c>
      <c r="H16" s="343"/>
      <c r="I16" s="343"/>
    </row>
    <row r="17" spans="2:10" s="292" customFormat="1">
      <c r="B17" s="77" t="s">
        <v>578</v>
      </c>
      <c r="C17" s="101" t="str">
        <f>IF(Licensee="NGGT (SO)","SOKt","Kt")</f>
        <v>Kt</v>
      </c>
      <c r="D17" s="28" t="s">
        <v>575</v>
      </c>
      <c r="E17" s="343">
        <v>0.46195206746633743</v>
      </c>
      <c r="F17" s="343">
        <v>19.9518125827123</v>
      </c>
      <c r="G17" s="343">
        <v>-24.009796295923351</v>
      </c>
      <c r="H17" s="343"/>
      <c r="I17" s="343"/>
    </row>
    <row r="18" spans="2:10" s="292" customFormat="1">
      <c r="B18" s="77" t="s">
        <v>579</v>
      </c>
      <c r="C18" s="101" t="s">
        <v>580</v>
      </c>
      <c r="D18" s="28" t="s">
        <v>575</v>
      </c>
      <c r="E18" s="763">
        <v>0</v>
      </c>
      <c r="F18" s="763">
        <v>0</v>
      </c>
      <c r="G18" s="763">
        <v>0</v>
      </c>
      <c r="H18" s="763"/>
      <c r="I18" s="763"/>
    </row>
    <row r="19" spans="2:10" s="292" customFormat="1">
      <c r="B19" s="75" t="s">
        <v>581</v>
      </c>
      <c r="C19" s="75" t="str">
        <f>IF(Licensee="ESO","SOIARt",IF(Licensee="NGGT (SO)","SOARt","ARt"))</f>
        <v>ARt</v>
      </c>
      <c r="D19" s="29" t="s">
        <v>575</v>
      </c>
      <c r="E19" s="383">
        <f>SUM(E15:E18)</f>
        <v>270.81575866819895</v>
      </c>
      <c r="F19" s="383">
        <f t="shared" ref="F19:G19" si="4">SUM(F15:F18)</f>
        <v>329.27785821754429</v>
      </c>
      <c r="G19" s="383">
        <f t="shared" si="4"/>
        <v>273.65561571350617</v>
      </c>
      <c r="H19" s="383">
        <f t="shared" ref="H19:I19" si="5">SUM(H15:H18)</f>
        <v>0</v>
      </c>
      <c r="I19" s="383">
        <f t="shared" si="5"/>
        <v>0</v>
      </c>
    </row>
    <row r="20" spans="2:10" s="292" customFormat="1">
      <c r="B20" s="335"/>
      <c r="C20" s="335"/>
      <c r="D20" s="29"/>
      <c r="E20" s="344"/>
      <c r="F20" s="344"/>
      <c r="G20" s="344"/>
      <c r="H20" s="345"/>
      <c r="I20" s="345"/>
    </row>
    <row r="21" spans="2:10" s="292" customFormat="1">
      <c r="B21" s="335" t="s">
        <v>582</v>
      </c>
      <c r="C21" s="342"/>
      <c r="D21" s="29" t="s">
        <v>575</v>
      </c>
      <c r="E21" s="383">
        <f>IF(ISBLANK(E25),0,E25-E19)</f>
        <v>-18.591659696532275</v>
      </c>
      <c r="F21" s="383">
        <f t="shared" ref="F21:G21" si="6">IF(ISBLANK(F25),0,F25-F19)</f>
        <v>22.17373988912243</v>
      </c>
      <c r="G21" s="383">
        <f t="shared" si="6"/>
        <v>6.8982503631604573</v>
      </c>
      <c r="H21" s="383">
        <f t="shared" ref="H21:I21" si="7">IF(ISBLANK(H25),0,H25-H19)</f>
        <v>0</v>
      </c>
      <c r="I21" s="383">
        <f t="shared" si="7"/>
        <v>0</v>
      </c>
    </row>
    <row r="22" spans="2:10" s="292" customFormat="1">
      <c r="B22" s="335"/>
      <c r="C22" s="335"/>
      <c r="D22" s="29"/>
    </row>
    <row r="23" spans="2:10" s="292" customFormat="1">
      <c r="B23" s="335"/>
      <c r="C23" s="335"/>
      <c r="D23" s="29"/>
    </row>
    <row r="24" spans="2:10" s="292" customFormat="1">
      <c r="B24" s="335"/>
      <c r="C24" s="335"/>
      <c r="D24" s="29"/>
    </row>
    <row r="25" spans="2:10" s="292" customFormat="1">
      <c r="B25" s="342" t="s">
        <v>583</v>
      </c>
      <c r="C25" s="342" t="s">
        <v>584</v>
      </c>
      <c r="D25" s="29" t="s">
        <v>575</v>
      </c>
      <c r="E25" s="343">
        <v>252.22409897166668</v>
      </c>
      <c r="F25" s="343">
        <v>351.45159810666672</v>
      </c>
      <c r="G25" s="343">
        <v>280.55386607666662</v>
      </c>
      <c r="H25" s="343"/>
      <c r="I25" s="343"/>
    </row>
    <row r="26" spans="2:10" s="292" customFormat="1">
      <c r="B26" s="335"/>
      <c r="C26" s="335"/>
      <c r="D26" s="29"/>
    </row>
    <row r="27" spans="2:10" s="292" customFormat="1">
      <c r="B27" s="342" t="s">
        <v>585</v>
      </c>
      <c r="C27" s="342"/>
      <c r="D27" s="29"/>
      <c r="E27" s="29"/>
      <c r="F27" s="29"/>
      <c r="G27" s="29"/>
      <c r="H27" s="29"/>
      <c r="I27" s="29"/>
      <c r="J27" s="29"/>
    </row>
    <row r="28" spans="2:10" s="292" customFormat="1">
      <c r="B28" s="346" t="s">
        <v>586</v>
      </c>
      <c r="C28" s="346"/>
      <c r="D28" s="29" t="s">
        <v>575</v>
      </c>
      <c r="E28" s="347">
        <v>0</v>
      </c>
      <c r="F28" s="347">
        <v>0</v>
      </c>
      <c r="G28" s="347">
        <v>0</v>
      </c>
      <c r="H28" s="347"/>
      <c r="I28" s="347"/>
    </row>
    <row r="29" spans="2:10" s="292" customFormat="1">
      <c r="B29" s="346" t="s">
        <v>587</v>
      </c>
      <c r="C29" s="346"/>
      <c r="D29" s="29" t="s">
        <v>575</v>
      </c>
      <c r="E29" s="347">
        <v>0.62640000000000007</v>
      </c>
      <c r="F29" s="347">
        <v>0.58210000000000006</v>
      </c>
      <c r="G29" s="347">
        <v>0.59053529900000001</v>
      </c>
      <c r="H29" s="347"/>
      <c r="I29" s="347"/>
    </row>
    <row r="30" spans="2:10" s="292" customFormat="1">
      <c r="B30" s="346" t="s">
        <v>588</v>
      </c>
      <c r="C30" s="346"/>
      <c r="D30" s="29" t="s">
        <v>575</v>
      </c>
      <c r="E30" s="347">
        <v>28.566800000000001</v>
      </c>
      <c r="F30" s="347">
        <v>37.848100000000002</v>
      </c>
      <c r="G30" s="347">
        <v>46.702650724999998</v>
      </c>
      <c r="H30" s="347"/>
      <c r="I30" s="347"/>
    </row>
    <row r="31" spans="2:10" s="292" customFormat="1">
      <c r="B31" s="346" t="s">
        <v>589</v>
      </c>
      <c r="C31" s="346"/>
      <c r="D31" s="29" t="s">
        <v>575</v>
      </c>
      <c r="E31" s="347">
        <v>0</v>
      </c>
      <c r="F31" s="347">
        <v>0</v>
      </c>
      <c r="G31" s="347">
        <v>0</v>
      </c>
      <c r="H31" s="347"/>
      <c r="I31" s="347"/>
    </row>
    <row r="32" spans="2:10" s="292" customFormat="1">
      <c r="B32" s="346" t="s">
        <v>590</v>
      </c>
      <c r="C32" s="346"/>
      <c r="D32" s="29" t="s">
        <v>575</v>
      </c>
      <c r="E32" s="347">
        <v>0</v>
      </c>
      <c r="F32" s="347">
        <v>0</v>
      </c>
      <c r="G32" s="347">
        <v>0</v>
      </c>
      <c r="H32" s="347"/>
      <c r="I32" s="347"/>
    </row>
    <row r="33" spans="2:9" s="292" customFormat="1">
      <c r="B33" s="346" t="s">
        <v>591</v>
      </c>
      <c r="C33" s="346"/>
      <c r="D33" s="29" t="s">
        <v>575</v>
      </c>
      <c r="E33" s="347">
        <v>2.1511999999999998</v>
      </c>
      <c r="F33" s="347">
        <v>2.8237000000000001</v>
      </c>
      <c r="G33" s="347">
        <v>1.1338518399999999</v>
      </c>
      <c r="H33" s="347"/>
      <c r="I33" s="347"/>
    </row>
    <row r="34" spans="2:9" s="292" customFormat="1">
      <c r="B34" s="346" t="s">
        <v>592</v>
      </c>
      <c r="C34" s="346"/>
      <c r="D34" s="29" t="s">
        <v>575</v>
      </c>
      <c r="E34" s="347">
        <v>0</v>
      </c>
      <c r="F34" s="347">
        <v>0</v>
      </c>
      <c r="G34" s="347">
        <v>0</v>
      </c>
      <c r="H34" s="347"/>
      <c r="I34" s="347"/>
    </row>
    <row r="35" spans="2:9" s="292" customFormat="1">
      <c r="B35" s="162" t="s">
        <v>593</v>
      </c>
      <c r="C35" s="162"/>
      <c r="D35" s="29" t="s">
        <v>575</v>
      </c>
      <c r="E35" s="347">
        <v>0</v>
      </c>
      <c r="F35" s="347">
        <v>0</v>
      </c>
      <c r="G35" s="347">
        <v>0</v>
      </c>
      <c r="H35" s="347"/>
      <c r="I35" s="347"/>
    </row>
    <row r="36" spans="2:9" s="292" customFormat="1">
      <c r="B36" s="348" t="s">
        <v>594</v>
      </c>
      <c r="C36" s="349"/>
      <c r="D36" s="29" t="s">
        <v>575</v>
      </c>
      <c r="E36" s="347"/>
      <c r="F36" s="347"/>
      <c r="G36" s="347"/>
      <c r="H36" s="347"/>
      <c r="I36" s="347"/>
    </row>
    <row r="37" spans="2:9" s="292" customFormat="1">
      <c r="B37" s="342" t="s">
        <v>595</v>
      </c>
      <c r="C37" s="342"/>
      <c r="D37" s="29" t="s">
        <v>575</v>
      </c>
      <c r="E37" s="383">
        <f>SUM(E28:E36)</f>
        <v>31.3444</v>
      </c>
      <c r="F37" s="383">
        <f t="shared" ref="F37:I37" si="8">SUM(F28:F36)</f>
        <v>41.253900000000002</v>
      </c>
      <c r="G37" s="383">
        <f t="shared" si="8"/>
        <v>48.427037863999999</v>
      </c>
      <c r="H37" s="383">
        <f t="shared" si="8"/>
        <v>0</v>
      </c>
      <c r="I37" s="383">
        <f t="shared" si="8"/>
        <v>0</v>
      </c>
    </row>
    <row r="38" spans="2:9" s="292" customFormat="1">
      <c r="B38" s="335"/>
      <c r="C38" s="335"/>
      <c r="D38" s="29"/>
    </row>
    <row r="39" spans="2:9" s="292" customFormat="1">
      <c r="B39" s="342" t="s">
        <v>596</v>
      </c>
      <c r="D39" s="342"/>
      <c r="E39" s="350"/>
    </row>
    <row r="40" spans="2:9" s="292" customFormat="1">
      <c r="B40" s="874" t="s">
        <v>988</v>
      </c>
      <c r="C40" s="348"/>
      <c r="D40" s="29" t="s">
        <v>575</v>
      </c>
      <c r="E40" s="347">
        <v>0.72698447918999953</v>
      </c>
      <c r="F40" s="347">
        <v>0.84702391330000004</v>
      </c>
      <c r="G40" s="347">
        <v>0.95892430827999986</v>
      </c>
      <c r="H40" s="347"/>
      <c r="I40" s="347"/>
    </row>
    <row r="41" spans="2:9" s="292" customFormat="1">
      <c r="B41" s="874" t="s">
        <v>989</v>
      </c>
      <c r="C41" s="348"/>
      <c r="D41" s="29" t="s">
        <v>575</v>
      </c>
      <c r="E41" s="347">
        <v>-0.46724117999999998</v>
      </c>
      <c r="F41" s="347">
        <v>-0.48048978999999997</v>
      </c>
      <c r="G41" s="347">
        <v>-0.32410812</v>
      </c>
      <c r="H41" s="347"/>
      <c r="I41" s="347"/>
    </row>
    <row r="42" spans="2:9" s="292" customFormat="1">
      <c r="B42" s="874" t="s">
        <v>990</v>
      </c>
      <c r="C42" s="348"/>
      <c r="D42" s="29" t="s">
        <v>575</v>
      </c>
      <c r="E42" s="347">
        <v>-0.38660854</v>
      </c>
      <c r="F42" s="347">
        <v>-9.5919359999999995E-2</v>
      </c>
      <c r="G42" s="347">
        <v>-0.40085783000000003</v>
      </c>
      <c r="H42" s="347"/>
      <c r="I42" s="347"/>
    </row>
    <row r="43" spans="2:9" s="292" customFormat="1">
      <c r="B43" s="874" t="s">
        <v>991</v>
      </c>
      <c r="C43" s="348"/>
      <c r="D43" s="29" t="s">
        <v>575</v>
      </c>
      <c r="E43" s="347">
        <v>-23.975899999999999</v>
      </c>
      <c r="F43" s="347">
        <v>-33.271500000000003</v>
      </c>
      <c r="G43" s="347">
        <v>-43.2072</v>
      </c>
      <c r="H43" s="347"/>
      <c r="I43" s="347"/>
    </row>
    <row r="44" spans="2:9" s="292" customFormat="1">
      <c r="B44" s="874" t="s">
        <v>992</v>
      </c>
      <c r="C44" s="348"/>
      <c r="D44" s="29" t="s">
        <v>575</v>
      </c>
      <c r="E44" s="347">
        <v>8.3462999999999994</v>
      </c>
      <c r="F44" s="347">
        <v>8.757299999999999</v>
      </c>
      <c r="G44" s="347">
        <v>9.3125999999999998</v>
      </c>
      <c r="H44" s="347"/>
      <c r="I44" s="347"/>
    </row>
    <row r="45" spans="2:9" s="292" customFormat="1">
      <c r="B45" s="874" t="s">
        <v>993</v>
      </c>
      <c r="C45" s="348"/>
      <c r="D45" s="29" t="s">
        <v>575</v>
      </c>
      <c r="E45" s="347">
        <v>2.7028159143299035E-2</v>
      </c>
      <c r="F45" s="347">
        <v>-0.11511286996670833</v>
      </c>
      <c r="G45" s="347">
        <v>0</v>
      </c>
      <c r="H45" s="347"/>
      <c r="I45" s="347"/>
    </row>
    <row r="46" spans="2:9" s="292" customFormat="1">
      <c r="B46" s="348" t="s">
        <v>597</v>
      </c>
      <c r="C46" s="348"/>
      <c r="D46" s="29" t="s">
        <v>575</v>
      </c>
      <c r="E46" s="347"/>
      <c r="F46" s="347"/>
      <c r="G46" s="347"/>
      <c r="H46" s="347"/>
      <c r="I46" s="347"/>
    </row>
    <row r="47" spans="2:9" s="292" customFormat="1">
      <c r="B47" s="348" t="s">
        <v>597</v>
      </c>
      <c r="C47" s="348"/>
      <c r="D47" s="29" t="s">
        <v>575</v>
      </c>
      <c r="E47" s="347"/>
      <c r="F47" s="347"/>
      <c r="G47" s="347"/>
      <c r="H47" s="347"/>
      <c r="I47" s="347"/>
    </row>
    <row r="48" spans="2:9" s="292" customFormat="1">
      <c r="B48" s="348" t="s">
        <v>597</v>
      </c>
      <c r="C48" s="348"/>
      <c r="D48" s="29" t="s">
        <v>575</v>
      </c>
      <c r="E48" s="347"/>
      <c r="F48" s="347"/>
      <c r="G48" s="347"/>
      <c r="H48" s="347"/>
      <c r="I48" s="347"/>
    </row>
    <row r="49" spans="2:10" s="292" customFormat="1">
      <c r="B49" s="348" t="s">
        <v>597</v>
      </c>
      <c r="C49" s="348"/>
      <c r="D49" s="29" t="s">
        <v>575</v>
      </c>
      <c r="E49" s="347"/>
      <c r="F49" s="347"/>
      <c r="G49" s="347"/>
      <c r="H49" s="347"/>
      <c r="I49" s="347"/>
    </row>
    <row r="50" spans="2:10" s="292" customFormat="1">
      <c r="B50" s="348" t="s">
        <v>597</v>
      </c>
      <c r="C50" s="348"/>
      <c r="D50" s="29" t="s">
        <v>575</v>
      </c>
      <c r="E50" s="347"/>
      <c r="F50" s="347"/>
      <c r="G50" s="347"/>
      <c r="H50" s="347"/>
      <c r="I50" s="347"/>
    </row>
    <row r="51" spans="2:10" s="292" customFormat="1">
      <c r="B51" s="348" t="s">
        <v>597</v>
      </c>
      <c r="C51" s="348"/>
      <c r="D51" s="29" t="s">
        <v>575</v>
      </c>
      <c r="E51" s="347"/>
      <c r="F51" s="347"/>
      <c r="G51" s="347"/>
      <c r="H51" s="347"/>
      <c r="I51" s="347"/>
    </row>
    <row r="52" spans="2:10" s="292" customFormat="1">
      <c r="B52" s="348" t="s">
        <v>597</v>
      </c>
      <c r="C52" s="348"/>
      <c r="D52" s="29" t="s">
        <v>575</v>
      </c>
      <c r="E52" s="347"/>
      <c r="F52" s="347"/>
      <c r="G52" s="347"/>
      <c r="H52" s="347"/>
      <c r="I52" s="347"/>
    </row>
    <row r="53" spans="2:10" s="292" customFormat="1">
      <c r="B53" s="348" t="s">
        <v>597</v>
      </c>
      <c r="C53" s="348"/>
      <c r="D53" s="29" t="s">
        <v>575</v>
      </c>
      <c r="E53" s="347"/>
      <c r="F53" s="347"/>
      <c r="G53" s="347"/>
      <c r="H53" s="347"/>
      <c r="I53" s="347"/>
    </row>
    <row r="54" spans="2:10" s="292" customFormat="1">
      <c r="B54" s="348" t="s">
        <v>597</v>
      </c>
      <c r="C54" s="348"/>
      <c r="D54" s="29" t="s">
        <v>575</v>
      </c>
      <c r="E54" s="347"/>
      <c r="F54" s="347"/>
      <c r="G54" s="347"/>
      <c r="H54" s="347"/>
      <c r="I54" s="347"/>
    </row>
    <row r="55" spans="2:10" s="292" customFormat="1">
      <c r="B55" s="348" t="s">
        <v>597</v>
      </c>
      <c r="C55" s="348"/>
      <c r="D55" s="29" t="s">
        <v>575</v>
      </c>
      <c r="E55" s="347"/>
      <c r="F55" s="347"/>
      <c r="G55" s="347"/>
      <c r="H55" s="347"/>
      <c r="I55" s="347"/>
    </row>
    <row r="56" spans="2:10" s="292" customFormat="1">
      <c r="B56" s="342" t="s">
        <v>598</v>
      </c>
      <c r="C56" s="342"/>
      <c r="D56" s="29" t="s">
        <v>575</v>
      </c>
      <c r="E56" s="383">
        <f t="shared" ref="E56:I56" si="9">SUM(E40:E55)</f>
        <v>-15.729437081666703</v>
      </c>
      <c r="F56" s="383">
        <f t="shared" si="9"/>
        <v>-24.358698106666708</v>
      </c>
      <c r="G56" s="383">
        <f t="shared" si="9"/>
        <v>-33.660641641720005</v>
      </c>
      <c r="H56" s="383">
        <f t="shared" si="9"/>
        <v>0</v>
      </c>
      <c r="I56" s="383">
        <f t="shared" si="9"/>
        <v>0</v>
      </c>
    </row>
    <row r="57" spans="2:10" s="292" customFormat="1">
      <c r="B57" s="335"/>
      <c r="C57" s="335"/>
      <c r="D57" s="29"/>
      <c r="E57" s="351"/>
      <c r="F57" s="351"/>
      <c r="G57" s="351"/>
      <c r="H57" s="351"/>
      <c r="I57" s="351"/>
    </row>
    <row r="58" spans="2:10" s="292" customFormat="1">
      <c r="B58" s="352" t="s">
        <v>599</v>
      </c>
      <c r="C58" s="352"/>
      <c r="D58" s="29" t="s">
        <v>575</v>
      </c>
      <c r="E58" s="383">
        <f>E25+E37+E56</f>
        <v>267.83906188999993</v>
      </c>
      <c r="F58" s="383">
        <f t="shared" ref="F58:I58" si="10">F25+F37+F56</f>
        <v>368.34680000000003</v>
      </c>
      <c r="G58" s="383">
        <f t="shared" si="10"/>
        <v>295.3202622989466</v>
      </c>
      <c r="H58" s="383">
        <f t="shared" si="10"/>
        <v>0</v>
      </c>
      <c r="I58" s="383">
        <f t="shared" si="10"/>
        <v>0</v>
      </c>
    </row>
    <row r="59" spans="2:10" s="292" customFormat="1">
      <c r="B59" s="353" t="s">
        <v>600</v>
      </c>
      <c r="C59" s="353"/>
      <c r="D59" s="29" t="s">
        <v>575</v>
      </c>
      <c r="E59" s="347">
        <v>267.8</v>
      </c>
      <c r="F59" s="347">
        <v>368.3</v>
      </c>
      <c r="G59" s="347">
        <v>295.37799999999999</v>
      </c>
      <c r="H59" s="347"/>
      <c r="I59" s="347"/>
    </row>
    <row r="60" spans="2:10" s="292" customFormat="1">
      <c r="B60" s="335" t="s">
        <v>601</v>
      </c>
      <c r="C60" s="335"/>
      <c r="D60" s="29"/>
      <c r="E60" s="385" t="str">
        <f>IF(ABS(E58-E59)&lt;Data!$F$7,"OK","Error")</f>
        <v>OK</v>
      </c>
      <c r="F60" s="385" t="str">
        <f>IF(ABS(F58-F59)&lt;Data!$F$7,"OK","Error")</f>
        <v>OK</v>
      </c>
      <c r="G60" s="385" t="str">
        <f>IF(ABS(G58-G59)&lt;Data!$F$7,"OK","Error")</f>
        <v>OK</v>
      </c>
      <c r="H60" s="385" t="str">
        <f>IF(ABS(H58-H59)&lt;Data!$F$7,"OK","Error")</f>
        <v>OK</v>
      </c>
      <c r="I60" s="385" t="str">
        <f>IF(ABS(I58-I59)&lt;Data!$F$7,"OK","Error")</f>
        <v>OK</v>
      </c>
    </row>
    <row r="61" spans="2:10" s="292" customFormat="1">
      <c r="B61" s="335"/>
      <c r="C61" s="335"/>
      <c r="D61" s="29"/>
      <c r="E61" s="354"/>
      <c r="F61" s="354"/>
      <c r="G61" s="354"/>
      <c r="H61" s="354"/>
      <c r="I61" s="354"/>
    </row>
    <row r="62" spans="2:10" s="292" customFormat="1">
      <c r="B62" s="335"/>
      <c r="C62" s="335"/>
      <c r="D62" s="29"/>
      <c r="G62" s="875"/>
    </row>
    <row r="63" spans="2:10" s="292" customFormat="1">
      <c r="B63" s="335"/>
      <c r="C63" s="335"/>
      <c r="D63" s="29"/>
    </row>
    <row r="64" spans="2:10" s="292" customFormat="1">
      <c r="B64" s="337" t="s">
        <v>602</v>
      </c>
      <c r="C64" s="337"/>
      <c r="D64" s="338"/>
      <c r="E64" s="339"/>
      <c r="F64" s="339"/>
      <c r="G64" s="339"/>
      <c r="H64" s="339"/>
      <c r="I64" s="339"/>
      <c r="J64" s="340"/>
    </row>
    <row r="65" spans="1:14" s="292" customFormat="1">
      <c r="A65" s="101"/>
      <c r="B65" s="77"/>
      <c r="C65" s="77"/>
      <c r="D65" s="29"/>
      <c r="E65" s="101"/>
      <c r="F65" s="101"/>
      <c r="G65" s="101"/>
      <c r="H65" s="101"/>
      <c r="I65" s="101"/>
      <c r="J65" s="101"/>
      <c r="K65" s="101"/>
      <c r="L65" s="101"/>
      <c r="M65" s="101"/>
      <c r="N65" s="101"/>
    </row>
    <row r="66" spans="1:14" s="292" customFormat="1">
      <c r="A66" s="101"/>
      <c r="B66" s="77"/>
      <c r="C66" s="77"/>
      <c r="D66" s="29"/>
      <c r="E66" s="291" t="str">
        <f>IF(E$6&lt;=Reporting_Year,"Actuals","N/A")</f>
        <v>Actuals</v>
      </c>
      <c r="F66" s="291" t="str">
        <f>IF(F$6&lt;=Reporting_Year,"Actuals","N/A")</f>
        <v>Actuals</v>
      </c>
      <c r="G66" s="291" t="str">
        <f>IF(G$6&lt;=Reporting_Year,"Actuals","N/A")</f>
        <v>Actuals</v>
      </c>
      <c r="H66" s="291" t="str">
        <f>IF(H$6&lt;=Reporting_Year,"Actuals","N/A")</f>
        <v>N/A</v>
      </c>
      <c r="I66" s="291" t="str">
        <f>IF(I$6&lt;=Reporting_Year,"Actuals","N/A")</f>
        <v>N/A</v>
      </c>
      <c r="J66" s="101"/>
      <c r="K66" s="101"/>
      <c r="L66" s="101"/>
      <c r="M66" s="101"/>
      <c r="N66" s="101"/>
    </row>
    <row r="67" spans="1:14" s="292" customFormat="1">
      <c r="A67" s="101"/>
      <c r="B67" s="77"/>
      <c r="C67" s="77"/>
      <c r="D67" s="29"/>
      <c r="E67" s="101"/>
      <c r="F67" s="101"/>
      <c r="G67" s="101"/>
      <c r="H67" s="101"/>
      <c r="I67" s="101"/>
      <c r="J67" s="101"/>
      <c r="K67" s="101"/>
      <c r="L67" s="101"/>
      <c r="M67" s="101"/>
      <c r="N67" s="101"/>
    </row>
    <row r="68" spans="1:14" s="292" customFormat="1">
      <c r="A68" s="101"/>
      <c r="B68" s="836" t="s">
        <v>603</v>
      </c>
      <c r="C68" s="77"/>
      <c r="D68" s="29" t="s">
        <v>575</v>
      </c>
      <c r="E68" s="386">
        <f t="shared" ref="E68:I68" si="11">E59</f>
        <v>267.8</v>
      </c>
      <c r="F68" s="386">
        <f t="shared" si="11"/>
        <v>368.3</v>
      </c>
      <c r="G68" s="386">
        <f t="shared" si="11"/>
        <v>295.37799999999999</v>
      </c>
      <c r="H68" s="386">
        <f t="shared" si="11"/>
        <v>0</v>
      </c>
      <c r="I68" s="386">
        <f t="shared" si="11"/>
        <v>0</v>
      </c>
      <c r="J68" s="101"/>
      <c r="K68" s="101"/>
      <c r="L68" s="101"/>
      <c r="M68" s="101"/>
      <c r="N68" s="101"/>
    </row>
    <row r="69" spans="1:14" s="292" customFormat="1">
      <c r="A69" s="101"/>
      <c r="B69" s="292" t="s">
        <v>604</v>
      </c>
      <c r="C69" s="77"/>
      <c r="D69" s="29" t="s">
        <v>575</v>
      </c>
      <c r="E69" s="386">
        <f>E25</f>
        <v>252.22409897166668</v>
      </c>
      <c r="F69" s="386">
        <f>F25</f>
        <v>351.45159810666672</v>
      </c>
      <c r="G69" s="386">
        <f t="shared" ref="G69:I69" si="12">G25</f>
        <v>280.55386607666662</v>
      </c>
      <c r="H69" s="386">
        <f t="shared" si="12"/>
        <v>0</v>
      </c>
      <c r="I69" s="386">
        <f t="shared" si="12"/>
        <v>0</v>
      </c>
      <c r="J69" s="101" t="s">
        <v>605</v>
      </c>
      <c r="K69" s="101"/>
      <c r="L69" s="101"/>
      <c r="M69" s="101"/>
      <c r="N69" s="101"/>
    </row>
    <row r="70" spans="1:14" s="292" customFormat="1">
      <c r="A70" s="101"/>
      <c r="B70" s="353"/>
      <c r="C70" s="77"/>
      <c r="D70" s="29"/>
      <c r="E70" s="355"/>
      <c r="F70" s="355"/>
      <c r="G70" s="355"/>
      <c r="H70" s="101"/>
      <c r="I70" s="101"/>
      <c r="J70" s="101"/>
      <c r="K70" s="101"/>
      <c r="L70" s="101"/>
      <c r="M70" s="101"/>
      <c r="N70" s="101"/>
    </row>
    <row r="71" spans="1:14">
      <c r="B71" s="356"/>
    </row>
    <row r="72" spans="1:14">
      <c r="B72" s="836" t="s">
        <v>606</v>
      </c>
      <c r="D72" s="29" t="s">
        <v>575</v>
      </c>
      <c r="E72" s="386">
        <f>'R3 - Totex - Reconciliation'!D129</f>
        <v>98.986428979999985</v>
      </c>
      <c r="F72" s="386">
        <f>'R3 - Totex - Reconciliation'!E129</f>
        <v>102.06419999999999</v>
      </c>
      <c r="G72" s="386">
        <f>'R3 - Totex - Reconciliation'!F129</f>
        <v>93.12530000000001</v>
      </c>
      <c r="H72" s="386">
        <f>'R3 - Totex - Reconciliation'!G129</f>
        <v>0</v>
      </c>
      <c r="I72" s="386">
        <f>'R3 - Totex - Reconciliation'!H129</f>
        <v>0</v>
      </c>
    </row>
    <row r="73" spans="1:14">
      <c r="B73" s="357" t="s">
        <v>607</v>
      </c>
      <c r="D73" s="101"/>
    </row>
    <row r="74" spans="1:14" ht="8.25" customHeight="1">
      <c r="B74" s="101"/>
      <c r="D74" s="101"/>
    </row>
    <row r="75" spans="1:14" ht="12.75" customHeight="1">
      <c r="B75" s="292" t="s">
        <v>608</v>
      </c>
      <c r="D75" s="29" t="s">
        <v>575</v>
      </c>
      <c r="E75" s="387">
        <f>'R3 - Totex - Reconciliation'!D150</f>
        <v>10.589688755765787</v>
      </c>
      <c r="F75" s="387">
        <f>'R3 - Totex - Reconciliation'!E150</f>
        <v>13.418467633430026</v>
      </c>
      <c r="G75" s="387">
        <f>'R3 - Totex - Reconciliation'!F150</f>
        <v>9.7695721301143852</v>
      </c>
      <c r="H75" s="387">
        <f>'R3 - Totex - Reconciliation'!G150</f>
        <v>0</v>
      </c>
      <c r="I75" s="387">
        <f>'R3 - Totex - Reconciliation'!H150</f>
        <v>0</v>
      </c>
    </row>
    <row r="76" spans="1:14">
      <c r="B76" s="101" t="s">
        <v>609</v>
      </c>
      <c r="D76" s="29" t="s">
        <v>575</v>
      </c>
      <c r="E76" s="347">
        <v>0</v>
      </c>
      <c r="F76" s="347">
        <v>0</v>
      </c>
      <c r="G76" s="347">
        <v>0</v>
      </c>
      <c r="H76" s="347"/>
      <c r="I76" s="347"/>
    </row>
    <row r="77" spans="1:14" ht="5.25" customHeight="1">
      <c r="B77" s="101"/>
      <c r="D77" s="77"/>
      <c r="E77" s="77"/>
      <c r="F77" s="77"/>
      <c r="G77" s="77"/>
      <c r="H77" s="77"/>
      <c r="I77" s="77"/>
    </row>
    <row r="78" spans="1:14">
      <c r="B78" s="292" t="s">
        <v>610</v>
      </c>
      <c r="D78" s="29" t="s">
        <v>575</v>
      </c>
      <c r="E78" s="386">
        <f>'R3 - Totex - Reconciliation'!D129+'R3 - Totex - Reconciliation'!D150+E76</f>
        <v>109.57611773576578</v>
      </c>
      <c r="F78" s="388">
        <f>'R3 - Totex - Reconciliation'!E129+'R3 - Totex - Reconciliation'!E150+F76</f>
        <v>115.48266763343001</v>
      </c>
      <c r="G78" s="388">
        <f>'R3 - Totex - Reconciliation'!F129+'R3 - Totex - Reconciliation'!F150+G76</f>
        <v>102.89487213011439</v>
      </c>
      <c r="H78" s="388">
        <f>'R3 - Totex - Reconciliation'!G129+'R3 - Totex - Reconciliation'!G150+H76</f>
        <v>0</v>
      </c>
      <c r="I78" s="388">
        <f>'R3 - Totex - Reconciliation'!H129+'R3 - Totex - Reconciliation'!H150+I76</f>
        <v>0</v>
      </c>
      <c r="K78" s="77"/>
      <c r="N78" s="77"/>
    </row>
    <row r="79" spans="1:14">
      <c r="B79" s="357" t="s">
        <v>611</v>
      </c>
      <c r="D79" s="29" t="s">
        <v>575</v>
      </c>
      <c r="E79" s="389" t="str">
        <f>IF(ABS(E78-SUM(E72,E75,E76))&lt;=materiality_threshold,"ok","error")</f>
        <v>ok</v>
      </c>
      <c r="F79" s="389" t="str">
        <f>IF(ABS(F78-SUM(F72,F75,F76))&lt;=materiality_threshold,"ok","error")</f>
        <v>ok</v>
      </c>
      <c r="G79" s="389" t="str">
        <f>IF(ABS(G78-SUM(G72,G75,G76))&lt;=materiality_threshold,"ok","error")</f>
        <v>ok</v>
      </c>
      <c r="H79" s="389" t="str">
        <f>IF(ABS(H78-SUM(H72,H75,H76))&lt;=materiality_threshold,"ok","error")</f>
        <v>ok</v>
      </c>
      <c r="I79" s="389" t="str">
        <f>IF(ABS(I78-SUM(I72,I75,I76))&lt;=materiality_threshold,"ok","error")</f>
        <v>ok</v>
      </c>
    </row>
    <row r="80" spans="1:14">
      <c r="B80" s="101"/>
      <c r="E80" s="29"/>
      <c r="F80" s="29"/>
      <c r="G80" s="29"/>
      <c r="H80" s="29"/>
      <c r="I80" s="29"/>
    </row>
    <row r="81" spans="2:13">
      <c r="B81" s="836" t="s">
        <v>612</v>
      </c>
      <c r="D81" s="29" t="s">
        <v>575</v>
      </c>
      <c r="E81" s="390">
        <f>E68-E72</f>
        <v>168.81357102000004</v>
      </c>
      <c r="F81" s="390">
        <f>F68-F72</f>
        <v>266.23580000000004</v>
      </c>
      <c r="G81" s="390">
        <f>G68-G72</f>
        <v>202.25269999999998</v>
      </c>
      <c r="H81" s="390">
        <f>H68-H72</f>
        <v>0</v>
      </c>
      <c r="I81" s="390">
        <f>I68-I72</f>
        <v>0</v>
      </c>
    </row>
    <row r="82" spans="2:13">
      <c r="B82" s="358" t="s">
        <v>613</v>
      </c>
      <c r="D82" s="29" t="s">
        <v>575</v>
      </c>
      <c r="E82" s="390">
        <f>E69-E78</f>
        <v>142.64798123590089</v>
      </c>
      <c r="F82" s="390">
        <f>F69-F78</f>
        <v>235.9689304732367</v>
      </c>
      <c r="G82" s="390">
        <f>G69-G78</f>
        <v>177.65899394655224</v>
      </c>
      <c r="H82" s="390">
        <f>H69-H78</f>
        <v>0</v>
      </c>
      <c r="I82" s="390">
        <f>I69-I78</f>
        <v>0</v>
      </c>
    </row>
    <row r="84" spans="2:13">
      <c r="B84" s="836" t="s">
        <v>614</v>
      </c>
      <c r="D84" s="29" t="s">
        <v>575</v>
      </c>
      <c r="E84" s="388">
        <f>'R3 - Totex - Reconciliation'!D124</f>
        <v>48.005756580000003</v>
      </c>
      <c r="F84" s="388">
        <f>'R3 - Totex - Reconciliation'!E124</f>
        <v>50.917999999999999</v>
      </c>
      <c r="G84" s="388">
        <f>'R3 - Totex - Reconciliation'!F124</f>
        <v>53.960999999999999</v>
      </c>
      <c r="H84" s="388">
        <f>'R3 - Totex - Reconciliation'!G124</f>
        <v>0</v>
      </c>
      <c r="I84" s="388">
        <f>'R3 - Totex - Reconciliation'!H124</f>
        <v>0</v>
      </c>
    </row>
    <row r="85" spans="2:13" ht="16.149999999999999" customHeight="1">
      <c r="B85" s="357" t="s">
        <v>607</v>
      </c>
    </row>
    <row r="86" spans="2:13" ht="22.15" customHeight="1">
      <c r="B86" s="101" t="s">
        <v>615</v>
      </c>
      <c r="D86" s="101"/>
    </row>
    <row r="87" spans="2:13">
      <c r="B87" s="335" t="s">
        <v>616</v>
      </c>
      <c r="D87" s="29" t="s">
        <v>575</v>
      </c>
      <c r="E87" s="359">
        <v>0</v>
      </c>
      <c r="F87" s="359">
        <v>0</v>
      </c>
      <c r="G87" s="359">
        <v>0</v>
      </c>
      <c r="H87" s="359"/>
      <c r="I87" s="359"/>
    </row>
    <row r="88" spans="2:13">
      <c r="B88" s="348" t="s">
        <v>617</v>
      </c>
      <c r="C88" s="348"/>
      <c r="D88" s="29" t="s">
        <v>575</v>
      </c>
      <c r="E88" s="347">
        <v>0</v>
      </c>
      <c r="F88" s="347">
        <v>0</v>
      </c>
      <c r="G88" s="347">
        <v>0</v>
      </c>
      <c r="H88" s="347"/>
      <c r="I88" s="347"/>
    </row>
    <row r="89" spans="2:13">
      <c r="B89" s="335" t="s">
        <v>618</v>
      </c>
      <c r="D89" s="29" t="s">
        <v>575</v>
      </c>
      <c r="E89" s="391">
        <f>SUM(E87:E88)</f>
        <v>0</v>
      </c>
      <c r="F89" s="391">
        <f t="shared" ref="F89:I89" si="13">SUM(F87:F88)</f>
        <v>0</v>
      </c>
      <c r="G89" s="391">
        <f t="shared" si="13"/>
        <v>0</v>
      </c>
      <c r="H89" s="391">
        <f t="shared" si="13"/>
        <v>0</v>
      </c>
      <c r="I89" s="391">
        <f t="shared" si="13"/>
        <v>0</v>
      </c>
    </row>
    <row r="90" spans="2:13" ht="5.25" customHeight="1">
      <c r="B90" s="335"/>
      <c r="D90" s="77"/>
      <c r="E90" s="77"/>
      <c r="F90" s="77"/>
      <c r="G90" s="77"/>
      <c r="H90" s="77"/>
      <c r="I90" s="77"/>
      <c r="J90" s="77"/>
      <c r="K90" s="77"/>
      <c r="L90" s="77"/>
      <c r="M90" s="77"/>
    </row>
    <row r="91" spans="2:13">
      <c r="B91" s="292" t="s">
        <v>619</v>
      </c>
      <c r="D91" s="29" t="s">
        <v>575</v>
      </c>
      <c r="E91" s="392">
        <f>SUM(E84,E89)</f>
        <v>48.005756580000003</v>
      </c>
      <c r="F91" s="392">
        <f t="shared" ref="F91:I91" si="14">SUM(F84,F89)</f>
        <v>50.917999999999999</v>
      </c>
      <c r="G91" s="392">
        <f t="shared" si="14"/>
        <v>53.960999999999999</v>
      </c>
      <c r="H91" s="392">
        <f t="shared" si="14"/>
        <v>0</v>
      </c>
      <c r="I91" s="392">
        <f t="shared" si="14"/>
        <v>0</v>
      </c>
    </row>
    <row r="92" spans="2:13">
      <c r="B92" s="101"/>
      <c r="C92" s="101"/>
      <c r="D92" s="101"/>
    </row>
    <row r="93" spans="2:13">
      <c r="B93" s="837" t="s">
        <v>620</v>
      </c>
      <c r="C93" s="856"/>
      <c r="D93" s="857" t="s">
        <v>575</v>
      </c>
      <c r="E93" s="384">
        <f>E81-E84</f>
        <v>120.80781444000004</v>
      </c>
      <c r="F93" s="384">
        <f t="shared" ref="F93:I93" si="15">F81-F84</f>
        <v>215.31780000000003</v>
      </c>
      <c r="G93" s="384">
        <f t="shared" si="15"/>
        <v>148.29169999999999</v>
      </c>
      <c r="H93" s="384">
        <f t="shared" si="15"/>
        <v>0</v>
      </c>
      <c r="I93" s="384">
        <f t="shared" si="15"/>
        <v>0</v>
      </c>
    </row>
    <row r="94" spans="2:13">
      <c r="B94" s="360" t="s">
        <v>621</v>
      </c>
      <c r="D94" s="29" t="s">
        <v>575</v>
      </c>
      <c r="E94" s="392">
        <f>E82-E91</f>
        <v>94.64222465590089</v>
      </c>
      <c r="F94" s="392">
        <f t="shared" ref="F94:I94" si="16">F82-F91</f>
        <v>185.05093047323669</v>
      </c>
      <c r="G94" s="392">
        <f t="shared" si="16"/>
        <v>123.69799394655224</v>
      </c>
      <c r="H94" s="392">
        <f t="shared" si="16"/>
        <v>0</v>
      </c>
      <c r="I94" s="392">
        <f t="shared" si="16"/>
        <v>0</v>
      </c>
    </row>
    <row r="95" spans="2:13">
      <c r="B95" s="360"/>
      <c r="E95" s="361"/>
      <c r="F95" s="361"/>
      <c r="G95" s="361"/>
      <c r="H95" s="361"/>
      <c r="I95" s="362"/>
    </row>
    <row r="96" spans="2:13">
      <c r="B96" s="838" t="s">
        <v>622</v>
      </c>
      <c r="D96" s="29" t="s">
        <v>575</v>
      </c>
      <c r="E96" s="393">
        <f>'R5 - Financing'!D9</f>
        <v>33.329837957194613</v>
      </c>
      <c r="F96" s="393">
        <f>'R5 - Financing'!E9</f>
        <v>37.406270254123015</v>
      </c>
      <c r="G96" s="393">
        <f>'R5 - Financing'!F9</f>
        <v>40.067501843865955</v>
      </c>
      <c r="H96" s="393">
        <f>'R5 - Financing'!G9</f>
        <v>39.111494905903321</v>
      </c>
      <c r="I96" s="393">
        <f>'R5 - Financing'!H9</f>
        <v>37.879121204750376</v>
      </c>
    </row>
    <row r="97" spans="2:10">
      <c r="B97" s="844" t="s">
        <v>623</v>
      </c>
      <c r="D97" s="29" t="s">
        <v>575</v>
      </c>
      <c r="E97" s="347"/>
      <c r="F97" s="347"/>
      <c r="G97" s="347"/>
      <c r="H97" s="347"/>
      <c r="I97" s="347"/>
      <c r="J97" s="101" t="s">
        <v>624</v>
      </c>
    </row>
    <row r="98" spans="2:10">
      <c r="B98" s="844" t="s">
        <v>625</v>
      </c>
      <c r="D98" s="29" t="s">
        <v>575</v>
      </c>
      <c r="E98" s="347"/>
      <c r="F98" s="347"/>
      <c r="G98" s="347"/>
      <c r="H98" s="347"/>
      <c r="I98" s="347"/>
      <c r="J98" s="101" t="s">
        <v>624</v>
      </c>
    </row>
    <row r="99" spans="2:10">
      <c r="B99" s="363" t="s">
        <v>626</v>
      </c>
      <c r="D99" s="29" t="s">
        <v>575</v>
      </c>
      <c r="E99" s="393">
        <f>'R5 - Financing'!D29</f>
        <v>37.249999687194602</v>
      </c>
      <c r="F99" s="393">
        <f>'R5 - Financing'!E29</f>
        <v>40.557657828244281</v>
      </c>
      <c r="G99" s="393">
        <f>'R5 - Financing'!F29</f>
        <v>45.650889417987223</v>
      </c>
      <c r="H99" s="393">
        <f>'R5 - Financing'!G29</f>
        <v>44.007683312085653</v>
      </c>
      <c r="I99" s="393">
        <f>'R5 - Financing'!H29</f>
        <v>42.613841643885415</v>
      </c>
    </row>
    <row r="100" spans="2:10">
      <c r="B100" s="364" t="s">
        <v>627</v>
      </c>
      <c r="D100" s="29" t="s">
        <v>575</v>
      </c>
      <c r="E100" s="392">
        <f>E96-E99</f>
        <v>-3.9201617299999896</v>
      </c>
      <c r="F100" s="392">
        <f>F96-F99</f>
        <v>-3.1513875741212658</v>
      </c>
      <c r="G100" s="392">
        <f>G96-G99</f>
        <v>-5.583387574121268</v>
      </c>
      <c r="H100" s="392">
        <f>H96-H99</f>
        <v>-4.8961884061823326</v>
      </c>
      <c r="I100" s="394">
        <f>I96-I99</f>
        <v>-4.7347204391350388</v>
      </c>
    </row>
    <row r="101" spans="2:10">
      <c r="B101" s="360"/>
      <c r="E101" s="361"/>
      <c r="F101" s="361"/>
      <c r="G101" s="361"/>
      <c r="H101" s="361"/>
      <c r="I101" s="362"/>
    </row>
    <row r="102" spans="2:10">
      <c r="B102" s="838" t="s">
        <v>628</v>
      </c>
      <c r="D102" s="29" t="s">
        <v>575</v>
      </c>
      <c r="E102" s="347">
        <v>22.486826749999999</v>
      </c>
      <c r="F102" s="347">
        <v>45.406199999999998</v>
      </c>
      <c r="G102" s="347">
        <v>26.520499999999998</v>
      </c>
      <c r="H102" s="347"/>
      <c r="I102" s="347"/>
    </row>
    <row r="103" spans="2:10">
      <c r="B103" s="838" t="s">
        <v>629</v>
      </c>
      <c r="D103" s="29" t="s">
        <v>575</v>
      </c>
      <c r="E103" s="347">
        <v>-15.9</v>
      </c>
      <c r="F103" s="347">
        <v>-14.380800000000001</v>
      </c>
      <c r="G103" s="347">
        <v>-18.100000000000001</v>
      </c>
      <c r="H103" s="347"/>
      <c r="I103" s="347"/>
    </row>
    <row r="104" spans="2:10">
      <c r="B104" s="838" t="s">
        <v>630</v>
      </c>
      <c r="D104" s="29" t="s">
        <v>575</v>
      </c>
      <c r="E104" s="384">
        <f>SUM(E102:E103)</f>
        <v>6.5868267499999984</v>
      </c>
      <c r="F104" s="384">
        <f t="shared" ref="F104:I104" si="17">SUM(F102:F103)</f>
        <v>31.025399999999998</v>
      </c>
      <c r="G104" s="384">
        <f t="shared" si="17"/>
        <v>8.420499999999997</v>
      </c>
      <c r="H104" s="384">
        <f t="shared" si="17"/>
        <v>0</v>
      </c>
      <c r="I104" s="384">
        <f t="shared" si="17"/>
        <v>0</v>
      </c>
    </row>
    <row r="105" spans="2:10">
      <c r="B105" s="363" t="s">
        <v>631</v>
      </c>
      <c r="D105" s="29" t="s">
        <v>575</v>
      </c>
      <c r="E105" s="393">
        <f>Adjusted_regulated_tax_liability</f>
        <v>14.068840773132514</v>
      </c>
      <c r="F105" s="393">
        <f>Adjusted_regulated_tax_liability</f>
        <v>23.363757595344417</v>
      </c>
      <c r="G105" s="393">
        <f>Adjusted_regulated_tax_liability</f>
        <v>9.4842030141816167</v>
      </c>
      <c r="H105" s="393">
        <f>Adjusted_regulated_tax_liability</f>
        <v>5.2548939229068683</v>
      </c>
      <c r="I105" s="393">
        <f>Adjusted_regulated_tax_liability</f>
        <v>5.2206381813326121</v>
      </c>
    </row>
    <row r="106" spans="2:10">
      <c r="B106" s="364" t="s">
        <v>627</v>
      </c>
      <c r="D106" s="29" t="s">
        <v>575</v>
      </c>
      <c r="E106" s="395">
        <f>E104-E105</f>
        <v>-7.4820140231325158</v>
      </c>
      <c r="F106" s="395">
        <f t="shared" ref="F106:I106" si="18">F104-F105</f>
        <v>7.6616424046555807</v>
      </c>
      <c r="G106" s="395">
        <f t="shared" si="18"/>
        <v>-1.0637030141816197</v>
      </c>
      <c r="H106" s="395">
        <f t="shared" si="18"/>
        <v>-5.2548939229068683</v>
      </c>
      <c r="I106" s="395">
        <f t="shared" si="18"/>
        <v>-5.2206381813326121</v>
      </c>
    </row>
    <row r="107" spans="2:10">
      <c r="B107" s="365"/>
      <c r="E107" s="361"/>
      <c r="F107" s="361"/>
      <c r="G107" s="361"/>
      <c r="H107" s="361"/>
      <c r="I107" s="362"/>
    </row>
    <row r="108" spans="2:10">
      <c r="B108" s="839" t="s">
        <v>632</v>
      </c>
      <c r="D108" s="29" t="s">
        <v>575</v>
      </c>
      <c r="E108" s="384">
        <f>IFERROR(E93-E96-E102,0)</f>
        <v>64.991149732805439</v>
      </c>
      <c r="F108" s="384">
        <f>IFERROR(F93-F96-F102,0)</f>
        <v>132.50532974587702</v>
      </c>
      <c r="G108" s="384">
        <f>IFERROR(G93-G96-G102,0)</f>
        <v>81.703698156134038</v>
      </c>
      <c r="H108" s="384">
        <f>IFERROR(H93-H96-H102,0)</f>
        <v>-39.111494905903321</v>
      </c>
      <c r="I108" s="384">
        <f>IFERROR(I93-I96-I102,0)</f>
        <v>-37.879121204750376</v>
      </c>
    </row>
    <row r="109" spans="2:10">
      <c r="B109" s="366" t="s">
        <v>633</v>
      </c>
      <c r="D109" s="29" t="s">
        <v>575</v>
      </c>
      <c r="E109" s="384">
        <f>IFERROR(E94-E99-E105,0)</f>
        <v>43.323384195573773</v>
      </c>
      <c r="F109" s="384">
        <f>IFERROR(F94-F99-F105,0)</f>
        <v>121.12951504964798</v>
      </c>
      <c r="G109" s="384">
        <f>IFERROR(G94-G99-G105,0)</f>
        <v>68.562901514383412</v>
      </c>
      <c r="H109" s="384">
        <f>IFERROR(H94-H99-H105,0)</f>
        <v>-49.26257723499252</v>
      </c>
      <c r="I109" s="384">
        <f>IFERROR(I94-I99-I105,0)</f>
        <v>-47.834479825218025</v>
      </c>
    </row>
    <row r="110" spans="2:10">
      <c r="B110" s="364" t="s">
        <v>627</v>
      </c>
      <c r="D110" s="29" t="s">
        <v>575</v>
      </c>
      <c r="E110" s="392">
        <f>IFERROR(E108-E109,0)</f>
        <v>21.667765537231666</v>
      </c>
      <c r="F110" s="392">
        <f>IFERROR(F108-F109,0)</f>
        <v>11.375814696229043</v>
      </c>
      <c r="G110" s="392">
        <f>IFERROR(G108-G109,0)</f>
        <v>13.140796641750626</v>
      </c>
      <c r="H110" s="392">
        <f>IFERROR(H108-H109,0)</f>
        <v>10.151082329089199</v>
      </c>
      <c r="I110" s="392">
        <f>IFERROR(I108-I109,0)</f>
        <v>9.9553586204676492</v>
      </c>
    </row>
    <row r="111" spans="2:10">
      <c r="B111" s="365"/>
      <c r="C111" s="101"/>
      <c r="D111" s="101"/>
      <c r="I111" s="367"/>
    </row>
    <row r="112" spans="2:10">
      <c r="B112" s="368"/>
      <c r="C112" s="369"/>
      <c r="D112" s="186"/>
      <c r="E112" s="187"/>
      <c r="F112" s="186"/>
      <c r="G112" s="186"/>
      <c r="H112" s="186"/>
      <c r="I112" s="188"/>
    </row>
    <row r="113" spans="2:9">
      <c r="B113" s="101"/>
      <c r="D113" s="101"/>
    </row>
    <row r="114" spans="2:9">
      <c r="B114" s="101"/>
      <c r="C114" s="101"/>
      <c r="D114" s="101"/>
    </row>
    <row r="115" spans="2:9">
      <c r="B115" s="370"/>
      <c r="D115" s="101"/>
    </row>
    <row r="116" spans="2:9">
      <c r="B116" s="371" t="s">
        <v>634</v>
      </c>
      <c r="C116" s="101"/>
      <c r="D116" s="101"/>
    </row>
    <row r="117" spans="2:9">
      <c r="B117" s="822"/>
      <c r="C117" s="858"/>
      <c r="D117" s="858"/>
      <c r="E117" s="858"/>
      <c r="F117" s="858"/>
      <c r="G117" s="859"/>
      <c r="H117" s="859"/>
      <c r="I117" s="372"/>
    </row>
    <row r="118" spans="2:9">
      <c r="B118" s="373"/>
      <c r="C118" s="374"/>
      <c r="D118" s="375"/>
      <c r="E118" s="376"/>
      <c r="F118" s="376"/>
      <c r="G118" s="376"/>
      <c r="H118" s="376"/>
      <c r="I118" s="377"/>
    </row>
    <row r="119" spans="2:9">
      <c r="B119" s="373"/>
      <c r="C119" s="374"/>
      <c r="D119" s="375"/>
      <c r="E119" s="376"/>
      <c r="F119" s="376"/>
      <c r="G119" s="376"/>
      <c r="H119" s="376"/>
      <c r="I119" s="377"/>
    </row>
    <row r="120" spans="2:9">
      <c r="B120" s="373"/>
      <c r="C120" s="374"/>
      <c r="D120" s="375"/>
      <c r="E120" s="376"/>
      <c r="F120" s="376"/>
      <c r="G120" s="376"/>
      <c r="H120" s="376"/>
      <c r="I120" s="377"/>
    </row>
    <row r="121" spans="2:9">
      <c r="B121" s="373"/>
      <c r="C121" s="374"/>
      <c r="D121" s="375"/>
      <c r="E121" s="376"/>
      <c r="F121" s="376"/>
      <c r="G121" s="376"/>
      <c r="H121" s="376"/>
      <c r="I121" s="377"/>
    </row>
    <row r="122" spans="2:9">
      <c r="B122" s="378"/>
      <c r="C122" s="379"/>
      <c r="D122" s="380"/>
      <c r="E122" s="381"/>
      <c r="F122" s="381"/>
      <c r="G122" s="381"/>
      <c r="H122" s="381"/>
      <c r="I122" s="382"/>
    </row>
    <row r="124" spans="2:9" ht="13.5" customHeight="1"/>
    <row r="130" ht="15" customHeight="1"/>
    <row r="144" ht="91.5" customHeight="1"/>
  </sheetData>
  <sheetProtection insertRows="0" autoFilter="0" pivotTables="0"/>
  <conditionalFormatting sqref="C36">
    <cfRule type="expression" dxfId="101" priority="69">
      <formula>C$5="Forecast"</formula>
    </cfRule>
  </conditionalFormatting>
  <conditionalFormatting sqref="E6:H6">
    <cfRule type="expression" dxfId="100" priority="36">
      <formula>AND(E$5="Actuals",F$5="Forecast")</formula>
    </cfRule>
  </conditionalFormatting>
  <conditionalFormatting sqref="E66:H66">
    <cfRule type="expression" dxfId="99" priority="39">
      <formula>AND(E$5="Actuals",F$5="N/A")</formula>
    </cfRule>
  </conditionalFormatting>
  <conditionalFormatting sqref="E7:I7">
    <cfRule type="expression" dxfId="98" priority="38">
      <formula>AND(E$5="Actuals",F$5="Forecast")</formula>
    </cfRule>
  </conditionalFormatting>
  <conditionalFormatting sqref="H13:I19 H21:I21 H25:I25 E36:I37 E46:I56 E58:I60 E66:I66 E68:I69 E72:I72 E89:I89 E91:I91 E93:I94 E104:I106 H28:I35 H40:I45 H87:I88 F102:I103">
    <cfRule type="expression" dxfId="97" priority="33">
      <formula>E$5="Forecast"</formula>
    </cfRule>
  </conditionalFormatting>
  <conditionalFormatting sqref="H25:I25">
    <cfRule type="expression" priority="21">
      <formula>H$5="Forecast"</formula>
    </cfRule>
    <cfRule type="expression" priority="22">
      <formula>$E3="Forecast"</formula>
    </cfRule>
  </conditionalFormatting>
  <conditionalFormatting sqref="E36:I36 E46:I55 H28:I35 H40:I45">
    <cfRule type="expression" priority="34">
      <formula>E$5="Forecast"</formula>
    </cfRule>
  </conditionalFormatting>
  <conditionalFormatting sqref="E36:I36 H28:I35">
    <cfRule type="expression" priority="35">
      <formula>$E6="Forecast"</formula>
    </cfRule>
  </conditionalFormatting>
  <conditionalFormatting sqref="E60:I60">
    <cfRule type="expression" dxfId="96" priority="73">
      <formula>E$5="Forecast"</formula>
    </cfRule>
  </conditionalFormatting>
  <conditionalFormatting sqref="E68:I70 E72:I72 H87:I87">
    <cfRule type="expression" dxfId="95" priority="65">
      <formula>D$12="N/A"</formula>
    </cfRule>
  </conditionalFormatting>
  <conditionalFormatting sqref="E75:I76">
    <cfRule type="expression" dxfId="94" priority="25">
      <formula>E$5="Forecast"</formula>
    </cfRule>
  </conditionalFormatting>
  <conditionalFormatting sqref="E78:I78">
    <cfRule type="expression" dxfId="93" priority="20">
      <formula>D$12="N/A"</formula>
    </cfRule>
  </conditionalFormatting>
  <conditionalFormatting sqref="E78:I79">
    <cfRule type="expression" dxfId="92" priority="19">
      <formula>E$5="Forecast"</formula>
    </cfRule>
  </conditionalFormatting>
  <conditionalFormatting sqref="E84:I84">
    <cfRule type="expression" dxfId="91" priority="17">
      <formula>E$5="Forecast"</formula>
    </cfRule>
    <cfRule type="expression" dxfId="90" priority="18">
      <formula>D$12="N/A"</formula>
    </cfRule>
  </conditionalFormatting>
  <conditionalFormatting sqref="E96:I100">
    <cfRule type="expression" dxfId="89" priority="15">
      <formula>E$5="Forecast"</formula>
    </cfRule>
  </conditionalFormatting>
  <conditionalFormatting sqref="E108:I110">
    <cfRule type="expression" dxfId="88" priority="31">
      <formula>E$5="Forecast"</formula>
    </cfRule>
  </conditionalFormatting>
  <conditionalFormatting sqref="I6">
    <cfRule type="expression" dxfId="87" priority="37">
      <formula>AND(I$5="Actuals",#REF!="Forecast")</formula>
    </cfRule>
  </conditionalFormatting>
  <conditionalFormatting sqref="I66">
    <cfRule type="expression" dxfId="86" priority="251">
      <formula>AND(I$5="Actuals",#REF!="N/A")</formula>
    </cfRule>
  </conditionalFormatting>
  <conditionalFormatting sqref="E21:G21 E13:G19 E25:G25">
    <cfRule type="expression" dxfId="85" priority="14">
      <formula>E$5="Forecast"</formula>
    </cfRule>
  </conditionalFormatting>
  <conditionalFormatting sqref="E25:G25">
    <cfRule type="expression" priority="12">
      <formula>E$5="Forecast"</formula>
    </cfRule>
    <cfRule type="expression" priority="13">
      <formula>$E3="Forecast"</formula>
    </cfRule>
  </conditionalFormatting>
  <conditionalFormatting sqref="E28:G28 E30:G35">
    <cfRule type="expression" dxfId="84" priority="9">
      <formula>E$5="Forecast"</formula>
    </cfRule>
  </conditionalFormatting>
  <conditionalFormatting sqref="E28:G28 E30:G35">
    <cfRule type="expression" priority="10">
      <formula>E$5="Forecast"</formula>
    </cfRule>
  </conditionalFormatting>
  <conditionalFormatting sqref="E28:G28 E30:G35">
    <cfRule type="expression" priority="11">
      <formula>$E6="Forecast"</formula>
    </cfRule>
  </conditionalFormatting>
  <conditionalFormatting sqref="E29:G29">
    <cfRule type="expression" dxfId="83" priority="6">
      <formula>E$5="Forecast"</formula>
    </cfRule>
  </conditionalFormatting>
  <conditionalFormatting sqref="E29:G29">
    <cfRule type="expression" priority="7">
      <formula>E$5="Forecast"</formula>
    </cfRule>
  </conditionalFormatting>
  <conditionalFormatting sqref="E29:G29">
    <cfRule type="expression" priority="8">
      <formula>$E7="Forecast"</formula>
    </cfRule>
  </conditionalFormatting>
  <conditionalFormatting sqref="E40:G45">
    <cfRule type="expression" dxfId="82" priority="4">
      <formula>E$5="Forecast"</formula>
    </cfRule>
  </conditionalFormatting>
  <conditionalFormatting sqref="E40:G45">
    <cfRule type="expression" priority="5">
      <formula>E$5="Forecast"</formula>
    </cfRule>
  </conditionalFormatting>
  <conditionalFormatting sqref="E87:G88">
    <cfRule type="expression" dxfId="81" priority="2">
      <formula>E$5="Forecast"</formula>
    </cfRule>
  </conditionalFormatting>
  <conditionalFormatting sqref="E87:G87">
    <cfRule type="expression" dxfId="80" priority="3">
      <formula>D$12="N/A"</formula>
    </cfRule>
  </conditionalFormatting>
  <conditionalFormatting sqref="E102:E103">
    <cfRule type="expression" dxfId="79" priority="1">
      <formula>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26" id="{F64DC2A1-1BFC-4A45-BEAE-BCD4DDABF2EA}">
            <xm:f>'RFPR cover'!$C$7="ESO"</xm:f>
            <x14:dxf>
              <fill>
                <patternFill>
                  <fgColor auto="1"/>
                  <bgColor theme="7" tint="0.79998168889431442"/>
                </patternFill>
              </fill>
            </x14:dxf>
          </x14:cfRule>
          <xm:sqref>H25:I25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3"/>
  <sheetViews>
    <sheetView zoomScale="80" zoomScaleNormal="80" workbookViewId="0">
      <selection activeCell="D23" sqref="D23:H23"/>
    </sheetView>
  </sheetViews>
  <sheetFormatPr defaultColWidth="9.125" defaultRowHeight="12.75"/>
  <cols>
    <col min="1" max="1" width="8.375" style="292" customWidth="1"/>
    <col min="2" max="2" width="64.5" style="335" customWidth="1"/>
    <col min="3" max="3" width="13.375" style="29" customWidth="1"/>
    <col min="4" max="8" width="11.125" style="292" customWidth="1"/>
    <col min="9" max="10" width="12.875" style="292" customWidth="1"/>
    <col min="11" max="16384" width="9.125" style="292"/>
  </cols>
  <sheetData>
    <row r="1" spans="1:19" s="101" customFormat="1" ht="20.25">
      <c r="A1" s="826" t="s">
        <v>635</v>
      </c>
      <c r="B1" s="860"/>
      <c r="C1" s="861"/>
      <c r="D1" s="862"/>
      <c r="E1" s="862"/>
      <c r="F1" s="862"/>
      <c r="G1" s="862"/>
      <c r="H1" s="862"/>
      <c r="I1" s="863"/>
      <c r="J1" s="863"/>
      <c r="K1" s="396"/>
    </row>
    <row r="2" spans="1:19" s="101" customFormat="1" ht="20.25">
      <c r="A2" s="827" t="str">
        <f>Licensee</f>
        <v>NGED-SWALES</v>
      </c>
      <c r="B2" s="283"/>
      <c r="C2" s="332"/>
      <c r="D2" s="285"/>
      <c r="E2" s="285"/>
      <c r="F2" s="285"/>
      <c r="G2" s="285"/>
      <c r="H2" s="285"/>
      <c r="I2" s="286"/>
      <c r="J2" s="286"/>
      <c r="K2" s="287"/>
    </row>
    <row r="3" spans="1:19" s="101" customFormat="1" ht="20.25">
      <c r="A3" s="828">
        <f>Reporting_Year</f>
        <v>2026</v>
      </c>
      <c r="B3" s="333"/>
      <c r="C3" s="334"/>
      <c r="D3" s="288"/>
      <c r="E3" s="288"/>
      <c r="F3" s="288"/>
      <c r="G3" s="288"/>
      <c r="H3" s="288"/>
      <c r="I3" s="289"/>
      <c r="J3" s="289"/>
      <c r="K3" s="290"/>
    </row>
    <row r="4" spans="1:19" ht="12.75" customHeight="1"/>
    <row r="5" spans="1:19" ht="30" customHeight="1">
      <c r="D5" s="291" t="str">
        <f>IF(D6&lt;=Reporting_Year,"Actuals","Forecast")</f>
        <v>Actuals</v>
      </c>
      <c r="E5" s="291" t="str">
        <f t="shared" ref="E5:H5" si="0">IF(E6&lt;=Reporting_Year,"Actuals","Forecast")</f>
        <v>Actuals</v>
      </c>
      <c r="F5" s="291" t="str">
        <f t="shared" si="0"/>
        <v>Actuals</v>
      </c>
      <c r="G5" s="291" t="str">
        <f t="shared" si="0"/>
        <v>Forecast</v>
      </c>
      <c r="H5" s="291" t="str">
        <f t="shared" si="0"/>
        <v>Forecast</v>
      </c>
    </row>
    <row r="6" spans="1:19" ht="27.75" customHeight="1">
      <c r="D6" s="397">
        <f>'RFPR cover'!$C$6</f>
        <v>2024</v>
      </c>
      <c r="E6" s="398">
        <f>D6+1</f>
        <v>2025</v>
      </c>
      <c r="F6" s="398">
        <f t="shared" ref="F6:H6" si="1">E6+1</f>
        <v>2026</v>
      </c>
      <c r="G6" s="398">
        <f t="shared" si="1"/>
        <v>2027</v>
      </c>
      <c r="H6" s="398">
        <f t="shared" si="1"/>
        <v>2028</v>
      </c>
      <c r="I6" s="295" t="str">
        <f>"Cumulative to "&amp;'RFPR cover'!$C$9</f>
        <v>Cumulative to 2026</v>
      </c>
      <c r="J6" s="399" t="s">
        <v>535</v>
      </c>
    </row>
    <row r="7" spans="1:19">
      <c r="D7" s="296" t="str">
        <f>RIIO_2_start_date-1&amp;"/"&amp;RIGHT(RIIO_2_start_date,2)</f>
        <v>2023/24</v>
      </c>
      <c r="E7" s="296" t="str">
        <f>RIIO_2_start_date&amp;"/"&amp;RIGHT(RIIO_2_start_date+1,2)</f>
        <v>2024/25</v>
      </c>
      <c r="F7" s="296" t="str">
        <f>RIIO_2_start_date+1&amp;"/"&amp;RIGHT(RIIO_2_start_date+2,2)</f>
        <v>2025/26</v>
      </c>
      <c r="G7" s="296" t="str">
        <f>RIIO_2_start_date+2&amp;"/"&amp;RIGHT(RIIO_2_start_date+3,2)</f>
        <v>2026/27</v>
      </c>
      <c r="H7" s="296" t="str">
        <f>RIIO_2_start_date+3&amp;"/"&amp;RIGHT(RIIO_2_start_date+4,2)</f>
        <v>2027/28</v>
      </c>
    </row>
    <row r="8" spans="1:19">
      <c r="B8" s="400" t="s">
        <v>636</v>
      </c>
      <c r="C8" s="401"/>
      <c r="D8" s="401"/>
      <c r="E8" s="401"/>
      <c r="F8" s="401"/>
      <c r="G8" s="401"/>
      <c r="H8" s="402"/>
      <c r="I8" s="402"/>
      <c r="J8" s="402"/>
      <c r="K8" s="335"/>
    </row>
    <row r="9" spans="1:19">
      <c r="B9" s="841" t="s">
        <v>637</v>
      </c>
      <c r="C9" s="403"/>
      <c r="D9" s="403"/>
      <c r="E9" s="403"/>
      <c r="F9" s="403"/>
      <c r="G9" s="403"/>
      <c r="H9" s="403"/>
      <c r="I9" s="403"/>
      <c r="J9" s="403"/>
      <c r="K9" s="335"/>
      <c r="L9" s="335"/>
    </row>
    <row r="11" spans="1:19">
      <c r="B11" s="404" t="str">
        <f>IF(Sector="GD2","Capitalisation 1 totex (excluding repex)","Capitalisation 1 totex")</f>
        <v>Capitalisation 1 totex</v>
      </c>
      <c r="C11" s="405"/>
      <c r="D11" s="340"/>
      <c r="E11" s="340"/>
      <c r="F11" s="340"/>
      <c r="G11" s="340"/>
      <c r="H11" s="340"/>
      <c r="I11" s="340"/>
      <c r="J11" s="340"/>
      <c r="K11" s="335"/>
    </row>
    <row r="12" spans="1:19">
      <c r="B12" s="342"/>
      <c r="D12" s="406"/>
      <c r="E12" s="406"/>
      <c r="F12" s="406"/>
      <c r="G12" s="406"/>
      <c r="H12" s="406"/>
      <c r="I12" s="406"/>
      <c r="J12" s="406"/>
      <c r="K12" s="335"/>
    </row>
    <row r="13" spans="1:19">
      <c r="B13" s="77" t="s">
        <v>638</v>
      </c>
      <c r="C13" s="407" t="str">
        <f>Data!$C$9</f>
        <v>£m 20/21</v>
      </c>
      <c r="D13" s="408">
        <v>151.6254937256586</v>
      </c>
      <c r="E13" s="408">
        <v>181.94106546163664</v>
      </c>
      <c r="F13" s="408">
        <v>191.46539573043847</v>
      </c>
      <c r="G13" s="408">
        <v>185.68350187699454</v>
      </c>
      <c r="H13" s="408">
        <v>194.60760553513273</v>
      </c>
      <c r="I13" s="438">
        <f>SUM(D13:INDEX(D13:H13,0,MATCH('RFPR cover'!$C$9,$D$6:$H$6,0)))</f>
        <v>525.03195491773374</v>
      </c>
      <c r="J13" s="439">
        <f>SUM(D13:H13)</f>
        <v>905.32306232986105</v>
      </c>
      <c r="K13" s="335"/>
    </row>
    <row r="14" spans="1:19" ht="17.25" customHeight="1">
      <c r="B14" s="409" t="s">
        <v>639</v>
      </c>
      <c r="C14" s="407" t="str">
        <f>Data!$C$9</f>
        <v>£m 20/21</v>
      </c>
      <c r="D14" s="408">
        <v>184.48338897161966</v>
      </c>
      <c r="E14" s="408">
        <v>178.11341250212612</v>
      </c>
      <c r="F14" s="408">
        <v>187.7084974475913</v>
      </c>
      <c r="G14" s="408">
        <v>173.3557034552075</v>
      </c>
      <c r="H14" s="408">
        <v>167.61392958953891</v>
      </c>
      <c r="I14" s="440">
        <f>SUM(D14:INDEX(D14:H14,0,MATCH('RFPR cover'!$C$9,$D$6:$H$6,0)))</f>
        <v>550.30529892133711</v>
      </c>
      <c r="J14" s="441">
        <f>SUM(D14:H14)</f>
        <v>891.2749319660835</v>
      </c>
      <c r="K14" s="410"/>
    </row>
    <row r="15" spans="1:19">
      <c r="B15" s="75" t="s">
        <v>640</v>
      </c>
      <c r="C15" s="407" t="str">
        <f>Data!$C$9</f>
        <v>£m 20/21</v>
      </c>
      <c r="D15" s="437">
        <f>D14-D13</f>
        <v>32.85789524596106</v>
      </c>
      <c r="E15" s="437">
        <f>E14-E13</f>
        <v>-3.827652959510516</v>
      </c>
      <c r="F15" s="437">
        <f t="shared" ref="F15:J15" si="2">F14-F13</f>
        <v>-3.7568982828471746</v>
      </c>
      <c r="G15" s="437">
        <f t="shared" si="2"/>
        <v>-12.327798421787037</v>
      </c>
      <c r="H15" s="437">
        <f t="shared" si="2"/>
        <v>-26.993675945593822</v>
      </c>
      <c r="I15" s="21">
        <f t="shared" si="2"/>
        <v>25.27334400360337</v>
      </c>
      <c r="J15" s="23">
        <f t="shared" si="2"/>
        <v>-14.048130363777545</v>
      </c>
      <c r="K15" s="937"/>
      <c r="L15" s="937"/>
      <c r="M15" s="937"/>
      <c r="N15" s="120"/>
      <c r="O15" s="120"/>
      <c r="P15" s="120"/>
      <c r="Q15" s="101"/>
      <c r="R15" s="101"/>
      <c r="S15" s="101"/>
    </row>
    <row r="16" spans="1:19">
      <c r="B16" s="75"/>
      <c r="C16" s="407"/>
      <c r="D16" s="411"/>
      <c r="E16" s="411"/>
      <c r="F16" s="411"/>
      <c r="G16" s="411"/>
      <c r="H16" s="411"/>
      <c r="I16" s="411"/>
      <c r="J16" s="411"/>
      <c r="K16" s="412"/>
      <c r="L16" s="412"/>
      <c r="M16" s="412"/>
      <c r="N16" s="412"/>
      <c r="O16" s="412"/>
      <c r="P16" s="412"/>
      <c r="Q16" s="101"/>
      <c r="R16" s="101"/>
      <c r="S16" s="101"/>
    </row>
    <row r="17" spans="2:19">
      <c r="B17" s="335" t="s">
        <v>641</v>
      </c>
      <c r="C17" s="29" t="s">
        <v>538</v>
      </c>
      <c r="D17" s="442">
        <f>INDEX(Data!$C$63:$C$91,MATCH('RFPR cover'!$C$7,Data!$B$63:$B$91,0),0)</f>
        <v>0.5</v>
      </c>
      <c r="E17" s="442">
        <f>INDEX(Data!$C$63:$C$91,MATCH('RFPR cover'!$C$7,Data!$B$63:$B$91,0),0)</f>
        <v>0.5</v>
      </c>
      <c r="F17" s="442">
        <f>INDEX(Data!$C$63:$C$91,MATCH('RFPR cover'!$C$7,Data!$B$63:$B$91,0),0)</f>
        <v>0.5</v>
      </c>
      <c r="G17" s="442">
        <f>INDEX(Data!$C$63:$C$91,MATCH('RFPR cover'!$C$7,Data!$B$63:$B$91,0),0)</f>
        <v>0.5</v>
      </c>
      <c r="H17" s="442">
        <f>INDEX(Data!$C$63:$C$91,MATCH('RFPR cover'!$C$7,Data!$B$63:$B$91,0),0)</f>
        <v>0.5</v>
      </c>
      <c r="I17" s="413"/>
      <c r="J17" s="413"/>
      <c r="K17" s="101"/>
      <c r="L17" s="101"/>
      <c r="M17" s="101"/>
      <c r="N17" s="101"/>
      <c r="O17" s="101"/>
      <c r="P17" s="101"/>
      <c r="Q17" s="101"/>
      <c r="R17" s="101"/>
      <c r="S17" s="101"/>
    </row>
    <row r="18" spans="2:19">
      <c r="K18" s="101"/>
      <c r="L18" s="101"/>
      <c r="M18" s="101"/>
      <c r="N18" s="101"/>
      <c r="O18" s="101"/>
      <c r="P18" s="101"/>
      <c r="Q18" s="101"/>
      <c r="R18" s="101"/>
      <c r="S18" s="101"/>
    </row>
    <row r="19" spans="2:19">
      <c r="B19" s="335" t="s">
        <v>642</v>
      </c>
      <c r="C19" s="407" t="str">
        <f>Data!$C$9</f>
        <v>£m 20/21</v>
      </c>
      <c r="D19" s="437">
        <f>D15*D17</f>
        <v>16.42894762298053</v>
      </c>
      <c r="E19" s="437">
        <f t="shared" ref="E19:H19" si="3">E15*E17</f>
        <v>-1.913826479755258</v>
      </c>
      <c r="F19" s="437">
        <f t="shared" si="3"/>
        <v>-1.8784491414235873</v>
      </c>
      <c r="G19" s="437">
        <f t="shared" si="3"/>
        <v>-6.1638992108935184</v>
      </c>
      <c r="H19" s="437">
        <f t="shared" si="3"/>
        <v>-13.496837972796911</v>
      </c>
      <c r="I19" s="18">
        <f>SUM(D19:INDEX(D19:H19,0,MATCH('RFPR cover'!$C$9,$D$6:$H$6,0)))</f>
        <v>12.636672001801685</v>
      </c>
      <c r="J19" s="20">
        <f>SUM(D19:H19)</f>
        <v>-7.0240651818887443</v>
      </c>
      <c r="K19" s="101"/>
      <c r="L19" s="101"/>
      <c r="M19" s="101"/>
      <c r="N19" s="101"/>
      <c r="O19" s="101"/>
      <c r="P19" s="101"/>
      <c r="Q19" s="101"/>
      <c r="R19" s="101"/>
      <c r="S19" s="101"/>
    </row>
    <row r="20" spans="2:19">
      <c r="B20" s="335" t="s">
        <v>643</v>
      </c>
      <c r="C20" s="407" t="str">
        <f>Data!$C$9</f>
        <v>£m 20/21</v>
      </c>
      <c r="D20" s="437">
        <f>D15*(1-D17)</f>
        <v>16.42894762298053</v>
      </c>
      <c r="E20" s="437">
        <f t="shared" ref="E20:H20" si="4">E15*(1-E17)</f>
        <v>-1.913826479755258</v>
      </c>
      <c r="F20" s="437">
        <f t="shared" si="4"/>
        <v>-1.8784491414235873</v>
      </c>
      <c r="G20" s="437">
        <f t="shared" si="4"/>
        <v>-6.1638992108935184</v>
      </c>
      <c r="H20" s="437">
        <f t="shared" si="4"/>
        <v>-13.496837972796911</v>
      </c>
      <c r="I20" s="15">
        <f>SUM(D20:INDEX(D20:H20,0,MATCH('RFPR cover'!$C$9,$D$6:$H$6,0)))</f>
        <v>12.636672001801685</v>
      </c>
      <c r="J20" s="17">
        <f>SUM(D20:H20)</f>
        <v>-7.0240651818887443</v>
      </c>
      <c r="L20" s="101"/>
      <c r="M20" s="101"/>
      <c r="N20" s="101"/>
      <c r="O20" s="101"/>
      <c r="P20" s="101"/>
      <c r="Q20" s="101"/>
      <c r="R20" s="101"/>
      <c r="S20" s="101"/>
    </row>
    <row r="21" spans="2:19">
      <c r="C21" s="335"/>
      <c r="D21" s="335"/>
      <c r="E21" s="335"/>
      <c r="F21" s="335"/>
      <c r="G21" s="335"/>
      <c r="H21" s="335"/>
      <c r="I21" s="335"/>
      <c r="J21" s="335"/>
      <c r="L21" s="101"/>
      <c r="M21" s="101"/>
      <c r="N21" s="101"/>
      <c r="O21" s="101"/>
      <c r="P21" s="101"/>
      <c r="Q21" s="101"/>
      <c r="R21" s="101"/>
      <c r="S21" s="101"/>
    </row>
    <row r="22" spans="2:19">
      <c r="B22" s="342" t="s">
        <v>644</v>
      </c>
      <c r="L22" s="101"/>
      <c r="M22" s="101"/>
      <c r="N22" s="101"/>
      <c r="O22" s="101"/>
      <c r="P22" s="101"/>
    </row>
    <row r="23" spans="2:19">
      <c r="B23" s="348" t="s">
        <v>645</v>
      </c>
      <c r="C23" s="407" t="str">
        <f>Data!$C$9</f>
        <v>£m 20/21</v>
      </c>
      <c r="D23" s="414">
        <v>-33.906810367243438</v>
      </c>
      <c r="E23" s="414">
        <v>1.7756666740491163</v>
      </c>
      <c r="F23" s="414">
        <v>-1.9234043765550695</v>
      </c>
      <c r="G23" s="414">
        <v>8.844444970636566</v>
      </c>
      <c r="H23" s="414">
        <v>25.210103099112832</v>
      </c>
      <c r="I23" s="15">
        <f>SUM(D23:INDEX(D23:H23,0,MATCH('RFPR cover'!$C$9,$D$6:$H$6,0)))</f>
        <v>-34.054548069749387</v>
      </c>
      <c r="J23" s="17">
        <f t="shared" ref="J23:J28" si="5">SUM(D23:H23)</f>
        <v>0</v>
      </c>
      <c r="L23" s="101"/>
      <c r="M23" s="101"/>
      <c r="N23" s="101"/>
      <c r="O23" s="101"/>
      <c r="P23" s="101"/>
      <c r="Q23" s="101"/>
      <c r="R23" s="101"/>
      <c r="S23" s="101"/>
    </row>
    <row r="24" spans="2:19">
      <c r="B24" s="348" t="s">
        <v>646</v>
      </c>
      <c r="C24" s="407" t="str">
        <f>Data!$C$9</f>
        <v>£m 20/21</v>
      </c>
      <c r="D24" s="414"/>
      <c r="E24" s="414"/>
      <c r="F24" s="414"/>
      <c r="G24" s="414"/>
      <c r="H24" s="414"/>
      <c r="I24" s="15">
        <f>SUM(D24:INDEX(D24:H24,0,MATCH('RFPR cover'!$C$9,$D$6:$H$6,0)))</f>
        <v>0</v>
      </c>
      <c r="J24" s="17">
        <f t="shared" si="5"/>
        <v>0</v>
      </c>
      <c r="L24" s="101"/>
      <c r="M24" s="101"/>
      <c r="N24" s="101"/>
      <c r="O24" s="101"/>
      <c r="P24" s="101"/>
      <c r="Q24" s="101"/>
      <c r="R24" s="101"/>
      <c r="S24" s="101"/>
    </row>
    <row r="25" spans="2:19">
      <c r="B25" s="348" t="s">
        <v>646</v>
      </c>
      <c r="C25" s="407" t="str">
        <f>Data!$C$9</f>
        <v>£m 20/21</v>
      </c>
      <c r="D25" s="414"/>
      <c r="E25" s="414"/>
      <c r="F25" s="414"/>
      <c r="G25" s="414"/>
      <c r="H25" s="414"/>
      <c r="I25" s="15">
        <f>SUM(D25:INDEX(D25:H25,0,MATCH('RFPR cover'!$C$9,$D$6:$H$6,0)))</f>
        <v>0</v>
      </c>
      <c r="J25" s="17">
        <f t="shared" si="5"/>
        <v>0</v>
      </c>
      <c r="L25" s="101"/>
      <c r="M25" s="101"/>
      <c r="N25" s="101"/>
      <c r="O25" s="101"/>
      <c r="P25" s="101"/>
      <c r="Q25" s="101"/>
      <c r="R25" s="101"/>
      <c r="S25" s="101"/>
    </row>
    <row r="26" spans="2:19">
      <c r="B26" s="348" t="s">
        <v>646</v>
      </c>
      <c r="C26" s="407" t="str">
        <f>Data!$C$9</f>
        <v>£m 20/21</v>
      </c>
      <c r="D26" s="414"/>
      <c r="E26" s="414"/>
      <c r="F26" s="414"/>
      <c r="G26" s="414"/>
      <c r="H26" s="414"/>
      <c r="I26" s="15">
        <f>SUM(D26:INDEX(D26:H26,0,MATCH('RFPR cover'!$C$9,$D$6:$H$6,0)))</f>
        <v>0</v>
      </c>
      <c r="J26" s="17">
        <f t="shared" si="5"/>
        <v>0</v>
      </c>
      <c r="L26" s="101"/>
      <c r="M26" s="101"/>
      <c r="N26" s="101"/>
      <c r="O26" s="101"/>
      <c r="P26" s="101"/>
      <c r="Q26" s="101"/>
      <c r="R26" s="101"/>
      <c r="S26" s="101"/>
    </row>
    <row r="27" spans="2:19">
      <c r="B27" s="348" t="s">
        <v>646</v>
      </c>
      <c r="C27" s="407" t="str">
        <f>Data!$C$9</f>
        <v>£m 20/21</v>
      </c>
      <c r="D27" s="414"/>
      <c r="E27" s="414"/>
      <c r="F27" s="414"/>
      <c r="G27" s="414"/>
      <c r="H27" s="414"/>
      <c r="I27" s="15">
        <f>SUM(D27:INDEX(D27:H27,0,MATCH('RFPR cover'!$C$9,$D$6:$H$6,0)))</f>
        <v>0</v>
      </c>
      <c r="J27" s="17">
        <f t="shared" si="5"/>
        <v>0</v>
      </c>
      <c r="L27" s="101"/>
      <c r="M27" s="101"/>
      <c r="N27" s="101"/>
      <c r="O27" s="101"/>
      <c r="P27" s="101"/>
      <c r="Q27" s="101"/>
      <c r="R27" s="101"/>
      <c r="S27" s="101"/>
    </row>
    <row r="28" spans="2:19">
      <c r="B28" s="348" t="s">
        <v>646</v>
      </c>
      <c r="C28" s="407" t="str">
        <f>Data!$C$9</f>
        <v>£m 20/21</v>
      </c>
      <c r="D28" s="414"/>
      <c r="E28" s="414"/>
      <c r="F28" s="414"/>
      <c r="G28" s="414"/>
      <c r="H28" s="414"/>
      <c r="I28" s="15">
        <f>SUM(D28:INDEX(D28:H28,0,MATCH('RFPR cover'!$C$9,$D$6:$H$6,0)))</f>
        <v>0</v>
      </c>
      <c r="J28" s="17">
        <f t="shared" si="5"/>
        <v>0</v>
      </c>
      <c r="L28" s="101"/>
      <c r="M28" s="101"/>
      <c r="N28" s="101"/>
      <c r="O28" s="101"/>
      <c r="P28" s="101"/>
      <c r="Q28" s="101"/>
      <c r="R28" s="101"/>
      <c r="S28" s="101"/>
    </row>
    <row r="29" spans="2:19">
      <c r="B29" s="348" t="s">
        <v>646</v>
      </c>
      <c r="C29" s="407" t="str">
        <f>Data!$C$9</f>
        <v>£m 20/21</v>
      </c>
      <c r="D29" s="414"/>
      <c r="E29" s="414"/>
      <c r="F29" s="414"/>
      <c r="G29" s="414"/>
      <c r="H29" s="414"/>
      <c r="I29" s="15">
        <f>SUM(D29:INDEX(D29:H29,0,MATCH('RFPR cover'!$C$9,$D$6:$H$6,0)))</f>
        <v>0</v>
      </c>
      <c r="J29" s="17">
        <f t="shared" ref="J29" si="6">SUM(D29:H29)</f>
        <v>0</v>
      </c>
      <c r="L29" s="101"/>
      <c r="M29" s="101"/>
      <c r="N29" s="101"/>
      <c r="O29" s="101"/>
      <c r="P29" s="101"/>
      <c r="Q29" s="101"/>
      <c r="R29" s="101"/>
      <c r="S29" s="101"/>
    </row>
    <row r="30" spans="2:19">
      <c r="B30" s="342" t="s">
        <v>647</v>
      </c>
      <c r="C30" s="407" t="str">
        <f>Data!$C$9</f>
        <v>£m 20/21</v>
      </c>
      <c r="D30" s="437">
        <f>SUM(D23:D29)</f>
        <v>-33.906810367243438</v>
      </c>
      <c r="E30" s="437">
        <f t="shared" ref="E30:H30" si="7">SUM(E23:E29)</f>
        <v>1.7756666740491163</v>
      </c>
      <c r="F30" s="437">
        <f t="shared" si="7"/>
        <v>-1.9234043765550695</v>
      </c>
      <c r="G30" s="437">
        <f t="shared" si="7"/>
        <v>8.844444970636566</v>
      </c>
      <c r="H30" s="437">
        <f t="shared" si="7"/>
        <v>25.210103099112832</v>
      </c>
      <c r="I30" s="15">
        <f>SUM(D30:INDEX(D30:H30,0,MATCH('RFPR cover'!$C$9,$D$6:$H$6,0)))</f>
        <v>-34.054548069749387</v>
      </c>
      <c r="J30" s="17">
        <f t="shared" ref="J30" si="8">SUM(D30:H30)</f>
        <v>0</v>
      </c>
      <c r="L30" s="101"/>
      <c r="M30" s="101"/>
      <c r="N30" s="101"/>
      <c r="O30" s="101"/>
      <c r="P30" s="101"/>
      <c r="Q30" s="101"/>
      <c r="R30" s="101"/>
      <c r="S30" s="101"/>
    </row>
    <row r="31" spans="2:19">
      <c r="B31" s="342"/>
      <c r="L31" s="101"/>
      <c r="M31" s="101"/>
      <c r="N31" s="101"/>
      <c r="O31" s="101"/>
      <c r="P31" s="101"/>
      <c r="Q31" s="101"/>
      <c r="R31" s="101"/>
      <c r="S31" s="101"/>
    </row>
    <row r="32" spans="2:19">
      <c r="B32" s="342" t="s">
        <v>648</v>
      </c>
      <c r="L32" s="101"/>
      <c r="M32" s="101"/>
      <c r="N32" s="101"/>
      <c r="O32" s="101"/>
      <c r="P32" s="101"/>
      <c r="Q32" s="101"/>
      <c r="R32" s="101"/>
      <c r="S32" s="101"/>
    </row>
    <row r="33" spans="2:19">
      <c r="B33" s="348" t="s">
        <v>645</v>
      </c>
      <c r="C33" s="407" t="str">
        <f>Data!$C$9</f>
        <v>£m 20/21</v>
      </c>
      <c r="D33" s="414"/>
      <c r="E33" s="414"/>
      <c r="F33" s="414"/>
      <c r="G33" s="414"/>
      <c r="H33" s="414"/>
      <c r="I33" s="15">
        <f>SUM(D33:INDEX(D33:H33,0,MATCH('RFPR cover'!$C$9,$D$6:$H$6,0)))</f>
        <v>0</v>
      </c>
      <c r="J33" s="17">
        <f>SUM(D33:H33)</f>
        <v>0</v>
      </c>
      <c r="L33" s="101"/>
      <c r="M33" s="101"/>
      <c r="N33" s="101"/>
      <c r="O33" s="101"/>
      <c r="P33" s="101"/>
      <c r="Q33" s="101"/>
      <c r="R33" s="101"/>
      <c r="S33" s="101"/>
    </row>
    <row r="34" spans="2:19">
      <c r="B34" s="348" t="s">
        <v>646</v>
      </c>
      <c r="C34" s="407" t="str">
        <f>Data!$C$9</f>
        <v>£m 20/21</v>
      </c>
      <c r="D34" s="414"/>
      <c r="E34" s="414"/>
      <c r="F34" s="414"/>
      <c r="G34" s="414"/>
      <c r="H34" s="414"/>
      <c r="I34" s="15">
        <f>SUM(D34:INDEX(D34:H34,0,MATCH('RFPR cover'!$C$9,$D$6:$H$6,0)))</f>
        <v>0</v>
      </c>
      <c r="J34" s="17">
        <f t="shared" ref="J34:J35" si="9">SUM(D34:H34)</f>
        <v>0</v>
      </c>
      <c r="L34" s="101"/>
      <c r="M34" s="101"/>
      <c r="N34" s="101"/>
      <c r="O34" s="101"/>
      <c r="P34" s="101"/>
      <c r="Q34" s="101"/>
      <c r="R34" s="101"/>
      <c r="S34" s="101"/>
    </row>
    <row r="35" spans="2:19">
      <c r="B35" s="342" t="s">
        <v>647</v>
      </c>
      <c r="C35" s="407" t="str">
        <f>Data!$C$9</f>
        <v>£m 20/21</v>
      </c>
      <c r="D35" s="437">
        <f>SUM(D33:D34)</f>
        <v>0</v>
      </c>
      <c r="E35" s="437">
        <f t="shared" ref="E35:H35" si="10">SUM(E33:E34)</f>
        <v>0</v>
      </c>
      <c r="F35" s="437">
        <f t="shared" si="10"/>
        <v>0</v>
      </c>
      <c r="G35" s="437">
        <f t="shared" si="10"/>
        <v>0</v>
      </c>
      <c r="H35" s="437">
        <f t="shared" si="10"/>
        <v>0</v>
      </c>
      <c r="I35" s="15">
        <f>SUM(D35:INDEX(D35:H35,0,MATCH('RFPR cover'!$C$9,$D$6:$H$6,0)))</f>
        <v>0</v>
      </c>
      <c r="J35" s="17">
        <f t="shared" si="9"/>
        <v>0</v>
      </c>
      <c r="L35" s="101"/>
      <c r="M35" s="101"/>
      <c r="N35" s="101"/>
      <c r="O35" s="101"/>
      <c r="P35" s="101"/>
      <c r="Q35" s="101"/>
      <c r="R35" s="101"/>
      <c r="S35" s="101"/>
    </row>
    <row r="36" spans="2:19">
      <c r="B36" s="342"/>
      <c r="L36" s="101"/>
      <c r="M36" s="101"/>
      <c r="N36" s="101"/>
      <c r="O36" s="101"/>
      <c r="P36" s="101"/>
      <c r="Q36" s="101"/>
      <c r="R36" s="101"/>
      <c r="S36" s="101"/>
    </row>
    <row r="37" spans="2:19">
      <c r="B37" s="335" t="s">
        <v>649</v>
      </c>
      <c r="C37" s="407" t="str">
        <f>Data!$C$9</f>
        <v>£m 20/21</v>
      </c>
      <c r="D37" s="437">
        <f>D30*D17</f>
        <v>-16.953405183621719</v>
      </c>
      <c r="E37" s="437">
        <f t="shared" ref="E37:H37" si="11">E30*E17</f>
        <v>0.88783333702455813</v>
      </c>
      <c r="F37" s="437">
        <f t="shared" si="11"/>
        <v>-0.96170218827753473</v>
      </c>
      <c r="G37" s="437">
        <f t="shared" si="11"/>
        <v>4.422222485318283</v>
      </c>
      <c r="H37" s="437">
        <f t="shared" si="11"/>
        <v>12.605051549556416</v>
      </c>
      <c r="I37" s="18">
        <f>SUM(D37:INDEX(D37:H37,0,MATCH('RFPR cover'!$C$9,$D$6:$H$6,0)))</f>
        <v>-17.027274034874694</v>
      </c>
      <c r="J37" s="20">
        <f>SUM(D37:H37)</f>
        <v>0</v>
      </c>
      <c r="L37" s="101"/>
      <c r="M37" s="101"/>
      <c r="N37" s="101"/>
      <c r="O37" s="101"/>
      <c r="P37" s="101"/>
      <c r="Q37" s="101"/>
      <c r="R37" s="101"/>
      <c r="S37" s="101"/>
    </row>
    <row r="38" spans="2:19">
      <c r="B38" s="335" t="s">
        <v>650</v>
      </c>
      <c r="C38" s="407" t="str">
        <f>Data!$C$9</f>
        <v>£m 20/21</v>
      </c>
      <c r="D38" s="437">
        <f>D30*(1-D17)+D35</f>
        <v>-16.953405183621719</v>
      </c>
      <c r="E38" s="437">
        <f t="shared" ref="E38:H38" si="12">E30*(1-E17)+E35</f>
        <v>0.88783333702455813</v>
      </c>
      <c r="F38" s="437">
        <f t="shared" si="12"/>
        <v>-0.96170218827753473</v>
      </c>
      <c r="G38" s="437">
        <f t="shared" si="12"/>
        <v>4.422222485318283</v>
      </c>
      <c r="H38" s="437">
        <f t="shared" si="12"/>
        <v>12.605051549556416</v>
      </c>
      <c r="I38" s="18">
        <f>SUM(D38:INDEX(D38:H38,0,MATCH('RFPR cover'!$C$9,$D$6:$H$6,0)))</f>
        <v>-17.027274034874694</v>
      </c>
      <c r="J38" s="17">
        <f>SUM(D38:H38)</f>
        <v>0</v>
      </c>
      <c r="L38" s="101"/>
      <c r="M38" s="101"/>
      <c r="N38" s="101"/>
      <c r="O38" s="101"/>
      <c r="P38" s="101"/>
      <c r="Q38" s="101"/>
      <c r="R38" s="101"/>
      <c r="S38" s="101"/>
    </row>
    <row r="39" spans="2:19">
      <c r="B39" s="342"/>
      <c r="L39" s="101"/>
      <c r="M39" s="101"/>
      <c r="N39" s="101"/>
      <c r="O39" s="101"/>
      <c r="P39" s="101"/>
      <c r="Q39" s="101"/>
      <c r="R39" s="101"/>
      <c r="S39" s="101"/>
    </row>
    <row r="40" spans="2:19">
      <c r="B40" s="342" t="s">
        <v>651</v>
      </c>
      <c r="L40" s="101"/>
      <c r="M40" s="101"/>
      <c r="N40" s="101"/>
      <c r="O40" s="101"/>
      <c r="P40" s="101"/>
      <c r="Q40" s="101"/>
      <c r="R40" s="101"/>
      <c r="S40" s="101"/>
    </row>
    <row r="41" spans="2:19">
      <c r="B41" s="335" t="s">
        <v>642</v>
      </c>
      <c r="C41" s="407" t="str">
        <f>Data!$C$9</f>
        <v>£m 20/21</v>
      </c>
      <c r="D41" s="437">
        <f>D19+D37</f>
        <v>-0.52445756064118854</v>
      </c>
      <c r="E41" s="437">
        <f t="shared" ref="E41:H41" si="13">E19+E37</f>
        <v>-1.0259931427306999</v>
      </c>
      <c r="F41" s="437">
        <f t="shared" si="13"/>
        <v>-2.8401513297011221</v>
      </c>
      <c r="G41" s="437">
        <f t="shared" si="13"/>
        <v>-1.7416767255752355</v>
      </c>
      <c r="H41" s="437">
        <f t="shared" si="13"/>
        <v>-0.89178642324049484</v>
      </c>
      <c r="I41" s="18">
        <f>SUM(D41:INDEX(D41:H41,0,MATCH('RFPR cover'!$C$9,$D$6:$H$6,0)))</f>
        <v>-4.3906020330730104</v>
      </c>
      <c r="J41" s="20">
        <f>SUM(D41:H41)</f>
        <v>-7.0240651818887407</v>
      </c>
      <c r="L41" s="101"/>
      <c r="M41" s="101"/>
      <c r="N41" s="101"/>
      <c r="O41" s="101"/>
      <c r="P41" s="101"/>
      <c r="Q41" s="101"/>
      <c r="R41" s="101"/>
      <c r="S41" s="101"/>
    </row>
    <row r="42" spans="2:19">
      <c r="B42" s="335" t="s">
        <v>643</v>
      </c>
      <c r="C42" s="407" t="str">
        <f>Data!$C$9</f>
        <v>£m 20/21</v>
      </c>
      <c r="D42" s="437">
        <f>D20+D38</f>
        <v>-0.52445756064118854</v>
      </c>
      <c r="E42" s="437">
        <f t="shared" ref="E42:H42" si="14">E20+E38</f>
        <v>-1.0259931427306999</v>
      </c>
      <c r="F42" s="437">
        <f t="shared" si="14"/>
        <v>-2.8401513297011221</v>
      </c>
      <c r="G42" s="437">
        <f t="shared" si="14"/>
        <v>-1.7416767255752355</v>
      </c>
      <c r="H42" s="437">
        <f t="shared" si="14"/>
        <v>-0.89178642324049484</v>
      </c>
      <c r="I42" s="18">
        <f>SUM(D42:INDEX(D42:H42,0,MATCH('RFPR cover'!$C$9,$D$6:$H$6,0)))</f>
        <v>-4.3906020330730104</v>
      </c>
      <c r="J42" s="17">
        <f t="shared" ref="J42" si="15">SUM(D42:H42)</f>
        <v>-7.0240651818887407</v>
      </c>
      <c r="L42" s="101"/>
      <c r="M42" s="101"/>
      <c r="N42" s="101"/>
      <c r="O42" s="101"/>
      <c r="P42" s="101"/>
      <c r="Q42" s="101"/>
      <c r="R42" s="101"/>
      <c r="S42" s="101"/>
    </row>
    <row r="43" spans="2:19">
      <c r="B43" s="342" t="s">
        <v>652</v>
      </c>
      <c r="C43" s="415" t="str">
        <f>Data!$C$9</f>
        <v>£m 20/21</v>
      </c>
      <c r="D43" s="437">
        <f>SUM(D41:D42)</f>
        <v>-1.0489151212823771</v>
      </c>
      <c r="E43" s="437">
        <f t="shared" ref="E43:H43" si="16">SUM(E41:E42)</f>
        <v>-2.0519862854613997</v>
      </c>
      <c r="F43" s="437">
        <f t="shared" si="16"/>
        <v>-5.6803026594022441</v>
      </c>
      <c r="G43" s="437">
        <f t="shared" si="16"/>
        <v>-3.4833534511504709</v>
      </c>
      <c r="H43" s="437">
        <f t="shared" si="16"/>
        <v>-1.7835728464809897</v>
      </c>
      <c r="I43" s="15">
        <f>SUM(D43:INDEX(D43:H43,0,MATCH('RFPR cover'!$C$9,$D$6:$H$6,0)))</f>
        <v>-8.7812040661460209</v>
      </c>
      <c r="J43" s="17">
        <f t="shared" ref="J43" si="17">SUM(D43:H43)</f>
        <v>-14.048130363777481</v>
      </c>
      <c r="L43" s="101"/>
      <c r="M43" s="101"/>
      <c r="N43" s="101"/>
      <c r="O43" s="101"/>
      <c r="P43" s="101"/>
      <c r="Q43" s="101"/>
      <c r="R43" s="101"/>
      <c r="S43" s="101"/>
    </row>
    <row r="44" spans="2:19">
      <c r="B44" s="342"/>
      <c r="L44" s="101"/>
      <c r="M44" s="101"/>
      <c r="N44" s="101"/>
      <c r="O44" s="101"/>
      <c r="P44" s="101"/>
      <c r="Q44" s="101"/>
      <c r="R44" s="101"/>
      <c r="S44" s="101"/>
    </row>
    <row r="45" spans="2:19">
      <c r="B45" s="404" t="str">
        <f>IF(Sector="GD2","Capitalisation 2 totex (excluding repex)","Capitalisation 2 totex")</f>
        <v>Capitalisation 2 totex</v>
      </c>
      <c r="C45" s="338"/>
      <c r="D45" s="340"/>
      <c r="E45" s="340"/>
      <c r="F45" s="340"/>
      <c r="G45" s="340"/>
      <c r="H45" s="340"/>
      <c r="I45" s="340"/>
      <c r="J45" s="340"/>
    </row>
    <row r="46" spans="2:19">
      <c r="D46" s="406"/>
      <c r="E46" s="406"/>
      <c r="F46" s="406"/>
      <c r="G46" s="406"/>
      <c r="H46" s="406"/>
      <c r="I46" s="406"/>
      <c r="J46" s="406"/>
    </row>
    <row r="47" spans="2:19">
      <c r="B47" s="77" t="s">
        <v>638</v>
      </c>
      <c r="C47" s="407" t="str">
        <f>Data!$C$9</f>
        <v>£m 20/21</v>
      </c>
      <c r="D47" s="408">
        <v>6.3755762783120868</v>
      </c>
      <c r="E47" s="408">
        <v>9.980645286321268</v>
      </c>
      <c r="F47" s="408">
        <v>11.345725417427285</v>
      </c>
      <c r="G47" s="408">
        <v>20.417507638572271</v>
      </c>
      <c r="H47" s="408">
        <v>23.138266538923652</v>
      </c>
      <c r="I47" s="443">
        <f>SUM(D47:INDEX(D47:H47,0,MATCH('RFPR cover'!$C$9,$D$6:$H$6,0)))</f>
        <v>27.70194698206064</v>
      </c>
      <c r="J47" s="444">
        <f>SUM(D47:H47)</f>
        <v>71.257721159556553</v>
      </c>
      <c r="K47" s="410"/>
    </row>
    <row r="48" spans="2:19" ht="15" customHeight="1">
      <c r="B48" s="409" t="s">
        <v>653</v>
      </c>
      <c r="C48" s="407" t="str">
        <f>Data!$C$9</f>
        <v>£m 20/21</v>
      </c>
      <c r="D48" s="408">
        <v>5.52401286917957</v>
      </c>
      <c r="E48" s="408">
        <v>9.7241466305868549</v>
      </c>
      <c r="F48" s="408">
        <v>14.586562436114521</v>
      </c>
      <c r="G48" s="408">
        <v>21.421823804270641</v>
      </c>
      <c r="H48" s="408">
        <v>22.302734622678585</v>
      </c>
      <c r="I48" s="445">
        <f>SUM(D48:INDEX(D48:H48,0,MATCH('RFPR cover'!$C$9,$D$6:$H$6,0)))</f>
        <v>29.834721935880946</v>
      </c>
      <c r="J48" s="446">
        <f>SUM(D48:H48)</f>
        <v>73.559280362830179</v>
      </c>
      <c r="K48" s="410"/>
    </row>
    <row r="49" spans="2:19">
      <c r="B49" s="75" t="s">
        <v>640</v>
      </c>
      <c r="C49" s="407" t="str">
        <f>Data!$C$9</f>
        <v>£m 20/21</v>
      </c>
      <c r="D49" s="437">
        <f>D48-D47</f>
        <v>-0.85156340913251682</v>
      </c>
      <c r="E49" s="437">
        <f t="shared" ref="E49:J49" si="18">E48-E47</f>
        <v>-0.25649865573441311</v>
      </c>
      <c r="F49" s="437">
        <f t="shared" si="18"/>
        <v>3.2408370186872357</v>
      </c>
      <c r="G49" s="437">
        <f t="shared" si="18"/>
        <v>1.0043161656983699</v>
      </c>
      <c r="H49" s="437">
        <f t="shared" si="18"/>
        <v>-0.83553191624506695</v>
      </c>
      <c r="I49" s="136">
        <f t="shared" si="18"/>
        <v>2.1327749538203058</v>
      </c>
      <c r="J49" s="220">
        <f t="shared" si="18"/>
        <v>2.3015592032736265</v>
      </c>
      <c r="K49" s="120"/>
      <c r="L49" s="120"/>
      <c r="M49" s="120"/>
      <c r="N49" s="120"/>
      <c r="O49" s="120"/>
      <c r="P49" s="120"/>
      <c r="Q49" s="101"/>
      <c r="R49" s="101"/>
      <c r="S49" s="101"/>
    </row>
    <row r="50" spans="2:19">
      <c r="B50" s="75"/>
      <c r="C50" s="407"/>
      <c r="D50" s="411"/>
      <c r="E50" s="411"/>
      <c r="F50" s="411"/>
      <c r="G50" s="411"/>
      <c r="H50" s="411"/>
      <c r="I50" s="411"/>
      <c r="J50" s="411"/>
      <c r="K50" s="412"/>
      <c r="L50" s="412"/>
      <c r="M50" s="412"/>
      <c r="N50" s="412"/>
      <c r="O50" s="412"/>
      <c r="P50" s="412"/>
      <c r="Q50" s="101"/>
      <c r="R50" s="101"/>
      <c r="S50" s="101"/>
    </row>
    <row r="51" spans="2:19">
      <c r="B51" s="335" t="s">
        <v>641</v>
      </c>
      <c r="C51" s="29" t="s">
        <v>538</v>
      </c>
      <c r="D51" s="447">
        <f>INDEX(Data!$C$63:$C$91,MATCH('RFPR cover'!$C$7,Data!$B$63:$B$91,0),0)</f>
        <v>0.5</v>
      </c>
      <c r="E51" s="447">
        <f>INDEX(Data!$C$63:$C$91,MATCH('RFPR cover'!$C$7,Data!$B$63:$B$91,0),0)</f>
        <v>0.5</v>
      </c>
      <c r="F51" s="447">
        <f>INDEX(Data!$C$63:$C$91,MATCH('RFPR cover'!$C$7,Data!$B$63:$B$91,0),0)</f>
        <v>0.5</v>
      </c>
      <c r="G51" s="447">
        <f>INDEX(Data!$C$63:$C$91,MATCH('RFPR cover'!$C$7,Data!$B$63:$B$91,0),0)</f>
        <v>0.5</v>
      </c>
      <c r="H51" s="447">
        <f>INDEX(Data!$C$63:$C$91,MATCH('RFPR cover'!$C$7,Data!$B$63:$B$91,0),0)</f>
        <v>0.5</v>
      </c>
      <c r="I51" s="413"/>
      <c r="J51" s="413"/>
      <c r="K51" s="101"/>
      <c r="L51" s="101"/>
      <c r="M51" s="101"/>
      <c r="N51" s="101"/>
      <c r="O51" s="101"/>
      <c r="P51" s="101"/>
      <c r="Q51" s="101"/>
      <c r="R51" s="101"/>
      <c r="S51" s="101"/>
    </row>
    <row r="52" spans="2:19">
      <c r="K52" s="101"/>
      <c r="L52" s="101"/>
      <c r="M52" s="101"/>
      <c r="N52" s="101"/>
      <c r="O52" s="101"/>
      <c r="P52" s="101"/>
      <c r="Q52" s="101"/>
      <c r="R52" s="101"/>
      <c r="S52" s="101"/>
    </row>
    <row r="53" spans="2:19">
      <c r="B53" s="335" t="s">
        <v>642</v>
      </c>
      <c r="C53" s="407" t="str">
        <f>Data!$C$9</f>
        <v>£m 20/21</v>
      </c>
      <c r="D53" s="437">
        <f>D49*D51</f>
        <v>-0.42578170456625841</v>
      </c>
      <c r="E53" s="437">
        <f t="shared" ref="E53:H53" si="19">E49*E51</f>
        <v>-0.12824932786720655</v>
      </c>
      <c r="F53" s="437">
        <f t="shared" si="19"/>
        <v>1.6204185093436179</v>
      </c>
      <c r="G53" s="437">
        <f t="shared" si="19"/>
        <v>0.50215808284918495</v>
      </c>
      <c r="H53" s="437">
        <f t="shared" si="19"/>
        <v>-0.41776595812253348</v>
      </c>
      <c r="I53" s="50">
        <f>SUM(D53:INDEX(D53:H53,0,MATCH('RFPR cover'!$C$9,$D$6:$H$6,0)))</f>
        <v>1.0663874769101529</v>
      </c>
      <c r="J53" s="71">
        <f>SUM(D53:H53)</f>
        <v>1.1507796016368044</v>
      </c>
      <c r="K53" s="101"/>
      <c r="L53" s="101"/>
      <c r="M53" s="101"/>
      <c r="N53" s="101"/>
      <c r="O53" s="101"/>
      <c r="P53" s="101"/>
      <c r="Q53" s="101"/>
      <c r="R53" s="101"/>
      <c r="S53" s="101"/>
    </row>
    <row r="54" spans="2:19">
      <c r="B54" s="335" t="s">
        <v>643</v>
      </c>
      <c r="C54" s="407" t="str">
        <f>Data!$C$9</f>
        <v>£m 20/21</v>
      </c>
      <c r="D54" s="437">
        <f>D49*(1-D51)</f>
        <v>-0.42578170456625841</v>
      </c>
      <c r="E54" s="437">
        <f t="shared" ref="E54:H54" si="20">E49*(1-E51)</f>
        <v>-0.12824932786720655</v>
      </c>
      <c r="F54" s="437">
        <f t="shared" si="20"/>
        <v>1.6204185093436179</v>
      </c>
      <c r="G54" s="437">
        <f t="shared" si="20"/>
        <v>0.50215808284918495</v>
      </c>
      <c r="H54" s="437">
        <f t="shared" si="20"/>
        <v>-0.41776595812253348</v>
      </c>
      <c r="I54" s="72">
        <f>SUM(D54:INDEX(D54:H54,0,MATCH('RFPR cover'!$C$9,$D$6:$H$6,0)))</f>
        <v>1.0663874769101529</v>
      </c>
      <c r="J54" s="73">
        <f>SUM(D54:H54)</f>
        <v>1.1507796016368044</v>
      </c>
      <c r="K54" s="101"/>
      <c r="L54" s="101"/>
      <c r="M54" s="101"/>
      <c r="N54" s="101"/>
      <c r="O54" s="101"/>
      <c r="P54" s="101"/>
      <c r="Q54" s="101"/>
      <c r="R54" s="101"/>
      <c r="S54" s="101"/>
    </row>
    <row r="55" spans="2:19">
      <c r="K55" s="101"/>
      <c r="L55" s="101"/>
      <c r="M55" s="101"/>
      <c r="N55" s="101"/>
      <c r="O55" s="101"/>
      <c r="P55" s="101"/>
      <c r="Q55" s="101"/>
      <c r="R55" s="101"/>
      <c r="S55" s="101"/>
    </row>
    <row r="56" spans="2:19">
      <c r="B56" s="342" t="s">
        <v>644</v>
      </c>
      <c r="K56" s="101"/>
      <c r="L56" s="101"/>
      <c r="M56" s="101"/>
      <c r="N56" s="101"/>
      <c r="O56" s="101"/>
      <c r="P56" s="101"/>
      <c r="Q56" s="101"/>
      <c r="R56" s="101"/>
      <c r="S56" s="101"/>
    </row>
    <row r="57" spans="2:19">
      <c r="B57" s="348" t="s">
        <v>645</v>
      </c>
      <c r="C57" s="407" t="str">
        <f>Data!$C$9</f>
        <v>£m 20/21</v>
      </c>
      <c r="D57" s="414"/>
      <c r="E57" s="414"/>
      <c r="F57" s="414"/>
      <c r="G57" s="414"/>
      <c r="H57" s="414"/>
      <c r="I57" s="15">
        <f>SUM(D57:INDEX(D57:H57,0,MATCH('RFPR cover'!$C$9,$D$6:$H$6,0)))</f>
        <v>0</v>
      </c>
      <c r="J57" s="17">
        <f>SUM(D57:H57)</f>
        <v>0</v>
      </c>
      <c r="K57" s="101"/>
      <c r="L57" s="101"/>
      <c r="M57" s="101"/>
      <c r="N57" s="101"/>
      <c r="O57" s="101"/>
      <c r="P57" s="101"/>
      <c r="Q57" s="101"/>
      <c r="R57" s="101"/>
      <c r="S57" s="101"/>
    </row>
    <row r="58" spans="2:19">
      <c r="B58" s="348" t="s">
        <v>646</v>
      </c>
      <c r="C58" s="407" t="str">
        <f>Data!$C$9</f>
        <v>£m 20/21</v>
      </c>
      <c r="D58" s="414"/>
      <c r="E58" s="414"/>
      <c r="F58" s="414"/>
      <c r="G58" s="414"/>
      <c r="H58" s="414"/>
      <c r="I58" s="15">
        <f>SUM(D58:INDEX(D58:H58,0,MATCH('RFPR cover'!$C$9,$D$6:$H$6,0)))</f>
        <v>0</v>
      </c>
      <c r="J58" s="17">
        <f t="shared" ref="J58:J59" si="21">SUM(D58:H58)</f>
        <v>0</v>
      </c>
      <c r="K58" s="101"/>
      <c r="L58" s="101"/>
      <c r="M58" s="101"/>
      <c r="N58" s="101"/>
      <c r="O58" s="101"/>
      <c r="P58" s="101"/>
      <c r="Q58" s="101"/>
      <c r="R58" s="101"/>
      <c r="S58" s="101"/>
    </row>
    <row r="59" spans="2:19">
      <c r="B59" s="342" t="s">
        <v>647</v>
      </c>
      <c r="C59" s="407" t="str">
        <f>Data!$C$9</f>
        <v>£m 20/21</v>
      </c>
      <c r="D59" s="437">
        <f>SUM(D57:D58)</f>
        <v>0</v>
      </c>
      <c r="E59" s="437">
        <f t="shared" ref="E59" si="22">SUM(E57:E58)</f>
        <v>0</v>
      </c>
      <c r="F59" s="437">
        <f t="shared" ref="F59" si="23">SUM(F57:F58)</f>
        <v>0</v>
      </c>
      <c r="G59" s="437">
        <f t="shared" ref="G59" si="24">SUM(G57:G58)</f>
        <v>0</v>
      </c>
      <c r="H59" s="437">
        <f t="shared" ref="H59" si="25">SUM(H57:H58)</f>
        <v>0</v>
      </c>
      <c r="I59" s="15">
        <f>SUM(D59:INDEX(D59:H59,0,MATCH('RFPR cover'!$C$9,$D$6:$H$6,0)))</f>
        <v>0</v>
      </c>
      <c r="J59" s="17">
        <f t="shared" si="21"/>
        <v>0</v>
      </c>
      <c r="K59" s="342"/>
      <c r="L59" s="342"/>
      <c r="M59" s="342"/>
      <c r="N59" s="342"/>
      <c r="O59" s="342"/>
      <c r="P59" s="342"/>
      <c r="Q59" s="342"/>
      <c r="R59" s="101"/>
      <c r="S59" s="101"/>
    </row>
    <row r="60" spans="2:19">
      <c r="B60" s="342"/>
      <c r="C60" s="342"/>
      <c r="D60" s="342"/>
      <c r="E60" s="342"/>
      <c r="F60" s="342"/>
      <c r="G60" s="342"/>
      <c r="H60" s="342"/>
      <c r="I60" s="342"/>
      <c r="J60" s="342"/>
      <c r="K60" s="342"/>
      <c r="L60" s="342"/>
      <c r="M60" s="342"/>
      <c r="N60" s="342"/>
      <c r="O60" s="342"/>
      <c r="P60" s="342"/>
      <c r="Q60" s="342"/>
      <c r="R60" s="101"/>
      <c r="S60" s="101"/>
    </row>
    <row r="61" spans="2:19">
      <c r="B61" s="342" t="s">
        <v>648</v>
      </c>
      <c r="K61" s="342"/>
      <c r="L61" s="342"/>
      <c r="M61" s="342"/>
      <c r="N61" s="342"/>
      <c r="O61" s="342"/>
      <c r="P61" s="342"/>
      <c r="Q61" s="342"/>
      <c r="R61" s="101"/>
      <c r="S61" s="101"/>
    </row>
    <row r="62" spans="2:19">
      <c r="B62" s="348" t="s">
        <v>645</v>
      </c>
      <c r="C62" s="407" t="str">
        <f>Data!$C$9</f>
        <v>£m 20/21</v>
      </c>
      <c r="D62" s="414"/>
      <c r="E62" s="414"/>
      <c r="F62" s="414"/>
      <c r="G62" s="414"/>
      <c r="H62" s="414"/>
      <c r="I62" s="15">
        <f>SUM(D62:INDEX(D62:H62,0,MATCH('RFPR cover'!$C$9,$D$6:$H$6,0)))</f>
        <v>0</v>
      </c>
      <c r="J62" s="17">
        <f>SUM(D62:H62)</f>
        <v>0</v>
      </c>
      <c r="K62" s="342"/>
      <c r="L62" s="342"/>
      <c r="M62" s="342"/>
      <c r="N62" s="342"/>
      <c r="O62" s="342"/>
      <c r="P62" s="342"/>
      <c r="Q62" s="342"/>
      <c r="R62" s="101"/>
      <c r="S62" s="101"/>
    </row>
    <row r="63" spans="2:19">
      <c r="B63" s="348" t="s">
        <v>646</v>
      </c>
      <c r="C63" s="407" t="str">
        <f>Data!$C$9</f>
        <v>£m 20/21</v>
      </c>
      <c r="D63" s="414"/>
      <c r="E63" s="414"/>
      <c r="F63" s="414"/>
      <c r="G63" s="414"/>
      <c r="H63" s="414"/>
      <c r="I63" s="15">
        <f>SUM(D63:INDEX(D63:H63,0,MATCH('RFPR cover'!$C$9,$D$6:$H$6,0)))</f>
        <v>0</v>
      </c>
      <c r="J63" s="17">
        <f t="shared" ref="J63:J64" si="26">SUM(D63:H63)</f>
        <v>0</v>
      </c>
      <c r="K63" s="342"/>
      <c r="L63" s="342"/>
      <c r="M63" s="342"/>
      <c r="N63" s="342"/>
      <c r="O63" s="342"/>
      <c r="P63" s="342"/>
      <c r="Q63" s="342"/>
      <c r="R63" s="101"/>
      <c r="S63" s="101"/>
    </row>
    <row r="64" spans="2:19">
      <c r="B64" s="342" t="s">
        <v>647</v>
      </c>
      <c r="C64" s="407" t="str">
        <f>Data!$C$9</f>
        <v>£m 20/21</v>
      </c>
      <c r="D64" s="437">
        <f>SUM(D62:D63)</f>
        <v>0</v>
      </c>
      <c r="E64" s="437">
        <f t="shared" ref="E64:H64" si="27">SUM(E62:E63)</f>
        <v>0</v>
      </c>
      <c r="F64" s="437">
        <f t="shared" si="27"/>
        <v>0</v>
      </c>
      <c r="G64" s="437">
        <f t="shared" si="27"/>
        <v>0</v>
      </c>
      <c r="H64" s="437">
        <f t="shared" si="27"/>
        <v>0</v>
      </c>
      <c r="I64" s="15">
        <f>SUM(D64:INDEX(D64:H64,0,MATCH('RFPR cover'!$C$9,$D$6:$H$6,0)))</f>
        <v>0</v>
      </c>
      <c r="J64" s="17">
        <f t="shared" si="26"/>
        <v>0</v>
      </c>
      <c r="K64" s="342"/>
      <c r="L64" s="342"/>
      <c r="M64" s="342"/>
      <c r="N64" s="342"/>
      <c r="O64" s="342"/>
      <c r="P64" s="342"/>
      <c r="Q64" s="342"/>
      <c r="R64" s="101"/>
      <c r="S64" s="101"/>
    </row>
    <row r="65" spans="2:20">
      <c r="B65" s="342"/>
      <c r="C65" s="342"/>
      <c r="D65" s="342"/>
      <c r="E65" s="342"/>
      <c r="F65" s="342"/>
      <c r="G65" s="342"/>
      <c r="H65" s="342"/>
      <c r="I65" s="342"/>
      <c r="J65" s="342"/>
      <c r="K65" s="342"/>
      <c r="L65" s="342"/>
      <c r="M65" s="342"/>
      <c r="N65" s="342"/>
      <c r="O65" s="342"/>
      <c r="P65" s="342"/>
      <c r="Q65" s="342"/>
      <c r="R65" s="101"/>
      <c r="S65" s="101"/>
    </row>
    <row r="66" spans="2:20">
      <c r="B66" s="335" t="s">
        <v>649</v>
      </c>
      <c r="C66" s="407" t="str">
        <f>Data!$C$9</f>
        <v>£m 20/21</v>
      </c>
      <c r="D66" s="437">
        <f>D59*D51</f>
        <v>0</v>
      </c>
      <c r="E66" s="437">
        <f t="shared" ref="E66:H66" si="28">E59*E51</f>
        <v>0</v>
      </c>
      <c r="F66" s="437">
        <f t="shared" si="28"/>
        <v>0</v>
      </c>
      <c r="G66" s="437">
        <f t="shared" si="28"/>
        <v>0</v>
      </c>
      <c r="H66" s="437">
        <f t="shared" si="28"/>
        <v>0</v>
      </c>
      <c r="I66" s="18">
        <f>SUM(D66:INDEX(D66:H66,0,MATCH('RFPR cover'!$C$9,$D$6:$H$6,0)))</f>
        <v>0</v>
      </c>
      <c r="J66" s="20">
        <f>SUM(D66:H66)</f>
        <v>0</v>
      </c>
      <c r="K66" s="342"/>
      <c r="L66" s="342"/>
      <c r="M66" s="342"/>
      <c r="N66" s="342"/>
      <c r="O66" s="342"/>
      <c r="P66" s="342"/>
      <c r="Q66" s="342"/>
      <c r="R66" s="101"/>
      <c r="S66" s="101"/>
    </row>
    <row r="67" spans="2:20">
      <c r="B67" s="335" t="s">
        <v>650</v>
      </c>
      <c r="C67" s="407" t="str">
        <f>Data!$C$9</f>
        <v>£m 20/21</v>
      </c>
      <c r="D67" s="437">
        <f t="shared" ref="D67:H67" si="29">D59*(1-D51)+D64</f>
        <v>0</v>
      </c>
      <c r="E67" s="437">
        <f t="shared" si="29"/>
        <v>0</v>
      </c>
      <c r="F67" s="437">
        <f t="shared" si="29"/>
        <v>0</v>
      </c>
      <c r="G67" s="437">
        <f t="shared" si="29"/>
        <v>0</v>
      </c>
      <c r="H67" s="437">
        <f t="shared" si="29"/>
        <v>0</v>
      </c>
      <c r="I67" s="18">
        <f>SUM(D67:INDEX(D67:H67,0,MATCH('RFPR cover'!$C$9,$D$6:$H$6,0)))</f>
        <v>0</v>
      </c>
      <c r="J67" s="17">
        <f>SUM(D67:H67)</f>
        <v>0</v>
      </c>
      <c r="K67" s="342"/>
      <c r="L67" s="342"/>
      <c r="M67" s="342"/>
      <c r="N67" s="342"/>
      <c r="O67" s="342"/>
      <c r="P67" s="342"/>
      <c r="Q67" s="342"/>
      <c r="R67" s="101"/>
      <c r="S67" s="101"/>
    </row>
    <row r="68" spans="2:20">
      <c r="B68" s="342"/>
      <c r="C68" s="342"/>
      <c r="D68" s="342"/>
      <c r="E68" s="342"/>
      <c r="F68" s="342"/>
      <c r="G68" s="342"/>
      <c r="H68" s="342"/>
      <c r="I68" s="342"/>
      <c r="J68" s="342"/>
      <c r="K68" s="342"/>
      <c r="L68" s="342"/>
      <c r="M68" s="342"/>
      <c r="N68" s="342"/>
      <c r="O68" s="342"/>
      <c r="P68" s="342"/>
      <c r="Q68" s="342"/>
      <c r="R68" s="101"/>
      <c r="S68" s="101"/>
    </row>
    <row r="69" spans="2:20">
      <c r="B69" s="342" t="s">
        <v>651</v>
      </c>
      <c r="C69" s="342"/>
      <c r="D69" s="342"/>
      <c r="E69" s="342"/>
      <c r="F69" s="342"/>
      <c r="G69" s="342"/>
      <c r="H69" s="342"/>
      <c r="I69" s="342"/>
      <c r="J69" s="342"/>
      <c r="K69" s="342"/>
      <c r="L69" s="342"/>
      <c r="M69" s="342"/>
      <c r="N69" s="342"/>
      <c r="O69" s="342"/>
      <c r="P69" s="342"/>
      <c r="Q69" s="342"/>
      <c r="R69" s="101"/>
      <c r="S69" s="101"/>
    </row>
    <row r="70" spans="2:20">
      <c r="B70" s="335" t="s">
        <v>642</v>
      </c>
      <c r="C70" s="407" t="str">
        <f>Data!$C$9</f>
        <v>£m 20/21</v>
      </c>
      <c r="D70" s="437">
        <f>D66+D53</f>
        <v>-0.42578170456625841</v>
      </c>
      <c r="E70" s="437">
        <f t="shared" ref="E70:H70" si="30">E66+E53</f>
        <v>-0.12824932786720655</v>
      </c>
      <c r="F70" s="437">
        <f t="shared" si="30"/>
        <v>1.6204185093436179</v>
      </c>
      <c r="G70" s="437">
        <f t="shared" si="30"/>
        <v>0.50215808284918495</v>
      </c>
      <c r="H70" s="437">
        <f t="shared" si="30"/>
        <v>-0.41776595812253348</v>
      </c>
      <c r="I70" s="15">
        <f>SUM(D70:INDEX(D70:H70,0,MATCH('RFPR cover'!$C$9,$D$6:$H$6,0)))</f>
        <v>1.0663874769101529</v>
      </c>
      <c r="J70" s="17">
        <f>SUM(D70:H70)</f>
        <v>1.1507796016368044</v>
      </c>
      <c r="K70" s="342"/>
      <c r="L70" s="342"/>
      <c r="M70" s="342"/>
      <c r="N70" s="342"/>
      <c r="O70" s="342"/>
      <c r="P70" s="342"/>
      <c r="Q70" s="342"/>
      <c r="R70" s="101"/>
      <c r="S70" s="101"/>
    </row>
    <row r="71" spans="2:20">
      <c r="B71" s="335" t="s">
        <v>643</v>
      </c>
      <c r="C71" s="407" t="str">
        <f>Data!$C$9</f>
        <v>£m 20/21</v>
      </c>
      <c r="D71" s="437">
        <f>D54+D67</f>
        <v>-0.42578170456625841</v>
      </c>
      <c r="E71" s="437">
        <f t="shared" ref="E71:H71" si="31">E54+E67</f>
        <v>-0.12824932786720655</v>
      </c>
      <c r="F71" s="437">
        <f t="shared" si="31"/>
        <v>1.6204185093436179</v>
      </c>
      <c r="G71" s="437">
        <f t="shared" si="31"/>
        <v>0.50215808284918495</v>
      </c>
      <c r="H71" s="437">
        <f t="shared" si="31"/>
        <v>-0.41776595812253348</v>
      </c>
      <c r="I71" s="15">
        <f>SUM(D71:INDEX(D71:H71,0,MATCH('RFPR cover'!$C$9,$D$6:$H$6,0)))</f>
        <v>1.0663874769101529</v>
      </c>
      <c r="J71" s="17">
        <f t="shared" ref="J71" si="32">SUM(D71:H71)</f>
        <v>1.1507796016368044</v>
      </c>
      <c r="K71" s="342"/>
      <c r="L71" s="342"/>
      <c r="M71" s="342"/>
      <c r="N71" s="342"/>
      <c r="O71" s="342"/>
      <c r="P71" s="342"/>
      <c r="Q71" s="342"/>
      <c r="R71" s="101"/>
      <c r="S71" s="101"/>
    </row>
    <row r="72" spans="2:20">
      <c r="B72" s="342" t="s">
        <v>652</v>
      </c>
      <c r="C72" s="415" t="str">
        <f>Data!$C$9</f>
        <v>£m 20/21</v>
      </c>
      <c r="D72" s="437">
        <f>SUM(D70:D71)</f>
        <v>-0.85156340913251682</v>
      </c>
      <c r="E72" s="437">
        <f t="shared" ref="E72:H72" si="33">SUM(E70:E71)</f>
        <v>-0.25649865573441311</v>
      </c>
      <c r="F72" s="437">
        <f t="shared" si="33"/>
        <v>3.2408370186872357</v>
      </c>
      <c r="G72" s="437">
        <f t="shared" si="33"/>
        <v>1.0043161656983699</v>
      </c>
      <c r="H72" s="437">
        <f t="shared" si="33"/>
        <v>-0.83553191624506695</v>
      </c>
      <c r="I72" s="15">
        <f>SUM(D72:INDEX(D72:H72,0,MATCH('RFPR cover'!$C$9,$D$6:$H$6,0)))</f>
        <v>2.1327749538203058</v>
      </c>
      <c r="J72" s="17">
        <f t="shared" ref="J72" si="34">SUM(D72:H72)</f>
        <v>2.3015592032736087</v>
      </c>
      <c r="K72" s="101"/>
      <c r="L72" s="101"/>
      <c r="M72" s="101"/>
      <c r="N72" s="101"/>
      <c r="O72" s="101"/>
      <c r="P72" s="101"/>
      <c r="Q72" s="101"/>
      <c r="R72" s="101"/>
      <c r="S72" s="101"/>
    </row>
    <row r="73" spans="2:20">
      <c r="C73" s="407"/>
      <c r="D73" s="407"/>
      <c r="E73" s="407"/>
      <c r="F73" s="407"/>
      <c r="G73" s="407"/>
      <c r="H73" s="407"/>
      <c r="I73" s="407"/>
      <c r="J73" s="407"/>
      <c r="K73" s="407"/>
      <c r="L73" s="407"/>
      <c r="M73" s="407"/>
      <c r="N73" s="407"/>
      <c r="O73" s="407"/>
      <c r="P73" s="407"/>
      <c r="Q73" s="407"/>
      <c r="R73" s="407"/>
      <c r="S73" s="407"/>
      <c r="T73" s="407"/>
    </row>
    <row r="74" spans="2:20">
      <c r="B74" s="416" t="s">
        <v>654</v>
      </c>
      <c r="C74" s="338"/>
      <c r="D74" s="340"/>
      <c r="E74" s="340"/>
      <c r="F74" s="340"/>
      <c r="G74" s="340"/>
      <c r="H74" s="340"/>
      <c r="I74" s="340"/>
      <c r="J74" s="340"/>
      <c r="K74" s="101"/>
      <c r="L74" s="101"/>
      <c r="M74" s="101"/>
      <c r="N74" s="101"/>
      <c r="O74" s="101"/>
      <c r="P74" s="101"/>
      <c r="Q74" s="101"/>
      <c r="R74" s="101"/>
      <c r="S74" s="101"/>
    </row>
    <row r="75" spans="2:20">
      <c r="D75" s="406"/>
      <c r="E75" s="406"/>
      <c r="F75" s="406"/>
      <c r="G75" s="406"/>
      <c r="H75" s="406"/>
      <c r="I75" s="406"/>
      <c r="J75" s="406"/>
      <c r="K75" s="101"/>
      <c r="L75" s="101"/>
      <c r="M75" s="101"/>
      <c r="N75" s="101"/>
      <c r="O75" s="101"/>
      <c r="P75" s="101"/>
      <c r="Q75" s="101"/>
      <c r="R75" s="101"/>
      <c r="S75" s="101"/>
    </row>
    <row r="76" spans="2:20">
      <c r="B76" s="77" t="s">
        <v>655</v>
      </c>
      <c r="C76" s="407" t="str">
        <f>Data!$C$9</f>
        <v>£m 20/21</v>
      </c>
      <c r="D76" s="408"/>
      <c r="E76" s="408"/>
      <c r="F76" s="408"/>
      <c r="G76" s="408"/>
      <c r="H76" s="408"/>
      <c r="I76" s="443">
        <f>SUM(D76:INDEX(D76:H76,0,MATCH('RFPR cover'!$C$9,$D$6:$H$6,0)))</f>
        <v>0</v>
      </c>
      <c r="J76" s="444">
        <f>SUM(D76:H76)</f>
        <v>0</v>
      </c>
      <c r="K76" s="101"/>
      <c r="L76" s="101"/>
      <c r="M76" s="101"/>
      <c r="N76" s="101"/>
      <c r="O76" s="101"/>
      <c r="P76" s="101"/>
      <c r="Q76" s="101"/>
      <c r="R76" s="101"/>
      <c r="S76" s="101"/>
    </row>
    <row r="77" spans="2:20" ht="16.5" customHeight="1">
      <c r="B77" s="409" t="s">
        <v>656</v>
      </c>
      <c r="C77" s="417" t="str">
        <f>Data!$C$9</f>
        <v>£m 20/21</v>
      </c>
      <c r="D77" s="408"/>
      <c r="E77" s="408"/>
      <c r="F77" s="408"/>
      <c r="G77" s="408"/>
      <c r="H77" s="408"/>
      <c r="I77" s="448">
        <f>SUM(D77:INDEX(D77:H77,0,MATCH('RFPR cover'!$C$9,$D$6:$H$6,0)))</f>
        <v>0</v>
      </c>
      <c r="J77" s="449">
        <f>SUM(D77:H77)</f>
        <v>0</v>
      </c>
      <c r="K77" s="418"/>
      <c r="L77" s="418"/>
      <c r="M77" s="418"/>
      <c r="N77" s="418"/>
      <c r="O77" s="418"/>
      <c r="P77" s="418"/>
      <c r="Q77" s="418"/>
      <c r="R77" s="418"/>
      <c r="S77" s="418"/>
    </row>
    <row r="78" spans="2:20">
      <c r="B78" s="75" t="s">
        <v>640</v>
      </c>
      <c r="C78" s="407" t="str">
        <f>Data!$C$9</f>
        <v>£m 20/21</v>
      </c>
      <c r="D78" s="437">
        <f>D77-D76</f>
        <v>0</v>
      </c>
      <c r="E78" s="437">
        <f t="shared" ref="E78:J78" si="35">E77-E76</f>
        <v>0</v>
      </c>
      <c r="F78" s="437">
        <f t="shared" si="35"/>
        <v>0</v>
      </c>
      <c r="G78" s="437">
        <f t="shared" si="35"/>
        <v>0</v>
      </c>
      <c r="H78" s="437">
        <f t="shared" si="35"/>
        <v>0</v>
      </c>
      <c r="I78" s="136">
        <f t="shared" si="35"/>
        <v>0</v>
      </c>
      <c r="J78" s="220">
        <f t="shared" si="35"/>
        <v>0</v>
      </c>
      <c r="K78" s="101"/>
      <c r="L78" s="101"/>
      <c r="M78" s="101"/>
      <c r="N78" s="101"/>
      <c r="O78" s="101"/>
      <c r="P78" s="101"/>
      <c r="Q78" s="101"/>
      <c r="R78" s="101"/>
      <c r="S78" s="101"/>
    </row>
    <row r="79" spans="2:20">
      <c r="B79" s="75"/>
      <c r="C79" s="407"/>
      <c r="D79" s="411"/>
      <c r="E79" s="411"/>
      <c r="F79" s="411"/>
      <c r="G79" s="411"/>
      <c r="H79" s="411"/>
      <c r="I79" s="411"/>
      <c r="J79" s="411"/>
      <c r="K79" s="101"/>
      <c r="L79" s="101"/>
      <c r="M79" s="101"/>
      <c r="N79" s="101"/>
      <c r="O79" s="101"/>
      <c r="P79" s="101"/>
      <c r="Q79" s="101"/>
      <c r="R79" s="101"/>
      <c r="S79" s="101"/>
    </row>
    <row r="80" spans="2:20">
      <c r="B80" s="335" t="s">
        <v>641</v>
      </c>
      <c r="C80" s="29" t="s">
        <v>538</v>
      </c>
      <c r="D80" s="447">
        <f>INDEX(Data!$C$63:$C$91,MATCH('RFPR cover'!$C$7,Data!$B$63:$B$91,0),0)</f>
        <v>0.5</v>
      </c>
      <c r="E80" s="447">
        <f>INDEX(Data!$C$63:$C$91,MATCH('RFPR cover'!$C$7,Data!$B$63:$B$91,0),0)</f>
        <v>0.5</v>
      </c>
      <c r="F80" s="447">
        <f>INDEX(Data!$C$63:$C$91,MATCH('RFPR cover'!$C$7,Data!$B$63:$B$91,0),0)</f>
        <v>0.5</v>
      </c>
      <c r="G80" s="447">
        <f>INDEX(Data!$C$63:$C$91,MATCH('RFPR cover'!$C$7,Data!$B$63:$B$91,0),0)</f>
        <v>0.5</v>
      </c>
      <c r="H80" s="447">
        <f>INDEX(Data!$C$63:$C$91,MATCH('RFPR cover'!$C$7,Data!$B$63:$B$91,0),0)</f>
        <v>0.5</v>
      </c>
      <c r="I80" s="413"/>
      <c r="J80" s="413"/>
      <c r="K80" s="101"/>
      <c r="L80" s="101"/>
      <c r="M80" s="101"/>
      <c r="N80" s="101"/>
      <c r="O80" s="101"/>
      <c r="P80" s="101"/>
      <c r="Q80" s="101"/>
      <c r="R80" s="101"/>
      <c r="S80" s="101"/>
    </row>
    <row r="81" spans="2:19">
      <c r="K81" s="101"/>
      <c r="L81" s="101"/>
      <c r="M81" s="101"/>
      <c r="N81" s="101"/>
      <c r="O81" s="101"/>
      <c r="P81" s="101"/>
      <c r="Q81" s="101"/>
      <c r="R81" s="101"/>
      <c r="S81" s="101"/>
    </row>
    <row r="82" spans="2:19">
      <c r="B82" s="335" t="s">
        <v>642</v>
      </c>
      <c r="C82" s="407" t="str">
        <f>Data!$C$9</f>
        <v>£m 20/21</v>
      </c>
      <c r="D82" s="437">
        <f>D78*D80</f>
        <v>0</v>
      </c>
      <c r="E82" s="437">
        <f t="shared" ref="E82:H82" si="36">E78*E80</f>
        <v>0</v>
      </c>
      <c r="F82" s="437">
        <f t="shared" si="36"/>
        <v>0</v>
      </c>
      <c r="G82" s="437">
        <f t="shared" si="36"/>
        <v>0</v>
      </c>
      <c r="H82" s="437">
        <f t="shared" si="36"/>
        <v>0</v>
      </c>
      <c r="I82" s="50">
        <f>SUM(D82:INDEX(D82:H82,0,MATCH('RFPR cover'!$C$9,$D$6:$H$6,0)))</f>
        <v>0</v>
      </c>
      <c r="J82" s="71">
        <f>SUM(D82:H82)</f>
        <v>0</v>
      </c>
      <c r="K82" s="101"/>
      <c r="L82" s="101"/>
      <c r="M82" s="101"/>
      <c r="N82" s="101"/>
      <c r="O82" s="101"/>
      <c r="P82" s="101"/>
      <c r="Q82" s="101"/>
      <c r="R82" s="101"/>
      <c r="S82" s="101"/>
    </row>
    <row r="83" spans="2:19">
      <c r="B83" s="335" t="s">
        <v>643</v>
      </c>
      <c r="C83" s="407" t="str">
        <f>Data!$C$9</f>
        <v>£m 20/21</v>
      </c>
      <c r="D83" s="437">
        <f>D78*(1-D80)</f>
        <v>0</v>
      </c>
      <c r="E83" s="437">
        <f t="shared" ref="E83:H83" si="37">E78*(1-E80)</f>
        <v>0</v>
      </c>
      <c r="F83" s="437">
        <f t="shared" si="37"/>
        <v>0</v>
      </c>
      <c r="G83" s="437">
        <f t="shared" si="37"/>
        <v>0</v>
      </c>
      <c r="H83" s="437">
        <f t="shared" si="37"/>
        <v>0</v>
      </c>
      <c r="I83" s="72">
        <f>SUM(D83:INDEX(D83:H83,0,MATCH('RFPR cover'!$C$9,$D$6:$H$6,0)))</f>
        <v>0</v>
      </c>
      <c r="J83" s="73">
        <f>SUM(D83:H83)</f>
        <v>0</v>
      </c>
      <c r="K83" s="101"/>
      <c r="L83" s="101"/>
      <c r="M83" s="101"/>
      <c r="N83" s="101"/>
      <c r="O83" s="101"/>
      <c r="P83" s="101"/>
      <c r="Q83" s="101"/>
      <c r="R83" s="101"/>
      <c r="S83" s="101"/>
    </row>
    <row r="84" spans="2:19">
      <c r="C84" s="335"/>
      <c r="D84" s="335"/>
      <c r="E84" s="335"/>
      <c r="F84" s="335"/>
      <c r="G84" s="335"/>
      <c r="H84" s="335"/>
      <c r="I84" s="335"/>
      <c r="J84" s="335"/>
      <c r="K84" s="335"/>
      <c r="L84" s="335"/>
      <c r="M84" s="101"/>
      <c r="N84" s="101"/>
      <c r="O84" s="101"/>
      <c r="P84" s="101"/>
      <c r="Q84" s="101"/>
      <c r="R84" s="101"/>
      <c r="S84" s="101"/>
    </row>
    <row r="85" spans="2:19">
      <c r="B85" s="342" t="s">
        <v>644</v>
      </c>
      <c r="K85" s="335"/>
      <c r="L85" s="335"/>
      <c r="M85" s="101"/>
      <c r="N85" s="101"/>
      <c r="O85" s="101"/>
      <c r="P85" s="101"/>
      <c r="Q85" s="101"/>
      <c r="R85" s="101"/>
      <c r="S85" s="101"/>
    </row>
    <row r="86" spans="2:19">
      <c r="B86" s="348" t="s">
        <v>645</v>
      </c>
      <c r="C86" s="407" t="str">
        <f>Data!$C$9</f>
        <v>£m 20/21</v>
      </c>
      <c r="D86" s="414"/>
      <c r="E86" s="414"/>
      <c r="F86" s="414"/>
      <c r="G86" s="414"/>
      <c r="H86" s="414"/>
      <c r="I86" s="15">
        <f>SUM(D86:INDEX(D86:H86,0,MATCH('RFPR cover'!$C$9,$D$6:$H$6,0)))</f>
        <v>0</v>
      </c>
      <c r="J86" s="17">
        <f>SUM(D86:H86)</f>
        <v>0</v>
      </c>
      <c r="K86" s="335"/>
      <c r="L86" s="335"/>
      <c r="M86" s="101"/>
      <c r="N86" s="101"/>
      <c r="O86" s="101"/>
      <c r="P86" s="101"/>
      <c r="Q86" s="101"/>
      <c r="R86" s="101"/>
      <c r="S86" s="101"/>
    </row>
    <row r="87" spans="2:19">
      <c r="B87" s="348" t="s">
        <v>646</v>
      </c>
      <c r="C87" s="407" t="str">
        <f>Data!$C$9</f>
        <v>£m 20/21</v>
      </c>
      <c r="D87" s="414"/>
      <c r="E87" s="414"/>
      <c r="F87" s="414"/>
      <c r="G87" s="414"/>
      <c r="H87" s="414"/>
      <c r="I87" s="15">
        <f>SUM(D87:INDEX(D87:H87,0,MATCH('RFPR cover'!$C$9,$D$6:$H$6,0)))</f>
        <v>0</v>
      </c>
      <c r="J87" s="17">
        <f t="shared" ref="J87:J88" si="38">SUM(D87:H87)</f>
        <v>0</v>
      </c>
      <c r="K87" s="335"/>
      <c r="L87" s="335"/>
      <c r="M87" s="101"/>
      <c r="N87" s="101"/>
      <c r="O87" s="101"/>
      <c r="P87" s="101"/>
      <c r="Q87" s="101"/>
      <c r="R87" s="101"/>
      <c r="S87" s="101"/>
    </row>
    <row r="88" spans="2:19">
      <c r="B88" s="342" t="s">
        <v>647</v>
      </c>
      <c r="C88" s="407" t="str">
        <f>Data!$C$9</f>
        <v>£m 20/21</v>
      </c>
      <c r="D88" s="437">
        <f>SUM(D86:D87)</f>
        <v>0</v>
      </c>
      <c r="E88" s="437">
        <f t="shared" ref="E88" si="39">SUM(E86:E87)</f>
        <v>0</v>
      </c>
      <c r="F88" s="437">
        <f t="shared" ref="F88" si="40">SUM(F86:F87)</f>
        <v>0</v>
      </c>
      <c r="G88" s="437">
        <f t="shared" ref="G88" si="41">SUM(G86:G87)</f>
        <v>0</v>
      </c>
      <c r="H88" s="437">
        <f t="shared" ref="H88" si="42">SUM(H86:H87)</f>
        <v>0</v>
      </c>
      <c r="I88" s="15">
        <f>SUM(D88:INDEX(D88:H88,0,MATCH('RFPR cover'!$C$9,$D$6:$H$6,0)))</f>
        <v>0</v>
      </c>
      <c r="J88" s="17">
        <f t="shared" si="38"/>
        <v>0</v>
      </c>
      <c r="K88" s="335"/>
      <c r="L88" s="335"/>
      <c r="M88" s="101"/>
      <c r="N88" s="101"/>
      <c r="O88" s="101"/>
      <c r="P88" s="101"/>
      <c r="Q88" s="101"/>
      <c r="R88" s="101"/>
      <c r="S88" s="101"/>
    </row>
    <row r="89" spans="2:19">
      <c r="B89" s="342"/>
      <c r="C89" s="342"/>
      <c r="D89" s="342"/>
      <c r="E89" s="342"/>
      <c r="F89" s="342"/>
      <c r="G89" s="342"/>
      <c r="H89" s="342"/>
      <c r="I89" s="342"/>
      <c r="J89" s="342"/>
      <c r="K89" s="335"/>
      <c r="L89" s="335"/>
      <c r="M89" s="101"/>
      <c r="N89" s="101"/>
      <c r="O89" s="101"/>
      <c r="P89" s="101"/>
      <c r="Q89" s="101"/>
      <c r="R89" s="101"/>
      <c r="S89" s="101"/>
    </row>
    <row r="90" spans="2:19">
      <c r="B90" s="335" t="s">
        <v>649</v>
      </c>
      <c r="C90" s="407"/>
      <c r="D90" s="437">
        <f>D88*D80</f>
        <v>0</v>
      </c>
      <c r="E90" s="437">
        <f t="shared" ref="E90:H90" si="43">E88*E80</f>
        <v>0</v>
      </c>
      <c r="F90" s="437">
        <f t="shared" si="43"/>
        <v>0</v>
      </c>
      <c r="G90" s="437">
        <f t="shared" si="43"/>
        <v>0</v>
      </c>
      <c r="H90" s="437">
        <f t="shared" si="43"/>
        <v>0</v>
      </c>
      <c r="I90" s="18">
        <f>SUM(D90:INDEX(D90:H90,0,MATCH('RFPR cover'!$C$9,$D$6:$H$6,0)))</f>
        <v>0</v>
      </c>
      <c r="J90" s="20">
        <f>SUM(D90:H90)</f>
        <v>0</v>
      </c>
      <c r="K90" s="335"/>
      <c r="L90" s="335"/>
      <c r="M90" s="101"/>
      <c r="N90" s="101"/>
      <c r="O90" s="101"/>
      <c r="P90" s="101"/>
      <c r="Q90" s="101"/>
      <c r="R90" s="101"/>
      <c r="S90" s="101"/>
    </row>
    <row r="91" spans="2:19">
      <c r="B91" s="335" t="s">
        <v>650</v>
      </c>
      <c r="C91" s="407"/>
      <c r="D91" s="437">
        <f>D88*(1-D80)</f>
        <v>0</v>
      </c>
      <c r="E91" s="437">
        <f t="shared" ref="E91:H91" si="44">E88*(1-E80)</f>
        <v>0</v>
      </c>
      <c r="F91" s="437">
        <f t="shared" si="44"/>
        <v>0</v>
      </c>
      <c r="G91" s="437">
        <f t="shared" si="44"/>
        <v>0</v>
      </c>
      <c r="H91" s="437">
        <f t="shared" si="44"/>
        <v>0</v>
      </c>
      <c r="I91" s="15">
        <v>0</v>
      </c>
      <c r="J91" s="17">
        <f>SUM(D91:H91)</f>
        <v>0</v>
      </c>
      <c r="K91" s="335"/>
      <c r="L91" s="335"/>
      <c r="M91" s="101"/>
      <c r="N91" s="101"/>
      <c r="O91" s="101"/>
      <c r="P91" s="101"/>
      <c r="Q91" s="101"/>
      <c r="R91" s="101"/>
      <c r="S91" s="101"/>
    </row>
    <row r="92" spans="2:19">
      <c r="B92" s="342"/>
      <c r="C92" s="342"/>
      <c r="D92" s="342"/>
      <c r="E92" s="342"/>
      <c r="F92" s="342"/>
      <c r="G92" s="342"/>
      <c r="H92" s="342"/>
      <c r="I92" s="342"/>
      <c r="J92" s="342"/>
      <c r="K92" s="335"/>
      <c r="L92" s="335"/>
      <c r="M92" s="101"/>
      <c r="N92" s="101"/>
      <c r="O92" s="101"/>
      <c r="P92" s="101"/>
      <c r="Q92" s="101"/>
      <c r="R92" s="101"/>
      <c r="S92" s="101"/>
    </row>
    <row r="93" spans="2:19">
      <c r="B93" s="342" t="s">
        <v>651</v>
      </c>
      <c r="C93" s="342"/>
      <c r="D93" s="342"/>
      <c r="E93" s="342"/>
      <c r="F93" s="342"/>
      <c r="G93" s="342"/>
      <c r="H93" s="342"/>
      <c r="I93" s="342"/>
      <c r="J93" s="342"/>
      <c r="K93" s="335"/>
      <c r="L93" s="335"/>
      <c r="M93" s="101"/>
      <c r="N93" s="101"/>
      <c r="O93" s="101"/>
      <c r="P93" s="101"/>
      <c r="Q93" s="101"/>
      <c r="R93" s="101"/>
      <c r="S93" s="101"/>
    </row>
    <row r="94" spans="2:19">
      <c r="B94" s="335" t="s">
        <v>642</v>
      </c>
      <c r="C94" s="407" t="str">
        <f>Data!$C$9</f>
        <v>£m 20/21</v>
      </c>
      <c r="D94" s="437">
        <f>D90+D82</f>
        <v>0</v>
      </c>
      <c r="E94" s="437">
        <f t="shared" ref="E94:H94" si="45">E90+E82</f>
        <v>0</v>
      </c>
      <c r="F94" s="437">
        <f t="shared" si="45"/>
        <v>0</v>
      </c>
      <c r="G94" s="437">
        <f t="shared" si="45"/>
        <v>0</v>
      </c>
      <c r="H94" s="437">
        <f t="shared" si="45"/>
        <v>0</v>
      </c>
      <c r="I94" s="15">
        <f>SUM(D94:INDEX(D94:H94,0,MATCH('RFPR cover'!$C$9,$D$6:$H$6,0)))</f>
        <v>0</v>
      </c>
      <c r="J94" s="17">
        <f>SUM(D94:H94)</f>
        <v>0</v>
      </c>
      <c r="K94" s="335"/>
      <c r="L94" s="335"/>
      <c r="M94" s="101"/>
      <c r="N94" s="101"/>
      <c r="O94" s="101"/>
      <c r="P94" s="101"/>
      <c r="Q94" s="101"/>
      <c r="R94" s="101"/>
      <c r="S94" s="101"/>
    </row>
    <row r="95" spans="2:19">
      <c r="B95" s="335" t="s">
        <v>643</v>
      </c>
      <c r="C95" s="407" t="str">
        <f>Data!$C$9</f>
        <v>£m 20/21</v>
      </c>
      <c r="D95" s="437">
        <f>D83+D91</f>
        <v>0</v>
      </c>
      <c r="E95" s="437">
        <f t="shared" ref="E95:H95" si="46">E83+E91</f>
        <v>0</v>
      </c>
      <c r="F95" s="437">
        <f t="shared" si="46"/>
        <v>0</v>
      </c>
      <c r="G95" s="437">
        <f t="shared" si="46"/>
        <v>0</v>
      </c>
      <c r="H95" s="437">
        <f t="shared" si="46"/>
        <v>0</v>
      </c>
      <c r="I95" s="15">
        <f>SUM(D95:INDEX(D95:H95,0,MATCH('RFPR cover'!$C$9,$D$6:$H$6,0)))</f>
        <v>0</v>
      </c>
      <c r="J95" s="17">
        <f t="shared" ref="J95:J96" si="47">SUM(D95:H95)</f>
        <v>0</v>
      </c>
      <c r="K95" s="335"/>
      <c r="L95" s="335"/>
      <c r="M95" s="101"/>
      <c r="N95" s="101"/>
      <c r="O95" s="101"/>
      <c r="P95" s="101"/>
      <c r="Q95" s="101"/>
      <c r="R95" s="101"/>
      <c r="S95" s="101"/>
    </row>
    <row r="96" spans="2:19">
      <c r="B96" s="342" t="s">
        <v>652</v>
      </c>
      <c r="C96" s="415" t="str">
        <f>Data!$C$9</f>
        <v>£m 20/21</v>
      </c>
      <c r="D96" s="437">
        <f>SUM(D94:D95)</f>
        <v>0</v>
      </c>
      <c r="E96" s="437">
        <f t="shared" ref="E96:H96" si="48">SUM(E94:E95)</f>
        <v>0</v>
      </c>
      <c r="F96" s="437">
        <f t="shared" si="48"/>
        <v>0</v>
      </c>
      <c r="G96" s="437">
        <f t="shared" si="48"/>
        <v>0</v>
      </c>
      <c r="H96" s="437">
        <f t="shared" si="48"/>
        <v>0</v>
      </c>
      <c r="I96" s="15">
        <f>SUM(D96:INDEX(D96:H96,0,MATCH('RFPR cover'!$C$9,$D$6:$H$6,0)))</f>
        <v>0</v>
      </c>
      <c r="J96" s="17">
        <f t="shared" si="47"/>
        <v>0</v>
      </c>
      <c r="K96" s="101"/>
      <c r="L96" s="101"/>
      <c r="M96" s="101"/>
      <c r="N96" s="101"/>
      <c r="O96" s="101"/>
      <c r="P96" s="101"/>
      <c r="Q96" s="101"/>
      <c r="R96" s="101"/>
      <c r="S96" s="101"/>
    </row>
    <row r="97" spans="2:19">
      <c r="K97" s="101"/>
      <c r="L97" s="101"/>
      <c r="M97" s="101"/>
      <c r="N97" s="101"/>
      <c r="O97" s="101"/>
      <c r="P97" s="101"/>
      <c r="Q97" s="101"/>
      <c r="R97" s="101"/>
      <c r="S97" s="101"/>
    </row>
    <row r="98" spans="2:19">
      <c r="B98" s="337" t="s">
        <v>657</v>
      </c>
      <c r="C98" s="338"/>
      <c r="D98" s="340"/>
      <c r="E98" s="340"/>
      <c r="F98" s="340"/>
      <c r="G98" s="340"/>
      <c r="H98" s="340"/>
      <c r="I98" s="340"/>
      <c r="J98" s="340"/>
      <c r="Q98" s="101"/>
      <c r="R98" s="101"/>
      <c r="S98" s="101"/>
    </row>
    <row r="99" spans="2:19">
      <c r="K99" s="101"/>
      <c r="L99" s="101"/>
      <c r="M99" s="101"/>
      <c r="N99" s="101"/>
      <c r="O99" s="101"/>
      <c r="P99" s="101"/>
      <c r="Q99" s="101"/>
      <c r="R99" s="101"/>
      <c r="S99" s="101"/>
    </row>
    <row r="100" spans="2:19">
      <c r="B100" s="342" t="s">
        <v>658</v>
      </c>
      <c r="Q100" s="101"/>
      <c r="R100" s="101"/>
      <c r="S100" s="101"/>
    </row>
    <row r="101" spans="2:19">
      <c r="B101" s="335" t="s">
        <v>659</v>
      </c>
      <c r="C101" s="407" t="str">
        <f>Data!$C$9</f>
        <v>£m 20/21</v>
      </c>
      <c r="D101" s="437">
        <f t="shared" ref="D101:H102" si="49">D41+D70+D94</f>
        <v>-0.95023926520744695</v>
      </c>
      <c r="E101" s="437">
        <f t="shared" si="49"/>
        <v>-1.1542424705979064</v>
      </c>
      <c r="F101" s="437">
        <f t="shared" si="49"/>
        <v>-1.2197328203575042</v>
      </c>
      <c r="G101" s="437">
        <f t="shared" si="49"/>
        <v>-1.2395186427260505</v>
      </c>
      <c r="H101" s="437">
        <f t="shared" si="49"/>
        <v>-1.3095523813630283</v>
      </c>
      <c r="I101" s="15">
        <f>SUM(D101:INDEX(D101:H101,0,MATCH('RFPR cover'!$C$9,$D$6:$H$6,0)))</f>
        <v>-3.3242145561628575</v>
      </c>
      <c r="J101" s="17">
        <f>SUM(D101:H101)</f>
        <v>-5.8732855802519364</v>
      </c>
      <c r="Q101" s="101"/>
      <c r="R101" s="370"/>
      <c r="S101" s="101"/>
    </row>
    <row r="102" spans="2:19">
      <c r="B102" s="335" t="s">
        <v>643</v>
      </c>
      <c r="C102" s="407" t="str">
        <f>Data!$C$9</f>
        <v>£m 20/21</v>
      </c>
      <c r="D102" s="437">
        <f t="shared" si="49"/>
        <v>-0.95023926520744695</v>
      </c>
      <c r="E102" s="437">
        <f t="shared" si="49"/>
        <v>-1.1542424705979064</v>
      </c>
      <c r="F102" s="437">
        <f t="shared" si="49"/>
        <v>-1.2197328203575042</v>
      </c>
      <c r="G102" s="437">
        <f t="shared" si="49"/>
        <v>-1.2395186427260505</v>
      </c>
      <c r="H102" s="437">
        <f t="shared" si="49"/>
        <v>-1.3095523813630283</v>
      </c>
      <c r="I102" s="15">
        <f>SUM(D102:INDEX(D102:H102,0,MATCH('RFPR cover'!$C$9,$D$6:$H$6,0)))</f>
        <v>-3.3242145561628575</v>
      </c>
      <c r="J102" s="17">
        <f t="shared" ref="J102:J103" si="50">SUM(D102:H102)</f>
        <v>-5.8732855802519364</v>
      </c>
      <c r="Q102" s="101"/>
      <c r="R102" s="101"/>
      <c r="S102" s="101"/>
    </row>
    <row r="103" spans="2:19">
      <c r="B103" s="342" t="s">
        <v>660</v>
      </c>
      <c r="C103" s="415" t="str">
        <f>Data!$C$9</f>
        <v>£m 20/21</v>
      </c>
      <c r="D103" s="437">
        <f>SUM(D101:D102)</f>
        <v>-1.9004785304148939</v>
      </c>
      <c r="E103" s="437">
        <f t="shared" ref="E103:H103" si="51">SUM(E101:E102)</f>
        <v>-2.3084849411958128</v>
      </c>
      <c r="F103" s="437">
        <f t="shared" si="51"/>
        <v>-2.4394656407150084</v>
      </c>
      <c r="G103" s="437">
        <f t="shared" si="51"/>
        <v>-2.479037285452101</v>
      </c>
      <c r="H103" s="437">
        <f t="shared" si="51"/>
        <v>-2.6191047627260566</v>
      </c>
      <c r="I103" s="15">
        <f>SUM(D103:INDEX(D103:H103,0,MATCH('RFPR cover'!$C$9,$D$6:$H$6,0)))</f>
        <v>-6.6484291123257151</v>
      </c>
      <c r="J103" s="17">
        <f t="shared" si="50"/>
        <v>-11.746571160503873</v>
      </c>
      <c r="Q103" s="101"/>
      <c r="R103" s="101"/>
      <c r="S103" s="101"/>
    </row>
    <row r="104" spans="2:19">
      <c r="B104" s="342"/>
      <c r="C104" s="415"/>
      <c r="D104" s="415"/>
      <c r="E104" s="415"/>
      <c r="F104" s="415"/>
      <c r="G104" s="415"/>
      <c r="H104" s="415"/>
      <c r="I104" s="415"/>
      <c r="J104" s="415"/>
      <c r="Q104" s="101"/>
      <c r="R104" s="101"/>
      <c r="S104" s="101"/>
    </row>
    <row r="105" spans="2:19">
      <c r="B105" s="400" t="s">
        <v>661</v>
      </c>
      <c r="C105" s="401"/>
      <c r="D105" s="401"/>
      <c r="E105" s="401"/>
      <c r="F105" s="401"/>
      <c r="G105" s="401"/>
      <c r="H105" s="402"/>
      <c r="I105" s="402"/>
      <c r="J105" s="402"/>
    </row>
    <row r="107" spans="2:19">
      <c r="B107" s="292"/>
    </row>
    <row r="108" spans="2:19">
      <c r="B108" s="419"/>
      <c r="D108" s="291" t="str">
        <f t="shared" ref="D108:H108" si="52">IF(D109&lt;=Reporting_Year,"Actuals","N/A")</f>
        <v>Actuals</v>
      </c>
      <c r="E108" s="420" t="str">
        <f t="shared" si="52"/>
        <v>Actuals</v>
      </c>
      <c r="F108" s="420" t="str">
        <f t="shared" si="52"/>
        <v>Actuals</v>
      </c>
      <c r="G108" s="420" t="str">
        <f t="shared" si="52"/>
        <v>N/A</v>
      </c>
      <c r="H108" s="420" t="str">
        <f t="shared" si="52"/>
        <v>N/A</v>
      </c>
    </row>
    <row r="109" spans="2:19">
      <c r="B109" s="292"/>
      <c r="D109" s="397">
        <f>'RFPR cover'!$C$6</f>
        <v>2024</v>
      </c>
      <c r="E109" s="398">
        <f t="shared" ref="E109:H109" si="53">D109+1</f>
        <v>2025</v>
      </c>
      <c r="F109" s="398">
        <f t="shared" si="53"/>
        <v>2026</v>
      </c>
      <c r="G109" s="398">
        <f t="shared" si="53"/>
        <v>2027</v>
      </c>
      <c r="H109" s="398">
        <f t="shared" si="53"/>
        <v>2028</v>
      </c>
    </row>
    <row r="110" spans="2:19">
      <c r="B110" s="292"/>
      <c r="D110" s="296" t="str">
        <f>RIIO_2_start_date-1&amp;"/"&amp;RIGHT(RIIO_2_start_date,2)</f>
        <v>2023/24</v>
      </c>
      <c r="E110" s="296" t="str">
        <f>RIIO_2_start_date&amp;"/"&amp;RIGHT(RIIO_2_start_date+1,2)</f>
        <v>2024/25</v>
      </c>
      <c r="F110" s="296" t="str">
        <f>RIIO_2_start_date+1&amp;"/"&amp;RIGHT(RIIO_2_start_date+2,2)</f>
        <v>2025/26</v>
      </c>
      <c r="G110" s="296" t="str">
        <f>RIIO_2_start_date+2&amp;"/"&amp;RIGHT(RIIO_2_start_date+3,2)</f>
        <v>2026/27</v>
      </c>
      <c r="H110" s="296" t="str">
        <f>RIIO_2_start_date+3&amp;"/"&amp;RIGHT(RIIO_2_start_date+4,2)</f>
        <v>2027/28</v>
      </c>
    </row>
    <row r="111" spans="2:19">
      <c r="B111" s="292"/>
      <c r="D111" s="29"/>
      <c r="E111" s="29"/>
      <c r="F111" s="29"/>
      <c r="G111" s="29"/>
      <c r="H111" s="29"/>
      <c r="I111" s="29"/>
    </row>
    <row r="112" spans="2:19">
      <c r="B112" s="421" t="s">
        <v>662</v>
      </c>
      <c r="C112" s="40"/>
      <c r="D112" s="421"/>
      <c r="E112" s="421"/>
      <c r="F112" s="421"/>
      <c r="G112" s="421"/>
      <c r="H112" s="421"/>
      <c r="Q112" s="101"/>
    </row>
    <row r="113" spans="1:19">
      <c r="B113" s="348" t="s">
        <v>663</v>
      </c>
      <c r="C113" s="29" t="s">
        <v>575</v>
      </c>
      <c r="D113" s="347">
        <v>175.91307324000002</v>
      </c>
      <c r="E113" s="347">
        <v>231.2</v>
      </c>
      <c r="F113" s="347">
        <v>268.7</v>
      </c>
      <c r="G113" s="347"/>
      <c r="H113" s="347"/>
    </row>
    <row r="114" spans="1:19">
      <c r="B114" s="348" t="s">
        <v>664</v>
      </c>
      <c r="C114" s="29" t="s">
        <v>575</v>
      </c>
      <c r="D114" s="422">
        <v>3.2144100199999999</v>
      </c>
      <c r="E114" s="422">
        <v>2.98</v>
      </c>
      <c r="F114" s="414">
        <v>3.2980309999999999</v>
      </c>
      <c r="G114" s="347"/>
      <c r="H114" s="347"/>
    </row>
    <row r="115" spans="1:19">
      <c r="B115" s="348" t="s">
        <v>665</v>
      </c>
      <c r="C115" s="29" t="s">
        <v>575</v>
      </c>
      <c r="D115" s="422">
        <v>0</v>
      </c>
      <c r="E115" s="414">
        <v>0</v>
      </c>
      <c r="F115" s="414">
        <v>0</v>
      </c>
      <c r="G115" s="414"/>
      <c r="H115" s="414"/>
    </row>
    <row r="116" spans="1:19">
      <c r="B116" s="348" t="s">
        <v>666</v>
      </c>
      <c r="C116" s="29" t="s">
        <v>575</v>
      </c>
      <c r="D116" s="347">
        <v>-25.515517469999999</v>
      </c>
      <c r="E116" s="347">
        <v>-34.799524124139687</v>
      </c>
      <c r="F116" s="347">
        <v>-45.925767493844354</v>
      </c>
      <c r="G116" s="347"/>
      <c r="H116" s="347"/>
    </row>
    <row r="117" spans="1:19">
      <c r="B117" s="348" t="s">
        <v>667</v>
      </c>
      <c r="C117" s="29" t="s">
        <v>575</v>
      </c>
      <c r="D117" s="422">
        <v>-1.7569999999999999</v>
      </c>
      <c r="E117" s="422">
        <v>-2.556</v>
      </c>
      <c r="F117" s="414">
        <v>-3.734</v>
      </c>
      <c r="G117" s="414"/>
      <c r="H117" s="414"/>
      <c r="R117" s="101"/>
      <c r="S117" s="101"/>
    </row>
    <row r="118" spans="1:19">
      <c r="B118" s="348" t="s">
        <v>668</v>
      </c>
      <c r="C118" s="29" t="s">
        <v>575</v>
      </c>
      <c r="D118" s="423">
        <v>0</v>
      </c>
      <c r="E118" s="424">
        <v>0</v>
      </c>
      <c r="F118" s="424">
        <v>0</v>
      </c>
      <c r="G118" s="424"/>
      <c r="H118" s="424"/>
    </row>
    <row r="119" spans="1:19">
      <c r="A119" s="419">
        <v>1</v>
      </c>
      <c r="B119" s="876" t="s">
        <v>995</v>
      </c>
      <c r="C119" s="29" t="s">
        <v>575</v>
      </c>
      <c r="D119" s="347">
        <v>-2.7099999999999999E-2</v>
      </c>
      <c r="E119" s="425">
        <v>0</v>
      </c>
      <c r="F119" s="425">
        <v>0</v>
      </c>
      <c r="G119" s="425"/>
      <c r="H119" s="425"/>
    </row>
    <row r="120" spans="1:19">
      <c r="A120" s="419">
        <v>2</v>
      </c>
      <c r="B120" s="348" t="s">
        <v>597</v>
      </c>
      <c r="C120" s="29" t="s">
        <v>575</v>
      </c>
      <c r="D120" s="422"/>
      <c r="E120" s="414"/>
      <c r="F120" s="414"/>
      <c r="G120" s="414"/>
      <c r="H120" s="414"/>
    </row>
    <row r="121" spans="1:19">
      <c r="A121" s="419">
        <v>3</v>
      </c>
      <c r="B121" s="348" t="s">
        <v>594</v>
      </c>
      <c r="C121" s="29" t="s">
        <v>575</v>
      </c>
      <c r="D121" s="426"/>
      <c r="E121" s="427"/>
      <c r="F121" s="427"/>
      <c r="G121" s="427"/>
      <c r="H121" s="427"/>
    </row>
    <row r="122" spans="1:19">
      <c r="B122" s="421" t="s">
        <v>669</v>
      </c>
      <c r="C122" s="29" t="s">
        <v>575</v>
      </c>
      <c r="D122" s="450">
        <f t="shared" ref="D122:H122" si="54">SUM(D113:D121)</f>
        <v>151.82786579000003</v>
      </c>
      <c r="E122" s="451">
        <f t="shared" si="54"/>
        <v>196.82447587586029</v>
      </c>
      <c r="F122" s="451">
        <f t="shared" si="54"/>
        <v>222.33826350615561</v>
      </c>
      <c r="G122" s="451">
        <f t="shared" si="54"/>
        <v>0</v>
      </c>
      <c r="H122" s="452">
        <f t="shared" si="54"/>
        <v>0</v>
      </c>
    </row>
    <row r="123" spans="1:19">
      <c r="B123" s="421"/>
      <c r="C123" s="421"/>
      <c r="D123" s="421"/>
      <c r="E123" s="421"/>
      <c r="F123" s="421"/>
      <c r="G123" s="421"/>
      <c r="H123" s="421"/>
      <c r="I123" s="421"/>
      <c r="J123" s="421"/>
      <c r="K123" s="421"/>
      <c r="L123" s="421"/>
      <c r="M123" s="421"/>
    </row>
    <row r="124" spans="1:19">
      <c r="A124" s="419"/>
      <c r="B124" s="348" t="s">
        <v>670</v>
      </c>
      <c r="C124" s="29" t="s">
        <v>575</v>
      </c>
      <c r="D124" s="347">
        <v>48.005756580000003</v>
      </c>
      <c r="E124" s="347">
        <v>50.917999999999999</v>
      </c>
      <c r="F124" s="347">
        <v>53.960999999999999</v>
      </c>
      <c r="G124" s="347"/>
      <c r="H124" s="347"/>
    </row>
    <row r="125" spans="1:19" ht="21" customHeight="1">
      <c r="A125" s="419"/>
      <c r="B125" s="428" t="s">
        <v>671</v>
      </c>
      <c r="C125" s="419"/>
      <c r="D125" s="419"/>
      <c r="E125" s="419"/>
      <c r="F125" s="419"/>
      <c r="G125" s="419"/>
      <c r="H125" s="419"/>
      <c r="I125" s="419"/>
      <c r="J125" s="419"/>
      <c r="K125" s="29"/>
    </row>
    <row r="126" spans="1:19">
      <c r="A126" s="419">
        <v>1</v>
      </c>
      <c r="B126" s="348" t="s">
        <v>672</v>
      </c>
      <c r="C126" s="29" t="s">
        <v>575</v>
      </c>
      <c r="D126" s="347">
        <v>99.066618949999992</v>
      </c>
      <c r="E126" s="425">
        <v>102.18619999999999</v>
      </c>
      <c r="F126" s="425">
        <v>93.550300000000007</v>
      </c>
      <c r="G126" s="425"/>
      <c r="H126" s="429"/>
    </row>
    <row r="127" spans="1:19">
      <c r="A127" s="419">
        <v>2</v>
      </c>
      <c r="B127" s="876" t="s">
        <v>996</v>
      </c>
      <c r="C127" s="29" t="s">
        <v>575</v>
      </c>
      <c r="D127" s="422">
        <v>-8.0189969999999999E-2</v>
      </c>
      <c r="E127" s="414">
        <v>-0.122</v>
      </c>
      <c r="F127" s="414">
        <v>-0.42499999999999999</v>
      </c>
      <c r="G127" s="414"/>
      <c r="H127" s="430"/>
    </row>
    <row r="128" spans="1:19">
      <c r="A128" s="419">
        <v>3</v>
      </c>
      <c r="B128" s="348" t="s">
        <v>594</v>
      </c>
      <c r="C128" s="29" t="s">
        <v>575</v>
      </c>
      <c r="D128" s="423"/>
      <c r="E128" s="424"/>
      <c r="F128" s="424"/>
      <c r="G128" s="424"/>
      <c r="H128" s="431"/>
    </row>
    <row r="129" spans="1:14">
      <c r="A129" s="419"/>
      <c r="B129" s="421" t="s">
        <v>673</v>
      </c>
      <c r="C129" s="29" t="s">
        <v>575</v>
      </c>
      <c r="D129" s="453">
        <f>SUM(D126:D128)</f>
        <v>98.986428979999985</v>
      </c>
      <c r="E129" s="453">
        <f t="shared" ref="E129:H129" si="55">SUM(E126:E128)</f>
        <v>102.06419999999999</v>
      </c>
      <c r="F129" s="453">
        <f t="shared" si="55"/>
        <v>93.12530000000001</v>
      </c>
      <c r="G129" s="453">
        <f t="shared" si="55"/>
        <v>0</v>
      </c>
      <c r="H129" s="453">
        <f t="shared" si="55"/>
        <v>0</v>
      </c>
    </row>
    <row r="130" spans="1:14">
      <c r="A130" s="419"/>
      <c r="B130" s="421"/>
      <c r="C130" s="421"/>
      <c r="D130" s="421"/>
      <c r="E130" s="421"/>
      <c r="F130" s="421"/>
      <c r="G130" s="421"/>
      <c r="H130" s="421"/>
      <c r="I130" s="421"/>
      <c r="J130" s="421"/>
      <c r="K130" s="421"/>
      <c r="L130" s="421"/>
      <c r="M130" s="421"/>
      <c r="N130" s="421"/>
    </row>
    <row r="131" spans="1:14" s="428" customFormat="1" ht="15" customHeight="1">
      <c r="B131" s="432" t="s">
        <v>674</v>
      </c>
      <c r="C131" s="120" t="s">
        <v>575</v>
      </c>
      <c r="D131" s="437">
        <f>SUM(D122,D124,D129)</f>
        <v>298.82005135000003</v>
      </c>
      <c r="E131" s="437">
        <f t="shared" ref="E131:H131" si="56">SUM(E122,E124,E129)</f>
        <v>349.80667587586026</v>
      </c>
      <c r="F131" s="437">
        <f t="shared" si="56"/>
        <v>369.42456350615566</v>
      </c>
      <c r="G131" s="437">
        <f t="shared" si="56"/>
        <v>0</v>
      </c>
      <c r="H131" s="437">
        <f t="shared" si="56"/>
        <v>0</v>
      </c>
    </row>
    <row r="132" spans="1:14" ht="10.5" customHeight="1">
      <c r="B132" s="292"/>
      <c r="D132" s="433"/>
      <c r="E132" s="433"/>
      <c r="F132" s="433"/>
      <c r="G132" s="433"/>
      <c r="H132" s="433"/>
    </row>
    <row r="133" spans="1:14" ht="26.65" customHeight="1">
      <c r="B133" s="421" t="s">
        <v>675</v>
      </c>
    </row>
    <row r="134" spans="1:14">
      <c r="B134" s="434" t="s">
        <v>676</v>
      </c>
    </row>
    <row r="135" spans="1:14">
      <c r="A135" s="419">
        <v>1</v>
      </c>
      <c r="B135" s="348" t="s">
        <v>670</v>
      </c>
      <c r="C135" s="29" t="s">
        <v>575</v>
      </c>
      <c r="D135" s="435">
        <f>-D124</f>
        <v>-48.005756580000003</v>
      </c>
      <c r="E135" s="435">
        <f>-E124</f>
        <v>-50.917999999999999</v>
      </c>
      <c r="F135" s="435">
        <f>-F124</f>
        <v>-53.960999999999999</v>
      </c>
      <c r="G135" s="435"/>
      <c r="H135" s="435"/>
    </row>
    <row r="136" spans="1:14" ht="7.15" customHeight="1">
      <c r="A136" s="419"/>
      <c r="B136" s="419"/>
      <c r="C136" s="419"/>
      <c r="D136" s="419"/>
      <c r="E136" s="419"/>
    </row>
    <row r="137" spans="1:14">
      <c r="A137" s="419">
        <v>2</v>
      </c>
      <c r="B137" s="876" t="s">
        <v>988</v>
      </c>
      <c r="C137" s="29" t="s">
        <v>575</v>
      </c>
      <c r="D137" s="435">
        <v>-0.72698447918999953</v>
      </c>
      <c r="E137" s="435">
        <v>-0.84702391330000004</v>
      </c>
      <c r="F137" s="435">
        <v>-0.95892430827999986</v>
      </c>
      <c r="G137" s="435"/>
      <c r="H137" s="435"/>
    </row>
    <row r="138" spans="1:14">
      <c r="A138" s="419">
        <v>3</v>
      </c>
      <c r="B138" s="876" t="s">
        <v>989</v>
      </c>
      <c r="C138" s="29" t="s">
        <v>575</v>
      </c>
      <c r="D138" s="435">
        <v>0.46724117999999998</v>
      </c>
      <c r="E138" s="435">
        <v>0.48048978999999997</v>
      </c>
      <c r="F138" s="435">
        <v>0.32410812</v>
      </c>
      <c r="G138" s="435"/>
      <c r="H138" s="435"/>
    </row>
    <row r="139" spans="1:14">
      <c r="A139" s="419">
        <v>4</v>
      </c>
      <c r="B139" s="876" t="s">
        <v>997</v>
      </c>
      <c r="C139" s="29" t="s">
        <v>575</v>
      </c>
      <c r="D139" s="435">
        <v>5.34673239633306</v>
      </c>
      <c r="E139" s="435">
        <v>5.8096959646731774</v>
      </c>
      <c r="F139" s="435">
        <v>6.1298921803661264</v>
      </c>
      <c r="G139" s="435"/>
      <c r="H139" s="435"/>
    </row>
    <row r="140" spans="1:14">
      <c r="A140" s="419">
        <v>5</v>
      </c>
      <c r="B140" s="876" t="s">
        <v>998</v>
      </c>
      <c r="C140" s="29" t="s">
        <v>575</v>
      </c>
      <c r="D140" s="435">
        <v>-3.6262867700000001</v>
      </c>
      <c r="E140" s="435">
        <v>1.2108893049999998</v>
      </c>
      <c r="F140" s="435">
        <v>0.29545701599999996</v>
      </c>
      <c r="G140" s="435"/>
      <c r="H140" s="435"/>
    </row>
    <row r="141" spans="1:14">
      <c r="A141" s="419">
        <v>6</v>
      </c>
      <c r="B141" s="876" t="s">
        <v>999</v>
      </c>
      <c r="C141" s="29" t="s">
        <v>575</v>
      </c>
      <c r="D141" s="435">
        <v>1.0244371283333322</v>
      </c>
      <c r="E141" s="435">
        <v>0.33574891000000012</v>
      </c>
      <c r="F141" s="435">
        <v>1.03996073</v>
      </c>
      <c r="G141" s="435"/>
      <c r="H141" s="435"/>
    </row>
    <row r="142" spans="1:14">
      <c r="A142" s="419">
        <v>7</v>
      </c>
      <c r="B142" s="876" t="s">
        <v>1000</v>
      </c>
      <c r="C142" s="29" t="s">
        <v>575</v>
      </c>
      <c r="D142" s="435">
        <v>4.4919011346256053</v>
      </c>
      <c r="E142" s="435">
        <v>2.9946007564170696</v>
      </c>
      <c r="F142" s="435">
        <v>0</v>
      </c>
      <c r="G142" s="435"/>
      <c r="H142" s="435"/>
    </row>
    <row r="143" spans="1:14">
      <c r="A143" s="419">
        <v>8</v>
      </c>
      <c r="B143" s="876" t="s">
        <v>1001</v>
      </c>
      <c r="C143" s="29" t="s">
        <v>575</v>
      </c>
      <c r="D143" s="435">
        <v>0.18913389514290907</v>
      </c>
      <c r="E143" s="435">
        <v>0.12784705373913841</v>
      </c>
      <c r="F143" s="435">
        <v>0</v>
      </c>
      <c r="G143" s="435"/>
      <c r="H143" s="435"/>
    </row>
    <row r="144" spans="1:14">
      <c r="A144" s="419">
        <v>9</v>
      </c>
      <c r="B144" s="876" t="s">
        <v>1002</v>
      </c>
      <c r="C144" s="29" t="s">
        <v>575</v>
      </c>
      <c r="D144" s="435">
        <v>-0.74210203825776033</v>
      </c>
      <c r="E144" s="435">
        <v>-0.27407517709002338</v>
      </c>
      <c r="F144" s="435">
        <v>-2.9582175889602963E-2</v>
      </c>
      <c r="G144" s="435"/>
      <c r="H144" s="435"/>
    </row>
    <row r="145" spans="1:19">
      <c r="A145" s="419">
        <v>10</v>
      </c>
      <c r="B145" s="876" t="s">
        <v>1003</v>
      </c>
      <c r="C145" s="29" t="s">
        <v>575</v>
      </c>
      <c r="D145" s="435">
        <v>3.7885115659155755</v>
      </c>
      <c r="E145" s="435">
        <v>4.0665634781779652</v>
      </c>
      <c r="F145" s="435">
        <v>2.3012262290567089</v>
      </c>
      <c r="G145" s="435"/>
      <c r="H145" s="435"/>
    </row>
    <row r="146" spans="1:19">
      <c r="A146" s="419">
        <v>11</v>
      </c>
      <c r="B146" s="876" t="s">
        <v>1004</v>
      </c>
      <c r="C146" s="29" t="s">
        <v>575</v>
      </c>
      <c r="D146" s="435">
        <v>2.7099999999999999E-2</v>
      </c>
      <c r="E146" s="435">
        <v>0</v>
      </c>
      <c r="F146" s="435">
        <v>0</v>
      </c>
      <c r="G146" s="435"/>
      <c r="H146" s="435"/>
    </row>
    <row r="147" spans="1:19">
      <c r="A147" s="419">
        <v>12</v>
      </c>
      <c r="B147" s="876" t="s">
        <v>993</v>
      </c>
      <c r="C147" s="29" t="s">
        <v>575</v>
      </c>
      <c r="D147" s="435">
        <v>0.35000474286306371</v>
      </c>
      <c r="E147" s="435">
        <v>-0.4862685341873032</v>
      </c>
      <c r="F147" s="435">
        <v>0.66743433886115322</v>
      </c>
      <c r="G147" s="435"/>
      <c r="H147" s="435"/>
    </row>
    <row r="148" spans="1:19">
      <c r="A148" s="419">
        <v>13</v>
      </c>
      <c r="B148" s="348" t="s">
        <v>594</v>
      </c>
      <c r="C148" s="29" t="s">
        <v>575</v>
      </c>
      <c r="D148" s="435"/>
      <c r="E148" s="435"/>
      <c r="F148" s="435"/>
      <c r="G148" s="435"/>
      <c r="H148" s="435"/>
    </row>
    <row r="149" spans="1:19">
      <c r="A149" s="419">
        <v>14</v>
      </c>
      <c r="B149" s="348" t="s">
        <v>594</v>
      </c>
      <c r="C149" s="29" t="s">
        <v>575</v>
      </c>
      <c r="D149" s="435"/>
      <c r="E149" s="435"/>
      <c r="F149" s="435"/>
      <c r="G149" s="435"/>
      <c r="H149" s="435"/>
    </row>
    <row r="150" spans="1:19" ht="18.75" customHeight="1">
      <c r="A150" s="419"/>
      <c r="B150" s="292" t="s">
        <v>677</v>
      </c>
      <c r="C150" s="29" t="s">
        <v>575</v>
      </c>
      <c r="D150" s="454">
        <f>SUM(D137:D149)</f>
        <v>10.589688755765787</v>
      </c>
      <c r="E150" s="454">
        <f t="shared" ref="E150:H150" si="57">SUM(E137:E149)</f>
        <v>13.418467633430026</v>
      </c>
      <c r="F150" s="454">
        <f t="shared" si="57"/>
        <v>9.7695721301143852</v>
      </c>
      <c r="G150" s="454">
        <f t="shared" si="57"/>
        <v>0</v>
      </c>
      <c r="H150" s="454">
        <f t="shared" si="57"/>
        <v>0</v>
      </c>
    </row>
    <row r="151" spans="1:19">
      <c r="A151" s="419"/>
      <c r="B151" s="434" t="s">
        <v>678</v>
      </c>
      <c r="C151" s="421"/>
      <c r="D151" s="421"/>
      <c r="E151" s="421"/>
      <c r="F151" s="421"/>
      <c r="G151" s="421"/>
      <c r="H151" s="421"/>
    </row>
    <row r="152" spans="1:19">
      <c r="A152" s="419">
        <v>15</v>
      </c>
      <c r="B152" s="876" t="s">
        <v>1005</v>
      </c>
      <c r="C152" s="29" t="s">
        <v>575</v>
      </c>
      <c r="D152" s="347">
        <v>-7.3</v>
      </c>
      <c r="E152" s="347">
        <v>-8.4</v>
      </c>
      <c r="F152" s="347">
        <v>-8.9</v>
      </c>
      <c r="G152" s="347"/>
      <c r="H152" s="347"/>
    </row>
    <row r="153" spans="1:19">
      <c r="A153" s="419">
        <v>16</v>
      </c>
      <c r="B153" s="876" t="s">
        <v>1006</v>
      </c>
      <c r="C153" s="29" t="s">
        <v>575</v>
      </c>
      <c r="D153" s="347">
        <v>0</v>
      </c>
      <c r="E153" s="347">
        <v>-0.1</v>
      </c>
      <c r="F153" s="347">
        <v>0</v>
      </c>
      <c r="G153" s="347"/>
      <c r="H153" s="347"/>
    </row>
    <row r="154" spans="1:19">
      <c r="A154" s="419">
        <v>17</v>
      </c>
      <c r="B154" s="876" t="s">
        <v>1007</v>
      </c>
      <c r="C154" s="29" t="s">
        <v>575</v>
      </c>
      <c r="D154" s="347">
        <v>-1.26045126</v>
      </c>
      <c r="E154" s="347">
        <v>-0.19029183</v>
      </c>
      <c r="F154" s="347">
        <v>-0.50308609999999998</v>
      </c>
      <c r="G154" s="347"/>
      <c r="H154" s="347"/>
    </row>
    <row r="155" spans="1:19">
      <c r="A155" s="419">
        <v>18</v>
      </c>
      <c r="B155" s="876" t="s">
        <v>1008</v>
      </c>
      <c r="C155" s="29" t="s">
        <v>575</v>
      </c>
      <c r="D155" s="347">
        <v>0.14952621999999999</v>
      </c>
      <c r="E155" s="347">
        <v>0.19947334</v>
      </c>
      <c r="F155" s="347">
        <v>-1.8807882600000001</v>
      </c>
      <c r="G155" s="347"/>
      <c r="H155" s="347"/>
      <c r="R155" s="101"/>
      <c r="S155" s="101"/>
    </row>
    <row r="156" spans="1:19">
      <c r="A156" s="419">
        <v>19</v>
      </c>
      <c r="B156" s="876" t="s">
        <v>1009</v>
      </c>
      <c r="C156" s="29" t="s">
        <v>575</v>
      </c>
      <c r="D156" s="347">
        <v>1.7052217125</v>
      </c>
      <c r="E156" s="347">
        <v>2.7787373837290827</v>
      </c>
      <c r="F156" s="347">
        <v>1.3912022562120863</v>
      </c>
      <c r="G156" s="347"/>
      <c r="H156" s="347"/>
      <c r="R156" s="101"/>
      <c r="S156" s="101"/>
    </row>
    <row r="157" spans="1:19">
      <c r="A157" s="419">
        <v>20</v>
      </c>
      <c r="B157" s="876" t="s">
        <v>1010</v>
      </c>
      <c r="C157" s="29" t="s">
        <v>575</v>
      </c>
      <c r="D157" s="347">
        <v>-0.16078664199999987</v>
      </c>
      <c r="E157" s="347">
        <v>3.7163520000917272E-2</v>
      </c>
      <c r="F157" s="347">
        <v>6.475979251791375E-2</v>
      </c>
      <c r="G157" s="347"/>
      <c r="H157" s="347"/>
      <c r="R157" s="101"/>
      <c r="S157" s="101"/>
    </row>
    <row r="158" spans="1:19">
      <c r="A158" s="419">
        <v>21</v>
      </c>
      <c r="B158" s="348" t="s">
        <v>594</v>
      </c>
      <c r="C158" s="29" t="s">
        <v>575</v>
      </c>
      <c r="D158" s="347"/>
      <c r="E158" s="347"/>
      <c r="F158" s="347"/>
      <c r="G158" s="347"/>
      <c r="H158" s="347"/>
      <c r="R158" s="101"/>
      <c r="S158" s="101"/>
    </row>
    <row r="159" spans="1:19" ht="19.5" customHeight="1" thickBot="1">
      <c r="A159" s="419"/>
      <c r="B159" s="292" t="s">
        <v>679</v>
      </c>
      <c r="C159" s="29" t="s">
        <v>575</v>
      </c>
      <c r="D159" s="455">
        <f>SUM(D152:D158)</f>
        <v>-6.8664899694999999</v>
      </c>
      <c r="E159" s="455">
        <f t="shared" ref="E159:H159" si="58">SUM(E152:E158)</f>
        <v>-5.6749175862699985</v>
      </c>
      <c r="F159" s="455">
        <f t="shared" si="58"/>
        <v>-9.8279123112699995</v>
      </c>
      <c r="G159" s="455">
        <f t="shared" si="58"/>
        <v>0</v>
      </c>
      <c r="H159" s="455">
        <f t="shared" si="58"/>
        <v>0</v>
      </c>
      <c r="R159" s="101"/>
      <c r="S159" s="101"/>
    </row>
    <row r="160" spans="1:19" ht="17.649999999999999" customHeight="1" thickBot="1">
      <c r="B160" s="421" t="s">
        <v>680</v>
      </c>
      <c r="C160" s="29" t="s">
        <v>575</v>
      </c>
      <c r="D160" s="456">
        <f>D135+D150+D159</f>
        <v>-44.28255779373422</v>
      </c>
      <c r="E160" s="457">
        <f>E135+E150+E159</f>
        <v>-43.174449952839971</v>
      </c>
      <c r="F160" s="457">
        <f>F135+F150+F159</f>
        <v>-54.019340181155613</v>
      </c>
      <c r="G160" s="457">
        <f>G135+G150+G159</f>
        <v>0</v>
      </c>
      <c r="H160" s="458">
        <f>H135+H150+H159</f>
        <v>0</v>
      </c>
      <c r="R160" s="101"/>
      <c r="S160" s="101"/>
    </row>
    <row r="161" spans="1:19">
      <c r="B161" s="292"/>
      <c r="D161" s="433"/>
      <c r="E161" s="433"/>
      <c r="F161" s="433"/>
      <c r="G161" s="433"/>
      <c r="H161" s="433"/>
      <c r="R161" s="101"/>
      <c r="S161" s="101"/>
    </row>
    <row r="162" spans="1:19">
      <c r="B162" s="421" t="s">
        <v>681</v>
      </c>
      <c r="C162" s="29" t="s">
        <v>575</v>
      </c>
      <c r="D162" s="437">
        <f>D160+D131</f>
        <v>254.53749355626582</v>
      </c>
      <c r="E162" s="437">
        <f>E160+E131</f>
        <v>306.63222592302031</v>
      </c>
      <c r="F162" s="437">
        <f>F160+F131</f>
        <v>315.40522332500007</v>
      </c>
      <c r="G162" s="437">
        <f>G160+G131</f>
        <v>0</v>
      </c>
      <c r="H162" s="437">
        <f>H160+H131</f>
        <v>0</v>
      </c>
      <c r="R162" s="370"/>
      <c r="S162" s="101"/>
    </row>
    <row r="163" spans="1:19">
      <c r="B163" s="292" t="s">
        <v>682</v>
      </c>
      <c r="C163" s="29" t="str">
        <f>Price_basis</f>
        <v>£m 20/21</v>
      </c>
      <c r="D163" s="436"/>
      <c r="E163" s="436"/>
      <c r="F163" s="436"/>
      <c r="G163" s="436"/>
      <c r="H163" s="436"/>
      <c r="I163" s="292" t="s">
        <v>683</v>
      </c>
      <c r="R163" s="101"/>
      <c r="S163" s="101"/>
    </row>
    <row r="164" spans="1:19">
      <c r="B164" s="292" t="s">
        <v>684</v>
      </c>
      <c r="C164" s="29" t="s">
        <v>575</v>
      </c>
      <c r="D164" s="436">
        <v>254.48179355599996</v>
      </c>
      <c r="E164" s="436">
        <v>306.64132017000003</v>
      </c>
      <c r="F164" s="436">
        <v>315.37285746999999</v>
      </c>
      <c r="G164" s="436"/>
      <c r="H164" s="436"/>
      <c r="I164" s="292" t="s">
        <v>683</v>
      </c>
    </row>
    <row r="165" spans="1:19">
      <c r="B165" s="292" t="s">
        <v>685</v>
      </c>
      <c r="C165" s="29" t="s">
        <v>575</v>
      </c>
      <c r="D165" s="459">
        <f>IF(Licensee="ESO",D164, IF(Sector="ED2",D164,D163*INDEX(real_to_nominal_CF,MATCH(D6,calendar_year,0))))</f>
        <v>254.48179355599996</v>
      </c>
      <c r="E165" s="459">
        <f>IF(Licensee="ESO",E164, IF(Sector="ED2",E164,E163*INDEX(real_to_nominal_CF,MATCH(E6,calendar_year,0))))</f>
        <v>306.64132017000003</v>
      </c>
      <c r="F165" s="459">
        <f>IF(Licensee="ESO",F164, IF(Sector="ED2",F164,F163*INDEX(real_to_nominal_CF,MATCH(F6,calendar_year,0))))</f>
        <v>315.37285746999999</v>
      </c>
      <c r="G165" s="459">
        <f>IF(Licensee="ESO",G164, IF(Sector="ED2",G164,G163*INDEX(real_to_nominal_CF,MATCH(G6,calendar_year,0))))</f>
        <v>0</v>
      </c>
      <c r="H165" s="459">
        <f>IF(Licensee="ESO",H164, IF(Sector="ED2",H164,H163*INDEX(real_to_nominal_CF,MATCH(H6,calendar_year,0))))</f>
        <v>0</v>
      </c>
      <c r="I165" s="101"/>
      <c r="R165" s="101"/>
      <c r="S165" s="101"/>
    </row>
    <row r="166" spans="1:19">
      <c r="B166" s="292"/>
      <c r="C166" s="29" t="s">
        <v>686</v>
      </c>
      <c r="D166" s="460" t="str">
        <f>IF(ISNUMBER(D165),IF(D$108="Actuals",IF(ABS(D162-D165)&lt;materiality_threshold,"OK","ERROR"),"N/A"))</f>
        <v>OK</v>
      </c>
      <c r="E166" s="460" t="str">
        <f>IF(ISNUMBER(E165),IF(E$108="Actuals",IF(ABS(E162-E165)&lt;materiality_threshold,"OK","ERROR"),"N/A"))</f>
        <v>OK</v>
      </c>
      <c r="F166" s="460" t="str">
        <f>IF(ISNUMBER(F165),IF(F$108="Actuals",IF(ABS(F162-F165)&lt;materiality_threshold,"OK","ERROR"),"N/A"))</f>
        <v>OK</v>
      </c>
      <c r="G166" s="460" t="str">
        <f>IF(ISNUMBER(G165),IF(G$108="Actuals",IF(ABS(G162-G165)&lt;materiality_threshold,"OK","ERROR"),"N/A"))</f>
        <v>N/A</v>
      </c>
      <c r="H166" s="460" t="str">
        <f>IF(ISNUMBER(H165),IF(H$108="Actuals",IF(ABS(H162-H165)&lt;materiality_threshold,"OK","ERROR"),"N/A"))</f>
        <v>N/A</v>
      </c>
      <c r="I166" s="795"/>
      <c r="R166" s="101"/>
      <c r="S166" s="101"/>
    </row>
    <row r="167" spans="1:19">
      <c r="B167" s="292" t="s">
        <v>247</v>
      </c>
      <c r="R167" s="101"/>
      <c r="S167" s="101"/>
    </row>
    <row r="168" spans="1:19">
      <c r="B168" s="421" t="s">
        <v>687</v>
      </c>
    </row>
    <row r="169" spans="1:19">
      <c r="A169" s="419">
        <v>1</v>
      </c>
      <c r="B169" s="876" t="s">
        <v>1011</v>
      </c>
      <c r="C169" s="29" t="s">
        <v>575</v>
      </c>
      <c r="D169" s="347">
        <v>1.276</v>
      </c>
      <c r="E169" s="347">
        <v>1.9641999999999997</v>
      </c>
      <c r="F169" s="347">
        <v>1.3010999999999999</v>
      </c>
      <c r="G169" s="347"/>
      <c r="H169" s="347"/>
    </row>
    <row r="170" spans="1:19">
      <c r="A170" s="419">
        <v>2</v>
      </c>
      <c r="B170" s="876" t="s">
        <v>1012</v>
      </c>
      <c r="C170" s="29" t="s">
        <v>575</v>
      </c>
      <c r="D170" s="347">
        <v>4.3680000000000003</v>
      </c>
      <c r="E170" s="347">
        <v>4.4912000000000001</v>
      </c>
      <c r="F170" s="414">
        <v>4.1463999999999999</v>
      </c>
      <c r="G170" s="414"/>
      <c r="H170" s="414"/>
    </row>
    <row r="171" spans="1:19">
      <c r="A171" s="419">
        <v>3</v>
      </c>
      <c r="B171" s="876" t="s">
        <v>1013</v>
      </c>
      <c r="C171" s="29" t="s">
        <v>575</v>
      </c>
      <c r="D171" s="347">
        <v>4.4919000000000002</v>
      </c>
      <c r="E171" s="347">
        <v>2.9946000000000002</v>
      </c>
      <c r="F171" s="414">
        <v>0</v>
      </c>
      <c r="G171" s="414"/>
      <c r="H171" s="414"/>
    </row>
    <row r="172" spans="1:19">
      <c r="A172" s="419">
        <v>4</v>
      </c>
      <c r="B172" s="876" t="s">
        <v>1014</v>
      </c>
      <c r="C172" s="29" t="s">
        <v>575</v>
      </c>
      <c r="D172" s="347">
        <v>0.25920000000000004</v>
      </c>
      <c r="E172" s="347">
        <v>0.16589269275028767</v>
      </c>
      <c r="F172" s="414">
        <v>0.34800000000000003</v>
      </c>
      <c r="G172" s="414"/>
      <c r="H172" s="414"/>
    </row>
    <row r="173" spans="1:19">
      <c r="A173" s="419">
        <v>5</v>
      </c>
      <c r="B173" s="876" t="s">
        <v>1015</v>
      </c>
      <c r="C173" s="29" t="s">
        <v>575</v>
      </c>
      <c r="D173" s="347">
        <v>0</v>
      </c>
      <c r="E173" s="347">
        <v>3.2002000000000002</v>
      </c>
      <c r="F173" s="414">
        <v>0</v>
      </c>
      <c r="G173" s="414"/>
      <c r="H173" s="414"/>
    </row>
    <row r="174" spans="1:19">
      <c r="A174" s="419">
        <v>6</v>
      </c>
      <c r="B174" s="876" t="s">
        <v>1016</v>
      </c>
      <c r="C174" s="29" t="s">
        <v>575</v>
      </c>
      <c r="D174" s="347">
        <v>1.89E-2</v>
      </c>
      <c r="E174" s="347">
        <v>7.817899999999999</v>
      </c>
      <c r="F174" s="414">
        <v>9.8799999999999999E-2</v>
      </c>
      <c r="G174" s="414"/>
      <c r="H174" s="414"/>
    </row>
    <row r="175" spans="1:19">
      <c r="A175" s="419">
        <v>7</v>
      </c>
      <c r="B175" s="876" t="s">
        <v>1017</v>
      </c>
      <c r="C175" s="29" t="s">
        <v>575</v>
      </c>
      <c r="D175" s="347">
        <v>-3.04E-2</v>
      </c>
      <c r="E175" s="347">
        <v>4.4000000000000003E-3</v>
      </c>
      <c r="F175" s="414">
        <v>0.11020000000000001</v>
      </c>
      <c r="G175" s="414"/>
      <c r="H175" s="414"/>
    </row>
    <row r="176" spans="1:19">
      <c r="A176" s="419">
        <v>8</v>
      </c>
      <c r="B176" s="876" t="s">
        <v>1018</v>
      </c>
      <c r="C176" s="29" t="s">
        <v>575</v>
      </c>
      <c r="D176" s="347">
        <v>4.0100000000000025E-2</v>
      </c>
      <c r="E176" s="347">
        <v>1.5100000000000002E-2</v>
      </c>
      <c r="F176" s="414">
        <v>4.8200000000000021E-2</v>
      </c>
      <c r="G176" s="414"/>
      <c r="H176" s="414"/>
    </row>
    <row r="177" spans="1:19">
      <c r="A177" s="419">
        <v>9</v>
      </c>
      <c r="B177" s="876" t="s">
        <v>1019</v>
      </c>
      <c r="C177" s="29" t="s">
        <v>575</v>
      </c>
      <c r="D177" s="347">
        <v>37.038899999999998</v>
      </c>
      <c r="E177" s="347">
        <v>31.137599999999999</v>
      </c>
      <c r="F177" s="414">
        <v>31.5898</v>
      </c>
      <c r="G177" s="414"/>
      <c r="H177" s="414"/>
    </row>
    <row r="178" spans="1:19">
      <c r="A178" s="419">
        <v>10</v>
      </c>
      <c r="B178" s="876" t="s">
        <v>1020</v>
      </c>
      <c r="C178" s="29" t="s">
        <v>575</v>
      </c>
      <c r="D178" s="347">
        <v>1.4984956070000002</v>
      </c>
      <c r="E178" s="422">
        <v>0.76999999999999991</v>
      </c>
      <c r="F178" s="414">
        <v>0.14649999999999999</v>
      </c>
      <c r="G178" s="414"/>
      <c r="H178" s="414"/>
    </row>
    <row r="179" spans="1:19">
      <c r="A179" s="419">
        <v>11</v>
      </c>
      <c r="B179" s="876" t="s">
        <v>1021</v>
      </c>
      <c r="C179" s="29" t="s">
        <v>575</v>
      </c>
      <c r="D179" s="347">
        <v>2.5230428460000045</v>
      </c>
      <c r="E179" s="422">
        <v>-0.35050000000000625</v>
      </c>
      <c r="F179" s="414">
        <v>-1.3158000000000003</v>
      </c>
      <c r="G179" s="414"/>
      <c r="H179" s="414"/>
    </row>
    <row r="180" spans="1:19">
      <c r="A180" s="419">
        <v>12</v>
      </c>
      <c r="B180" s="876" t="s">
        <v>1022</v>
      </c>
      <c r="C180" s="29" t="s">
        <v>575</v>
      </c>
      <c r="D180" s="347">
        <v>-0.39436284999999993</v>
      </c>
      <c r="E180" s="422">
        <v>-0.83337982999999993</v>
      </c>
      <c r="F180" s="414">
        <v>-1.2765425299999995</v>
      </c>
      <c r="G180" s="414"/>
      <c r="H180" s="414"/>
    </row>
    <row r="181" spans="1:19">
      <c r="A181" s="419">
        <v>13</v>
      </c>
      <c r="B181" s="876" t="s">
        <v>1023</v>
      </c>
      <c r="C181" s="29" t="s">
        <v>575</v>
      </c>
      <c r="D181" s="347">
        <v>0.39504293999999995</v>
      </c>
      <c r="E181" s="422">
        <v>0.85751877999999992</v>
      </c>
      <c r="F181" s="414">
        <v>1.3362157099999998</v>
      </c>
      <c r="G181" s="414"/>
      <c r="H181" s="414"/>
    </row>
    <row r="182" spans="1:19">
      <c r="A182" s="419">
        <v>14</v>
      </c>
      <c r="B182" s="876" t="s">
        <v>1024</v>
      </c>
      <c r="C182" s="29" t="s">
        <v>575</v>
      </c>
      <c r="D182" s="347">
        <v>0.60780000000000001</v>
      </c>
      <c r="E182" s="422">
        <v>0.71679999999999999</v>
      </c>
      <c r="F182" s="414">
        <v>0.62225694999999992</v>
      </c>
      <c r="G182" s="414"/>
      <c r="H182" s="414"/>
      <c r="R182" s="101"/>
      <c r="S182" s="101"/>
    </row>
    <row r="183" spans="1:19">
      <c r="A183" s="419">
        <v>15</v>
      </c>
      <c r="B183" s="876" t="s">
        <v>1025</v>
      </c>
      <c r="C183" s="29" t="s">
        <v>575</v>
      </c>
      <c r="D183" s="347">
        <v>0</v>
      </c>
      <c r="E183" s="422">
        <v>0</v>
      </c>
      <c r="F183" s="414">
        <v>0</v>
      </c>
      <c r="G183" s="414"/>
      <c r="H183" s="414"/>
      <c r="R183" s="101"/>
      <c r="S183" s="101"/>
    </row>
    <row r="184" spans="1:19">
      <c r="A184" s="419">
        <v>16</v>
      </c>
      <c r="B184" s="876" t="s">
        <v>993</v>
      </c>
      <c r="C184" s="29" t="s">
        <v>575</v>
      </c>
      <c r="D184" s="347">
        <v>4.9922814400872539E-2</v>
      </c>
      <c r="E184" s="422">
        <v>0</v>
      </c>
      <c r="F184" s="414">
        <v>0</v>
      </c>
      <c r="G184" s="414"/>
      <c r="H184" s="414"/>
      <c r="R184" s="101"/>
      <c r="S184" s="101"/>
    </row>
    <row r="185" spans="1:19">
      <c r="A185" s="419">
        <v>17</v>
      </c>
      <c r="B185" s="348" t="s">
        <v>597</v>
      </c>
      <c r="C185" s="29" t="s">
        <v>575</v>
      </c>
      <c r="D185" s="422"/>
      <c r="E185" s="414"/>
      <c r="F185" s="414"/>
      <c r="G185" s="414"/>
      <c r="H185" s="414"/>
      <c r="R185" s="101"/>
      <c r="S185" s="101"/>
    </row>
    <row r="186" spans="1:19">
      <c r="A186" s="419">
        <v>18</v>
      </c>
      <c r="B186" s="348" t="s">
        <v>597</v>
      </c>
      <c r="C186" s="29" t="s">
        <v>575</v>
      </c>
      <c r="D186" s="422"/>
      <c r="E186" s="414"/>
      <c r="F186" s="414"/>
      <c r="G186" s="414"/>
      <c r="H186" s="414"/>
      <c r="R186" s="101"/>
      <c r="S186" s="101"/>
    </row>
    <row r="187" spans="1:19">
      <c r="A187" s="419">
        <v>19</v>
      </c>
      <c r="B187" s="348" t="s">
        <v>597</v>
      </c>
      <c r="C187" s="29" t="s">
        <v>575</v>
      </c>
      <c r="D187" s="422"/>
      <c r="E187" s="414"/>
      <c r="F187" s="414"/>
      <c r="G187" s="414"/>
      <c r="H187" s="414"/>
      <c r="R187" s="101"/>
      <c r="S187" s="101"/>
    </row>
    <row r="188" spans="1:19">
      <c r="A188" s="419">
        <v>20</v>
      </c>
      <c r="B188" s="348" t="s">
        <v>597</v>
      </c>
      <c r="C188" s="29" t="s">
        <v>575</v>
      </c>
      <c r="D188" s="422"/>
      <c r="E188" s="414"/>
      <c r="F188" s="414"/>
      <c r="G188" s="414"/>
      <c r="H188" s="414"/>
      <c r="R188" s="101"/>
      <c r="S188" s="101"/>
    </row>
    <row r="189" spans="1:19">
      <c r="A189" s="419">
        <v>21</v>
      </c>
      <c r="B189" s="348" t="s">
        <v>597</v>
      </c>
      <c r="C189" s="29" t="s">
        <v>575</v>
      </c>
      <c r="D189" s="422"/>
      <c r="E189" s="414"/>
      <c r="F189" s="414"/>
      <c r="G189" s="414"/>
      <c r="H189" s="414"/>
      <c r="R189" s="101"/>
      <c r="S189" s="101"/>
    </row>
    <row r="190" spans="1:19">
      <c r="A190" s="419">
        <v>22</v>
      </c>
      <c r="B190" s="348" t="s">
        <v>597</v>
      </c>
      <c r="C190" s="29" t="s">
        <v>575</v>
      </c>
      <c r="D190" s="422"/>
      <c r="E190" s="414"/>
      <c r="F190" s="414"/>
      <c r="G190" s="414"/>
      <c r="H190" s="414"/>
      <c r="R190" s="101"/>
      <c r="S190" s="101"/>
    </row>
    <row r="191" spans="1:19">
      <c r="A191" s="419">
        <v>23</v>
      </c>
      <c r="B191" s="348" t="s">
        <v>597</v>
      </c>
      <c r="C191" s="29" t="s">
        <v>575</v>
      </c>
      <c r="D191" s="422"/>
      <c r="E191" s="414"/>
      <c r="F191" s="414"/>
      <c r="G191" s="414"/>
      <c r="H191" s="414"/>
      <c r="R191" s="101"/>
      <c r="S191" s="101"/>
    </row>
    <row r="192" spans="1:19">
      <c r="A192" s="419">
        <v>24</v>
      </c>
      <c r="B192" s="348" t="s">
        <v>597</v>
      </c>
      <c r="C192" s="29" t="s">
        <v>575</v>
      </c>
      <c r="D192" s="422"/>
      <c r="E192" s="414"/>
      <c r="F192" s="414"/>
      <c r="G192" s="414"/>
      <c r="H192" s="414"/>
      <c r="R192" s="370"/>
      <c r="S192" s="101"/>
    </row>
    <row r="193" spans="1:19">
      <c r="A193" s="419">
        <v>25</v>
      </c>
      <c r="B193" s="348" t="s">
        <v>597</v>
      </c>
      <c r="C193" s="29" t="s">
        <v>575</v>
      </c>
      <c r="D193" s="422"/>
      <c r="E193" s="414"/>
      <c r="F193" s="414"/>
      <c r="G193" s="414"/>
      <c r="H193" s="414"/>
      <c r="R193" s="101"/>
      <c r="S193" s="101"/>
    </row>
    <row r="194" spans="1:19">
      <c r="B194" s="421" t="s">
        <v>688</v>
      </c>
      <c r="C194" s="29" t="s">
        <v>575</v>
      </c>
      <c r="D194" s="437">
        <f>SUM(D169:D193)</f>
        <v>52.142541357400873</v>
      </c>
      <c r="E194" s="437">
        <f t="shared" ref="E194:H194" si="59">SUM(E169:E193)</f>
        <v>52.951531642750282</v>
      </c>
      <c r="F194" s="437">
        <f t="shared" si="59"/>
        <v>37.155130129999996</v>
      </c>
      <c r="G194" s="437">
        <f t="shared" si="59"/>
        <v>0</v>
      </c>
      <c r="H194" s="437">
        <f t="shared" si="59"/>
        <v>0</v>
      </c>
      <c r="R194" s="101"/>
      <c r="S194" s="101"/>
    </row>
    <row r="195" spans="1:19">
      <c r="B195" s="292"/>
      <c r="D195" s="29"/>
      <c r="E195" s="29"/>
      <c r="F195" s="29"/>
      <c r="G195" s="29"/>
      <c r="H195" s="29"/>
      <c r="I195" s="29"/>
      <c r="J195" s="29"/>
      <c r="R195" s="101"/>
      <c r="S195" s="101"/>
    </row>
    <row r="196" spans="1:19">
      <c r="B196" s="421" t="s">
        <v>689</v>
      </c>
      <c r="C196" s="29" t="s">
        <v>575</v>
      </c>
      <c r="D196" s="437">
        <f>D162-D194</f>
        <v>202.39495219886493</v>
      </c>
      <c r="E196" s="437">
        <f t="shared" ref="E196:H196" si="60">E162-E194</f>
        <v>253.68069428027002</v>
      </c>
      <c r="F196" s="437">
        <f t="shared" si="60"/>
        <v>278.25009319500009</v>
      </c>
      <c r="G196" s="437">
        <f t="shared" si="60"/>
        <v>0</v>
      </c>
      <c r="H196" s="437">
        <f t="shared" si="60"/>
        <v>0</v>
      </c>
    </row>
    <row r="197" spans="1:19">
      <c r="B197" s="421" t="s">
        <v>690</v>
      </c>
      <c r="C197" s="29" t="s">
        <v>575</v>
      </c>
      <c r="D197" s="461">
        <f>('R3 - Totex - Reconciliation'!D$13+'R3 - Totex - Reconciliation'!D$47+'R3 - Totex - Reconciliation'!D76)*INDEX(real_to_nominal_CF,MATCH(D$109,calendar_year,0))</f>
        <v>202.33975219886494</v>
      </c>
      <c r="E197" s="461">
        <f>('R3 - Totex - Reconciliation'!E$13+'R3 - Totex - Reconciliation'!E$47+'R3 - Totex - Reconciliation'!E76)*INDEX(real_to_nominal_CF,MATCH(E$109,calendar_year,0))</f>
        <v>253.68069428027005</v>
      </c>
      <c r="F197" s="461">
        <f>('R3 - Totex - Reconciliation'!F$13+'R3 - Totex - Reconciliation'!F$47+'R3 - Totex - Reconciliation'!F76)*INDEX(real_to_nominal_CF,MATCH(F$109,calendar_year,0))</f>
        <v>278.22389177876823</v>
      </c>
      <c r="G197" s="461">
        <f>('R3 - Totex - Reconciliation'!G$13+'R3 - Totex - Reconciliation'!G$47+'R3 - Totex - Reconciliation'!G76)*INDEX(real_to_nominal_CF,MATCH(G$109,calendar_year,0))</f>
        <v>290.85917836489517</v>
      </c>
      <c r="H197" s="462">
        <f>('R3 - Totex - Reconciliation'!H$13+'R3 - Totex - Reconciliation'!H$47+'R3 - Totex - Reconciliation'!H76)*INDEX(real_to_nominal_CF,MATCH(H$109,calendar_year,0))</f>
        <v>313.35113641894566</v>
      </c>
      <c r="I197" s="292" t="s">
        <v>691</v>
      </c>
    </row>
    <row r="198" spans="1:19">
      <c r="B198" s="292"/>
      <c r="C198" s="29" t="s">
        <v>686</v>
      </c>
      <c r="D198" s="463" t="str">
        <f>IF(D$108="Actuals",IF(ABS(D196-('R3 - Totex - Reconciliation'!D13+'R3 - Totex - Reconciliation'!D47+D76)*INDEX(real_to_nominal_CF,MATCH(D6,Data!$F$33:$L$33,0)))&lt;materiality_threshold,"OK","Error"),"N/A")</f>
        <v>OK</v>
      </c>
      <c r="E198" s="463" t="str">
        <f>IF(E$108="Actuals",IF(ABS(E196-('R3 - Totex - Reconciliation'!E13+'R3 - Totex - Reconciliation'!E47+E76)*INDEX(real_to_nominal_CF,MATCH(E6,Data!$F$33:$L$33,0)))&lt;materiality_threshold,"OK","Error"),"N/A")</f>
        <v>OK</v>
      </c>
      <c r="F198" s="463" t="str">
        <f>IF(F$108="Actuals",IF(ABS(F196-('R3 - Totex - Reconciliation'!F13+'R3 - Totex - Reconciliation'!F47+F76)*INDEX(real_to_nominal_CF,MATCH(F6,Data!$F$33:$L$33,0)))&lt;materiality_threshold,"OK","Error"),"N/A")</f>
        <v>OK</v>
      </c>
      <c r="G198" s="463" t="str">
        <f>IF(G$108="Actuals",IF(ABS(G196-('R3 - Totex - Reconciliation'!G13+'R3 - Totex - Reconciliation'!G47+G76)*INDEX(real_to_nominal_CF,MATCH(G6,Data!$F$33:$L$33,0)))&lt;materiality_threshold,"OK","Error"),"N/A")</f>
        <v>N/A</v>
      </c>
      <c r="H198" s="463" t="str">
        <f>IF(H$108="Actuals",IF(ABS(H196-('R3 - Totex - Reconciliation'!H13+'R3 - Totex - Reconciliation'!H47+H76)*INDEX(real_to_nominal_CF,MATCH(H6,Data!$F$33:$L$33,0)))&lt;materiality_threshold,"OK","Error"),"N/A")</f>
        <v>N/A</v>
      </c>
      <c r="I198" s="292" t="s">
        <v>692</v>
      </c>
    </row>
    <row r="199" spans="1:19">
      <c r="B199" s="292"/>
      <c r="C199" s="292"/>
    </row>
    <row r="200" spans="1:19">
      <c r="B200" s="370" t="s">
        <v>693</v>
      </c>
    </row>
    <row r="202" spans="1:19">
      <c r="B202" s="371" t="s">
        <v>634</v>
      </c>
      <c r="C202" s="101"/>
      <c r="D202" s="101"/>
      <c r="E202" s="101"/>
      <c r="F202" s="101"/>
    </row>
    <row r="203" spans="1:19">
      <c r="B203" s="822"/>
      <c r="C203" s="858"/>
      <c r="D203" s="858"/>
      <c r="E203" s="858"/>
      <c r="F203" s="641"/>
    </row>
    <row r="204" spans="1:19">
      <c r="B204" s="373"/>
      <c r="C204" s="374"/>
      <c r="D204" s="375"/>
      <c r="E204" s="376"/>
      <c r="F204" s="377"/>
    </row>
    <row r="205" spans="1:19">
      <c r="B205" s="373"/>
      <c r="C205" s="374"/>
      <c r="D205" s="375"/>
      <c r="E205" s="376"/>
      <c r="F205" s="377"/>
    </row>
    <row r="206" spans="1:19">
      <c r="B206" s="373"/>
      <c r="C206" s="374"/>
      <c r="D206" s="375"/>
      <c r="E206" s="376"/>
      <c r="F206" s="377"/>
    </row>
    <row r="207" spans="1:19">
      <c r="B207" s="373"/>
      <c r="C207" s="374"/>
      <c r="D207" s="375"/>
      <c r="E207" s="376"/>
      <c r="F207" s="377"/>
      <c r="R207" s="101"/>
      <c r="S207" s="101"/>
    </row>
    <row r="208" spans="1:19">
      <c r="B208" s="378"/>
      <c r="C208" s="379"/>
      <c r="D208" s="380"/>
      <c r="E208" s="381"/>
      <c r="F208" s="382"/>
    </row>
    <row r="225" spans="2:3">
      <c r="B225" s="292"/>
      <c r="C225" s="292"/>
    </row>
    <row r="226" spans="2:3">
      <c r="B226" s="292"/>
      <c r="C226" s="292"/>
    </row>
    <row r="227" spans="2:3">
      <c r="B227" s="292"/>
      <c r="C227" s="292"/>
    </row>
    <row r="228" spans="2:3">
      <c r="B228" s="292"/>
      <c r="C228" s="292"/>
    </row>
    <row r="229" spans="2:3">
      <c r="B229" s="292"/>
      <c r="C229" s="292"/>
    </row>
    <row r="230" spans="2:3">
      <c r="B230" s="292"/>
      <c r="C230" s="292"/>
    </row>
    <row r="231" spans="2:3">
      <c r="B231" s="292"/>
      <c r="C231" s="292"/>
    </row>
    <row r="232" spans="2:3">
      <c r="B232" s="292"/>
      <c r="C232" s="292"/>
    </row>
    <row r="236" spans="2:3" ht="12.75" customHeight="1"/>
    <row r="243" ht="29.25" customHeight="1"/>
  </sheetData>
  <sheetProtection insertRows="0"/>
  <mergeCells count="1">
    <mergeCell ref="K15:M15"/>
  </mergeCells>
  <phoneticPr fontId="250" type="noConversion"/>
  <conditionalFormatting sqref="B40">
    <cfRule type="expression" dxfId="77" priority="67">
      <formula>$B$51="n/a"</formula>
    </cfRule>
  </conditionalFormatting>
  <conditionalFormatting sqref="B69">
    <cfRule type="expression" dxfId="76" priority="66">
      <formula>$B$51="n/a"</formula>
    </cfRule>
  </conditionalFormatting>
  <conditionalFormatting sqref="B93">
    <cfRule type="expression" dxfId="75" priority="65">
      <formula>$B$51="n/a"</formula>
    </cfRule>
  </conditionalFormatting>
  <conditionalFormatting sqref="C23:C30">
    <cfRule type="expression" dxfId="74" priority="71">
      <formula>$B$45="n/a"</formula>
    </cfRule>
  </conditionalFormatting>
  <conditionalFormatting sqref="C33:C35">
    <cfRule type="expression" dxfId="73" priority="24">
      <formula>$B$45="n/a"</formula>
    </cfRule>
  </conditionalFormatting>
  <conditionalFormatting sqref="C37:C38">
    <cfRule type="expression" dxfId="72" priority="21">
      <formula>$B$45="n/a"</formula>
    </cfRule>
  </conditionalFormatting>
  <conditionalFormatting sqref="C45 B46:C54 B73:C73 Q73:T73 C74 B75:C84 B97:C97">
    <cfRule type="expression" dxfId="71" priority="88">
      <formula>$B$45="n/a"</formula>
    </cfRule>
  </conditionalFormatting>
  <conditionalFormatting sqref="C57:C59">
    <cfRule type="expression" dxfId="70" priority="70">
      <formula>$B$45="n/a"</formula>
    </cfRule>
  </conditionalFormatting>
  <conditionalFormatting sqref="C62:C64">
    <cfRule type="expression" dxfId="69" priority="22">
      <formula>$B$45="n/a"</formula>
    </cfRule>
  </conditionalFormatting>
  <conditionalFormatting sqref="C66:C67">
    <cfRule type="expression" dxfId="68" priority="20">
      <formula>$B$45="n/a"</formula>
    </cfRule>
  </conditionalFormatting>
  <conditionalFormatting sqref="C86:C88">
    <cfRule type="expression" dxfId="67" priority="68">
      <formula>$B$45="n/a"</formula>
    </cfRule>
  </conditionalFormatting>
  <conditionalFormatting sqref="C90:C91">
    <cfRule type="expression" dxfId="66" priority="27">
      <formula>$B$44="n/a"</formula>
    </cfRule>
  </conditionalFormatting>
  <conditionalFormatting sqref="D5:G6">
    <cfRule type="expression" dxfId="65" priority="92">
      <formula>AND(D$5="Actuals",E$5="Forecast")</formula>
    </cfRule>
  </conditionalFormatting>
  <conditionalFormatting sqref="D108:G109">
    <cfRule type="expression" dxfId="64" priority="84">
      <formula>AND(D$5="Actuals",E$5="N/A")</formula>
    </cfRule>
  </conditionalFormatting>
  <conditionalFormatting sqref="D7:H7">
    <cfRule type="expression" dxfId="63" priority="77">
      <formula>AND(D$5="Actuals",E$5="Forecast")</formula>
    </cfRule>
  </conditionalFormatting>
  <conditionalFormatting sqref="D110:H110">
    <cfRule type="expression" dxfId="62" priority="76">
      <formula>AND(D$5="Actuals",E$5="Forecast")</formula>
    </cfRule>
  </conditionalFormatting>
  <conditionalFormatting sqref="D120:H121 G124:H124 G135:H135 G113:H119">
    <cfRule type="expression" dxfId="61" priority="74">
      <formula>D$108="N/A"</formula>
    </cfRule>
  </conditionalFormatting>
  <conditionalFormatting sqref="D128:H129 D131:H131 G126:H127">
    <cfRule type="expression" dxfId="60" priority="46">
      <formula>D$108="N/A"</formula>
    </cfRule>
  </conditionalFormatting>
  <conditionalFormatting sqref="D148:H150 G137:H147">
    <cfRule type="expression" dxfId="59" priority="32">
      <formula>D$108="N/A"</formula>
    </cfRule>
  </conditionalFormatting>
  <conditionalFormatting sqref="D158:H160 G152:H157">
    <cfRule type="expression" dxfId="58" priority="31">
      <formula>D$108="N/A"</formula>
    </cfRule>
  </conditionalFormatting>
  <conditionalFormatting sqref="D162:H163 G164:H164">
    <cfRule type="expression" dxfId="57" priority="37">
      <formula>D$108="N/A"</formula>
    </cfRule>
  </conditionalFormatting>
  <conditionalFormatting sqref="D167:H168 D185:H194 G169:H184">
    <cfRule type="expression" dxfId="56" priority="42">
      <formula>D$108="N/A"</formula>
    </cfRule>
  </conditionalFormatting>
  <conditionalFormatting sqref="E122:H122">
    <cfRule type="expression" dxfId="55" priority="64">
      <formula>E$108="N/A"</formula>
    </cfRule>
  </conditionalFormatting>
  <conditionalFormatting sqref="H5:H6">
    <cfRule type="expression" dxfId="54" priority="293">
      <formula>AND(H$5="Actuals",#REF!="Forecast")</formula>
    </cfRule>
  </conditionalFormatting>
  <conditionalFormatting sqref="H108:H109">
    <cfRule type="expression" dxfId="53" priority="310">
      <formula>AND(H$5="Actuals",#REF!="N/A")</formula>
    </cfRule>
  </conditionalFormatting>
  <conditionalFormatting sqref="D113:E119">
    <cfRule type="expression" dxfId="52" priority="19">
      <formula>D$108="N/A"</formula>
    </cfRule>
  </conditionalFormatting>
  <conditionalFormatting sqref="D124:E124">
    <cfRule type="expression" dxfId="51" priority="18">
      <formula>D$108="N/A"</formula>
    </cfRule>
  </conditionalFormatting>
  <conditionalFormatting sqref="D127:E127">
    <cfRule type="expression" dxfId="50" priority="17">
      <formula>D$108="N/A"</formula>
    </cfRule>
  </conditionalFormatting>
  <conditionalFormatting sqref="D126:E126">
    <cfRule type="expression" dxfId="49" priority="16">
      <formula>D$108="N/A"</formula>
    </cfRule>
  </conditionalFormatting>
  <conditionalFormatting sqref="D135:F135">
    <cfRule type="expression" dxfId="48" priority="15">
      <formula>D$108="N/A"</formula>
    </cfRule>
  </conditionalFormatting>
  <conditionalFormatting sqref="E146">
    <cfRule type="expression" dxfId="47" priority="14">
      <formula>E$108="N/A"</formula>
    </cfRule>
  </conditionalFormatting>
  <conditionalFormatting sqref="D143:D146 D137:E142 E143:E145">
    <cfRule type="expression" dxfId="46" priority="13">
      <formula>D$108="N/A"</formula>
    </cfRule>
  </conditionalFormatting>
  <conditionalFormatting sqref="E147">
    <cfRule type="expression" dxfId="45" priority="12">
      <formula>E$108="N/A"</formula>
    </cfRule>
  </conditionalFormatting>
  <conditionalFormatting sqref="D147">
    <cfRule type="expression" dxfId="44" priority="11">
      <formula>D$108="N/A"</formula>
    </cfRule>
  </conditionalFormatting>
  <conditionalFormatting sqref="D152:E157">
    <cfRule type="expression" dxfId="43" priority="10">
      <formula>D$108="N/A"</formula>
    </cfRule>
  </conditionalFormatting>
  <conditionalFormatting sqref="E183:E184">
    <cfRule type="expression" dxfId="42" priority="9">
      <formula>E$108="N/A"</formula>
    </cfRule>
  </conditionalFormatting>
  <conditionalFormatting sqref="D169:E178 E179:E182 D179:D184">
    <cfRule type="expression" dxfId="41" priority="8">
      <formula>D$108="N/A"</formula>
    </cfRule>
  </conditionalFormatting>
  <conditionalFormatting sqref="D164:F164">
    <cfRule type="expression" dxfId="40" priority="7">
      <formula>D$108="N/A"</formula>
    </cfRule>
  </conditionalFormatting>
  <conditionalFormatting sqref="F113:F119">
    <cfRule type="expression" dxfId="39" priority="6">
      <formula>F$108="N/A"</formula>
    </cfRule>
  </conditionalFormatting>
  <conditionalFormatting sqref="F124">
    <cfRule type="expression" dxfId="38" priority="5">
      <formula>F$108="N/A"</formula>
    </cfRule>
  </conditionalFormatting>
  <conditionalFormatting sqref="F126:F127">
    <cfRule type="expression" dxfId="37" priority="4">
      <formula>F$108="N/A"</formula>
    </cfRule>
  </conditionalFormatting>
  <conditionalFormatting sqref="F137:F147">
    <cfRule type="expression" dxfId="36" priority="3">
      <formula>F$108="N/A"</formula>
    </cfRule>
  </conditionalFormatting>
  <conditionalFormatting sqref="F152:F157">
    <cfRule type="expression" dxfId="35" priority="2">
      <formula>F$108="N/A"</formula>
    </cfRule>
  </conditionalFormatting>
  <conditionalFormatting sqref="F169:F184">
    <cfRule type="expression" dxfId="34" priority="1">
      <formula>F$108="N/A"</formula>
    </cfRule>
  </conditionalFormatting>
  <pageMargins left="0.70866141732283472" right="0.70866141732283472" top="0.74803149606299213" bottom="0.74803149606299213" header="0.31496062992125984" footer="0.31496062992125984"/>
  <pageSetup paperSize="8" scale="51" orientation="landscape" r:id="rId1"/>
  <headerFooter>
    <oddFooter>&amp;C_x000D_&amp;1#&amp;"Calibri"&amp;10&amp;K000000 OFFICIAL-InternalOnly</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zoomScale="80" zoomScaleNormal="80" workbookViewId="0">
      <selection activeCell="G42" sqref="G42"/>
    </sheetView>
  </sheetViews>
  <sheetFormatPr defaultColWidth="9" defaultRowHeight="12.75"/>
  <cols>
    <col min="1" max="1" width="8.375" style="101" customWidth="1"/>
    <col min="2" max="2" width="71.375" style="101" bestFit="1" customWidth="1"/>
    <col min="3" max="3" width="13.375" style="29" customWidth="1"/>
    <col min="4" max="8" width="11.125" style="101" customWidth="1"/>
    <col min="9" max="9" width="12.875" style="101" customWidth="1"/>
    <col min="10" max="10" width="12.75" style="101" customWidth="1"/>
    <col min="11" max="11" width="5.75" style="101" bestFit="1" customWidth="1"/>
    <col min="12" max="16384" width="9" style="101"/>
  </cols>
  <sheetData>
    <row r="1" spans="1:14" ht="20.25">
      <c r="A1" s="829" t="s">
        <v>694</v>
      </c>
      <c r="B1" s="864"/>
      <c r="C1" s="865"/>
      <c r="D1" s="866"/>
      <c r="E1" s="866"/>
      <c r="F1" s="866"/>
      <c r="G1" s="866"/>
      <c r="H1" s="866"/>
      <c r="I1" s="863"/>
      <c r="J1" s="863"/>
      <c r="K1" s="396"/>
    </row>
    <row r="2" spans="1:14" ht="20.25">
      <c r="A2" s="827" t="str">
        <f>Licensee</f>
        <v>NGED-SWALES</v>
      </c>
      <c r="B2" s="464"/>
      <c r="C2" s="465"/>
      <c r="D2" s="466"/>
      <c r="E2" s="466"/>
      <c r="F2" s="466"/>
      <c r="G2" s="466"/>
      <c r="H2" s="466"/>
      <c r="I2" s="286"/>
      <c r="J2" s="286"/>
      <c r="K2" s="287"/>
    </row>
    <row r="3" spans="1:14" ht="20.25">
      <c r="A3" s="828">
        <f>Reporting_Year</f>
        <v>2026</v>
      </c>
      <c r="B3" s="285"/>
      <c r="C3" s="467"/>
      <c r="D3" s="468"/>
      <c r="E3" s="468"/>
      <c r="F3" s="468"/>
      <c r="G3" s="468"/>
      <c r="H3" s="468"/>
      <c r="I3" s="289"/>
      <c r="J3" s="289"/>
      <c r="K3" s="290"/>
    </row>
    <row r="4" spans="1:14" s="292" customFormat="1" ht="12.75" customHeight="1">
      <c r="B4" s="419"/>
      <c r="C4" s="29"/>
    </row>
    <row r="5" spans="1:14" s="292" customFormat="1" ht="21.75" customHeight="1">
      <c r="B5" s="419"/>
      <c r="C5" s="29"/>
      <c r="D5" s="291" t="str">
        <f t="shared" ref="D5:I5" si="0">IF(D6&lt;=Reporting_Year,"Actuals","Forecast")</f>
        <v>Actuals</v>
      </c>
      <c r="E5" s="291" t="str">
        <f t="shared" si="0"/>
        <v>Actuals</v>
      </c>
      <c r="F5" s="291" t="str">
        <f t="shared" si="0"/>
        <v>Actuals</v>
      </c>
      <c r="G5" s="291" t="str">
        <f t="shared" si="0"/>
        <v>Forecast</v>
      </c>
      <c r="H5" s="291" t="str">
        <f t="shared" si="0"/>
        <v>Forecast</v>
      </c>
      <c r="I5" s="291" t="str">
        <f t="shared" si="0"/>
        <v>Forecast</v>
      </c>
    </row>
    <row r="6" spans="1:14" s="292" customFormat="1" ht="29.25" customHeight="1">
      <c r="C6" s="29"/>
      <c r="D6" s="397">
        <f>'RFPR cover'!$C$6</f>
        <v>2024</v>
      </c>
      <c r="E6" s="398">
        <f>D6+1</f>
        <v>2025</v>
      </c>
      <c r="F6" s="398">
        <f t="shared" ref="F6:H6" si="1">E6+1</f>
        <v>2026</v>
      </c>
      <c r="G6" s="398">
        <f t="shared" si="1"/>
        <v>2027</v>
      </c>
      <c r="H6" s="398">
        <f t="shared" si="1"/>
        <v>2028</v>
      </c>
      <c r="I6" s="295" t="str">
        <f>"Cumulative to "&amp;'RFPR cover'!$C$9</f>
        <v>Cumulative to 2026</v>
      </c>
      <c r="J6" s="399" t="s">
        <v>535</v>
      </c>
    </row>
    <row r="7" spans="1:14" s="292" customFormat="1">
      <c r="C7" s="29"/>
      <c r="D7" s="296" t="str">
        <f>RIIO_2_start_date-1&amp;"/"&amp;RIGHT(RIIO_2_start_date,2)</f>
        <v>2023/24</v>
      </c>
      <c r="E7" s="296" t="str">
        <f>RIIO_2_start_date&amp;"/"&amp;RIGHT(RIIO_2_start_date+1,2)</f>
        <v>2024/25</v>
      </c>
      <c r="F7" s="296" t="str">
        <f>RIIO_2_start_date+1&amp;"/"&amp;RIGHT(RIIO_2_start_date+2,2)</f>
        <v>2025/26</v>
      </c>
      <c r="G7" s="296" t="str">
        <f>RIIO_2_start_date+2&amp;"/"&amp;RIGHT(RIIO_2_start_date+3,2)</f>
        <v>2026/27</v>
      </c>
      <c r="H7" s="296" t="str">
        <f>RIIO_2_start_date+3&amp;"/"&amp;RIGHT(RIIO_2_start_date+4,2)</f>
        <v>2027/28</v>
      </c>
    </row>
    <row r="8" spans="1:14" s="292" customFormat="1" ht="18">
      <c r="B8" s="469" t="s">
        <v>695</v>
      </c>
      <c r="C8" s="338"/>
      <c r="D8" s="339"/>
      <c r="E8" s="339"/>
      <c r="F8" s="339"/>
      <c r="G8" s="339"/>
      <c r="H8" s="339"/>
      <c r="I8" s="339"/>
      <c r="J8" s="339"/>
      <c r="K8" s="339"/>
    </row>
    <row r="9" spans="1:14" s="292" customFormat="1">
      <c r="N9" s="309"/>
    </row>
    <row r="10" spans="1:14" s="292" customFormat="1"/>
    <row r="11" spans="1:14" s="292" customFormat="1"/>
    <row r="12" spans="1:14" s="292" customFormat="1">
      <c r="A12" s="298" t="s">
        <v>539</v>
      </c>
      <c r="B12" s="421" t="s">
        <v>696</v>
      </c>
      <c r="C12" s="407" t="str">
        <f>Data!$C$9</f>
        <v>£m 20/21</v>
      </c>
      <c r="D12" s="758">
        <f>INDEX(Data!$C$98:$I$126,MATCH($A$2,Data!$B$98:$B$126,0),MATCH(D$6,Data!$C$97:$I$97))</f>
        <v>0.69</v>
      </c>
      <c r="E12" s="758">
        <f>INDEX(Data!$C$98:$I$126,MATCH($A$2,Data!$B$98:$B$126,0),MATCH(E$6,Data!$C$97:$I$97))</f>
        <v>0</v>
      </c>
      <c r="F12" s="758">
        <f>INDEX(Data!$C$98:$I$126,MATCH($A$2,Data!$B$98:$B$126,0),MATCH(F$6,Data!$C$97:$I$97))</f>
        <v>0</v>
      </c>
      <c r="G12" s="758">
        <f>INDEX(Data!$C$98:$I$126,MATCH($A$2,Data!$B$98:$B$126,0),MATCH(G$6,Data!$C$97:$I$97))</f>
        <v>0</v>
      </c>
      <c r="H12" s="758">
        <f>INDEX(Data!$C$98:$I$126,MATCH($A$2,Data!$B$98:$B$126,0),MATCH(H$6,Data!$C$97:$I$97))</f>
        <v>0</v>
      </c>
      <c r="I12" s="758">
        <f>SUM(D12:INDEX(D12:H12,0,MATCH('RFPR cover'!$C$9,$D$6:$H$6,0)))</f>
        <v>0.69</v>
      </c>
      <c r="J12" s="759">
        <f>SUM(D12:H12)</f>
        <v>0.69</v>
      </c>
    </row>
    <row r="13" spans="1:14" s="292" customFormat="1" ht="19.5" customHeight="1">
      <c r="A13" s="298"/>
      <c r="B13" s="470" t="s">
        <v>697</v>
      </c>
    </row>
    <row r="14" spans="1:14" s="292" customFormat="1">
      <c r="A14" s="298" t="s">
        <v>540</v>
      </c>
      <c r="B14" s="471" t="str">
        <f>Data!B132</f>
        <v>Time to connect ODI</v>
      </c>
      <c r="C14" s="407" t="str">
        <f>Data!$C$9</f>
        <v>£m 20/21</v>
      </c>
      <c r="D14" s="472">
        <v>0.34155279999999988</v>
      </c>
      <c r="E14" s="472">
        <v>0.7140103492655635</v>
      </c>
      <c r="F14" s="472">
        <v>0.86069105303867399</v>
      </c>
      <c r="G14" s="472">
        <v>0.84645837613707431</v>
      </c>
      <c r="H14" s="472">
        <v>0.84645837613707431</v>
      </c>
      <c r="I14" s="438">
        <f>SUM(D14:INDEX(D14:H14,0,MATCH('RFPR cover'!$C$9,$D$6:$H$6,0)))</f>
        <v>1.9162542023042373</v>
      </c>
      <c r="J14" s="439">
        <f t="shared" ref="J14:J22" si="2">SUM(D14:H14)</f>
        <v>3.6091709545783859</v>
      </c>
    </row>
    <row r="15" spans="1:14" s="292" customFormat="1">
      <c r="A15" s="298" t="s">
        <v>541</v>
      </c>
      <c r="B15" s="471" t="str">
        <f>Data!B133</f>
        <v>Broad Measure of Customer Service ODI</v>
      </c>
      <c r="C15" s="407" t="str">
        <f>Data!$C$9</f>
        <v>£m 20/21</v>
      </c>
      <c r="D15" s="472">
        <v>0.44757084214131948</v>
      </c>
      <c r="E15" s="472">
        <v>8.1602211273689607E-2</v>
      </c>
      <c r="F15" s="472">
        <v>0.70719634782244833</v>
      </c>
      <c r="G15" s="472">
        <v>1.246991732331197</v>
      </c>
      <c r="H15" s="472">
        <v>1.5469917323311968</v>
      </c>
      <c r="I15" s="438">
        <f>SUM(D15:INDEX(D15:H15,0,MATCH('RFPR cover'!$C$9,$D$6:$H$6,0)))</f>
        <v>1.2363694012374573</v>
      </c>
      <c r="J15" s="439">
        <f t="shared" si="2"/>
        <v>4.0303528658998511</v>
      </c>
    </row>
    <row r="16" spans="1:14" s="292" customFormat="1">
      <c r="A16" s="298" t="s">
        <v>542</v>
      </c>
      <c r="B16" s="471" t="str">
        <f>Data!B134</f>
        <v>Interruptions incentive scheme ODI</v>
      </c>
      <c r="C16" s="407" t="str">
        <f>Data!$C$9</f>
        <v>£m 20/21</v>
      </c>
      <c r="D16" s="472">
        <v>-0.61616145880452666</v>
      </c>
      <c r="E16" s="472">
        <v>-0.6098784182605661</v>
      </c>
      <c r="F16" s="472">
        <v>-1.8330739515767802</v>
      </c>
      <c r="G16" s="472">
        <v>-1.0200400533428788</v>
      </c>
      <c r="H16" s="472">
        <v>-1.0200400533428788</v>
      </c>
      <c r="I16" s="438">
        <f>SUM(D16:INDEX(D16:H16,0,MATCH('RFPR cover'!$C$9,$D$6:$H$6,0)))</f>
        <v>-3.0591138286418729</v>
      </c>
      <c r="J16" s="439">
        <f t="shared" si="2"/>
        <v>-5.0991939353276301</v>
      </c>
    </row>
    <row r="17" spans="1:10" s="292" customFormat="1">
      <c r="A17" s="298" t="s">
        <v>543</v>
      </c>
      <c r="B17" s="471" t="str">
        <f>Data!B135</f>
        <v>Major connections ODI</v>
      </c>
      <c r="C17" s="407" t="str">
        <f>Data!$C$9</f>
        <v>£m 20/21</v>
      </c>
      <c r="D17" s="472">
        <v>0</v>
      </c>
      <c r="E17" s="472">
        <v>0</v>
      </c>
      <c r="F17" s="472">
        <v>0</v>
      </c>
      <c r="G17" s="472">
        <v>0</v>
      </c>
      <c r="H17" s="472">
        <v>0</v>
      </c>
      <c r="I17" s="438">
        <f>SUM(D17:INDEX(D17:H17,0,MATCH('RFPR cover'!$C$9,$D$6:$H$6,0)))</f>
        <v>0</v>
      </c>
      <c r="J17" s="439">
        <f t="shared" si="2"/>
        <v>0</v>
      </c>
    </row>
    <row r="18" spans="1:10" s="292" customFormat="1">
      <c r="A18" s="298" t="s">
        <v>544</v>
      </c>
      <c r="B18" s="471" t="str">
        <f>Data!B136</f>
        <v>Consumer Vulnerability ODI</v>
      </c>
      <c r="C18" s="407" t="str">
        <f>Data!$C$9</f>
        <v>£m 20/21</v>
      </c>
      <c r="D18" s="472">
        <v>0</v>
      </c>
      <c r="E18" s="472">
        <v>0.32122094590815098</v>
      </c>
      <c r="F18" s="472">
        <v>0</v>
      </c>
      <c r="G18" s="472">
        <v>0</v>
      </c>
      <c r="H18" s="472">
        <v>0.95419899305565725</v>
      </c>
      <c r="I18" s="438">
        <f>SUM(D18:INDEX(D18:H18,0,MATCH('RFPR cover'!$C$9,$D$6:$H$6,0)))</f>
        <v>0.32122094590815098</v>
      </c>
      <c r="J18" s="439">
        <f t="shared" si="2"/>
        <v>1.2754199389638083</v>
      </c>
    </row>
    <row r="19" spans="1:10" s="292" customFormat="1">
      <c r="A19" s="298" t="s">
        <v>545</v>
      </c>
      <c r="B19" s="471" t="str">
        <f>Data!B137</f>
        <v>Distribution System Operator ODI</v>
      </c>
      <c r="C19" s="407" t="str">
        <f>Data!$C$9</f>
        <v>£m 20/21</v>
      </c>
      <c r="D19" s="472">
        <v>0.92100000000000004</v>
      </c>
      <c r="E19" s="472">
        <v>2.3039999999999998</v>
      </c>
      <c r="F19" s="472">
        <v>2.3039999999999998</v>
      </c>
      <c r="G19" s="472">
        <v>2.1625100563153659</v>
      </c>
      <c r="H19" s="472">
        <v>2.1625100563153659</v>
      </c>
      <c r="I19" s="438">
        <f>SUM(D19:INDEX(D19:H19,0,MATCH('RFPR cover'!$C$9,$D$6:$H$6,0)))</f>
        <v>5.5289999999999999</v>
      </c>
      <c r="J19" s="439">
        <f>SUM(D19:H19)</f>
        <v>9.8540201126307316</v>
      </c>
    </row>
    <row r="20" spans="1:10" s="292" customFormat="1">
      <c r="A20" s="298" t="s">
        <v>546</v>
      </c>
      <c r="B20" s="471" t="str">
        <f>Data!B138</f>
        <v>Dig, Fix and Go ODI (ENWL only)</v>
      </c>
      <c r="C20" s="407" t="str">
        <f>Data!$C$9</f>
        <v>£m 20/21</v>
      </c>
      <c r="D20" s="472">
        <v>0</v>
      </c>
      <c r="E20" s="472">
        <v>0</v>
      </c>
      <c r="F20" s="472">
        <v>0</v>
      </c>
      <c r="G20" s="472">
        <v>0</v>
      </c>
      <c r="H20" s="472">
        <v>0</v>
      </c>
      <c r="I20" s="438">
        <f>SUM(D20:INDEX(D20:H20,0,MATCH('RFPR cover'!$C$9,$D$6:$H$6,0)))</f>
        <v>0</v>
      </c>
      <c r="J20" s="439">
        <f>SUM(D20:H20)</f>
        <v>0</v>
      </c>
    </row>
    <row r="21" spans="1:10" s="292" customFormat="1">
      <c r="A21" s="298" t="s">
        <v>547</v>
      </c>
      <c r="B21" s="471" t="str">
        <f>Data!B139</f>
        <v>Collaborative Streetworks ODI (EPN, LPN and SPN only)</v>
      </c>
      <c r="C21" s="407" t="str">
        <f>Data!$C$9</f>
        <v>£m 20/21</v>
      </c>
      <c r="D21" s="472">
        <v>0</v>
      </c>
      <c r="E21" s="472">
        <v>0</v>
      </c>
      <c r="F21" s="472">
        <v>0</v>
      </c>
      <c r="G21" s="472">
        <v>0</v>
      </c>
      <c r="H21" s="472">
        <v>0</v>
      </c>
      <c r="I21" s="438">
        <f>SUM(D21:INDEX(D21:H21,0,MATCH('RFPR cover'!$C$9,$D$6:$H$6,0)))</f>
        <v>0</v>
      </c>
      <c r="J21" s="439">
        <f t="shared" si="2"/>
        <v>0</v>
      </c>
    </row>
    <row r="22" spans="1:10" s="292" customFormat="1">
      <c r="B22" s="421" t="s">
        <v>698</v>
      </c>
      <c r="C22" s="415" t="str">
        <f>Data!$C$9</f>
        <v>£m 20/21</v>
      </c>
      <c r="D22" s="450">
        <f>SUM(D14:D21)</f>
        <v>1.0939621833367927</v>
      </c>
      <c r="E22" s="450">
        <f>SUM(E14:E21)</f>
        <v>2.8109550881868377</v>
      </c>
      <c r="F22" s="450">
        <f>SUM(F14:F21)</f>
        <v>2.0388134492843419</v>
      </c>
      <c r="G22" s="450">
        <f>SUM(G14:G21)</f>
        <v>3.2359201114407585</v>
      </c>
      <c r="H22" s="450">
        <f>SUM(H14:H21)</f>
        <v>4.490119104496415</v>
      </c>
      <c r="I22" s="438">
        <f>SUM(D22:INDEX(D22:H22,0,MATCH('RFPR cover'!$C$9,$D$6:$H$6,0)))</f>
        <v>5.9437307208079719</v>
      </c>
      <c r="J22" s="439">
        <f t="shared" si="2"/>
        <v>13.669769936745146</v>
      </c>
    </row>
    <row r="23" spans="1:10" s="292" customFormat="1"/>
    <row r="24" spans="1:10" s="474" customFormat="1" ht="14.25" customHeight="1">
      <c r="A24" s="473"/>
    </row>
    <row r="25" spans="1:10" s="292" customFormat="1">
      <c r="A25" s="475"/>
      <c r="B25" s="476" t="s">
        <v>699</v>
      </c>
      <c r="C25" s="477"/>
      <c r="D25" s="477"/>
      <c r="E25" s="477"/>
      <c r="F25" s="477"/>
      <c r="G25" s="477"/>
      <c r="H25" s="477"/>
      <c r="I25" s="477"/>
      <c r="J25" s="477"/>
    </row>
    <row r="26" spans="1:10" s="292" customFormat="1">
      <c r="A26" s="478" t="s">
        <v>539</v>
      </c>
      <c r="B26" s="348"/>
      <c r="C26" s="348"/>
      <c r="D26" s="348"/>
      <c r="E26" s="348"/>
      <c r="F26" s="348"/>
      <c r="G26" s="348"/>
      <c r="H26" s="348"/>
      <c r="I26" s="348"/>
      <c r="J26" s="348"/>
    </row>
    <row r="27" spans="1:10" s="292" customFormat="1">
      <c r="A27" s="478" t="s">
        <v>540</v>
      </c>
      <c r="B27" s="938"/>
      <c r="C27" s="938"/>
      <c r="D27" s="938"/>
      <c r="E27" s="938"/>
      <c r="F27" s="938"/>
      <c r="G27" s="938"/>
      <c r="H27" s="938"/>
      <c r="I27" s="938"/>
      <c r="J27" s="938"/>
    </row>
    <row r="28" spans="1:10" s="292" customFormat="1">
      <c r="A28" s="478" t="s">
        <v>541</v>
      </c>
      <c r="B28" s="938"/>
      <c r="C28" s="938"/>
      <c r="D28" s="938"/>
      <c r="E28" s="938"/>
      <c r="F28" s="938"/>
      <c r="G28" s="938"/>
      <c r="H28" s="938"/>
      <c r="I28" s="938"/>
      <c r="J28" s="938"/>
    </row>
    <row r="29" spans="1:10" s="292" customFormat="1">
      <c r="A29" s="478" t="s">
        <v>542</v>
      </c>
      <c r="B29" s="938"/>
      <c r="C29" s="938"/>
      <c r="D29" s="938"/>
      <c r="E29" s="938"/>
      <c r="F29" s="938"/>
      <c r="G29" s="938"/>
      <c r="H29" s="938"/>
      <c r="I29" s="938"/>
      <c r="J29" s="938"/>
    </row>
    <row r="30" spans="1:10" s="292" customFormat="1">
      <c r="A30" s="478" t="s">
        <v>543</v>
      </c>
      <c r="B30" s="938"/>
      <c r="C30" s="938"/>
      <c r="D30" s="938"/>
      <c r="E30" s="938"/>
      <c r="F30" s="938"/>
      <c r="G30" s="938"/>
      <c r="H30" s="938"/>
      <c r="I30" s="938"/>
      <c r="J30" s="938"/>
    </row>
    <row r="31" spans="1:10" s="292" customFormat="1">
      <c r="A31" s="478" t="s">
        <v>544</v>
      </c>
      <c r="B31" s="938"/>
      <c r="C31" s="938"/>
      <c r="D31" s="938"/>
      <c r="E31" s="938"/>
      <c r="F31" s="938"/>
      <c r="G31" s="938"/>
      <c r="H31" s="938"/>
      <c r="I31" s="938"/>
      <c r="J31" s="938"/>
    </row>
    <row r="32" spans="1:10" s="292" customFormat="1">
      <c r="A32" s="478" t="s">
        <v>545</v>
      </c>
      <c r="B32" s="348"/>
      <c r="C32" s="348"/>
      <c r="D32" s="348"/>
      <c r="E32" s="348"/>
      <c r="F32" s="348"/>
      <c r="G32" s="348"/>
      <c r="H32" s="348"/>
      <c r="I32" s="348"/>
      <c r="J32" s="348"/>
    </row>
    <row r="33" spans="1:11" s="292" customFormat="1">
      <c r="A33" s="478" t="s">
        <v>546</v>
      </c>
      <c r="B33" s="348"/>
      <c r="C33" s="348"/>
      <c r="D33" s="348"/>
      <c r="E33" s="348"/>
      <c r="F33" s="348"/>
      <c r="G33" s="348"/>
      <c r="H33" s="348"/>
      <c r="I33" s="348"/>
      <c r="J33" s="348"/>
    </row>
    <row r="34" spans="1:11" s="292" customFormat="1">
      <c r="A34" s="478" t="s">
        <v>547</v>
      </c>
      <c r="B34" s="938"/>
      <c r="C34" s="938"/>
      <c r="D34" s="938"/>
      <c r="E34" s="938"/>
      <c r="F34" s="938"/>
      <c r="G34" s="938"/>
      <c r="H34" s="938"/>
      <c r="I34" s="938"/>
      <c r="J34" s="938"/>
    </row>
    <row r="35" spans="1:11" s="292" customFormat="1">
      <c r="A35" s="298"/>
      <c r="C35" s="407"/>
      <c r="D35" s="407"/>
      <c r="E35" s="407"/>
      <c r="F35" s="407"/>
      <c r="G35" s="407"/>
      <c r="H35" s="407"/>
      <c r="I35" s="407"/>
      <c r="J35" s="407"/>
    </row>
    <row r="36" spans="1:11" s="292" customFormat="1" ht="21">
      <c r="B36" s="469" t="s">
        <v>700</v>
      </c>
      <c r="C36" s="338"/>
      <c r="D36" s="339"/>
      <c r="E36" s="339"/>
      <c r="F36" s="339"/>
      <c r="G36" s="339"/>
      <c r="H36" s="339"/>
      <c r="I36" s="339"/>
      <c r="J36" s="339"/>
      <c r="K36" s="339"/>
    </row>
    <row r="37" spans="1:11" s="292" customFormat="1">
      <c r="A37" s="421"/>
      <c r="C37" s="29"/>
    </row>
    <row r="38" spans="1:11">
      <c r="B38" s="479" t="s">
        <v>701</v>
      </c>
    </row>
    <row r="39" spans="1:11">
      <c r="B39" s="421"/>
    </row>
    <row r="40" spans="1:11" s="292" customFormat="1">
      <c r="A40" s="406" t="s">
        <v>547</v>
      </c>
      <c r="B40" s="421" t="s">
        <v>122</v>
      </c>
      <c r="C40" s="40" t="s">
        <v>702</v>
      </c>
      <c r="D40" s="433"/>
      <c r="E40" s="433"/>
      <c r="F40" s="433"/>
      <c r="G40" s="433"/>
      <c r="H40" s="433"/>
    </row>
    <row r="41" spans="1:11" s="292" customFormat="1">
      <c r="B41" s="335" t="s">
        <v>703</v>
      </c>
      <c r="C41" s="407" t="str">
        <f>Data!$C$9</f>
        <v>£m 20/21</v>
      </c>
      <c r="D41" s="343">
        <v>2.303566903915227E-2</v>
      </c>
      <c r="E41" s="343">
        <v>0.11442028412692989</v>
      </c>
      <c r="F41" s="343">
        <v>0.34738080952932854</v>
      </c>
      <c r="G41" s="343">
        <v>1.1406467531422553</v>
      </c>
      <c r="H41" s="343">
        <v>1.5623930150399488</v>
      </c>
      <c r="I41" s="438">
        <f>SUM(D41:INDEX(D41:H41,0,MATCH('RFPR cover'!$C$9,$D$6:$H$6,0)))</f>
        <v>0.48483676269541071</v>
      </c>
      <c r="J41" s="439">
        <f t="shared" ref="J41" si="3">SUM(D41:H41)</f>
        <v>3.1878765308776149</v>
      </c>
      <c r="K41" s="292" t="s">
        <v>704</v>
      </c>
    </row>
    <row r="42" spans="1:11" s="292" customFormat="1">
      <c r="B42" s="335" t="s">
        <v>705</v>
      </c>
      <c r="C42" s="407" t="str">
        <f>Data!$C$9</f>
        <v>£m 20/21</v>
      </c>
      <c r="D42" s="343">
        <v>0</v>
      </c>
      <c r="E42" s="343">
        <v>0</v>
      </c>
      <c r="F42" s="343">
        <v>0</v>
      </c>
      <c r="G42" s="343">
        <v>0</v>
      </c>
      <c r="H42" s="343">
        <v>0</v>
      </c>
      <c r="I42" s="438">
        <f>SUM(D42:INDEX(D42:H42,0,MATCH('RFPR cover'!$C$9,$D$6:$H$6,0)))</f>
        <v>0</v>
      </c>
      <c r="J42" s="439">
        <f t="shared" ref="J42:J45" si="4">SUM(D42:H42)</f>
        <v>0</v>
      </c>
    </row>
    <row r="43" spans="1:11" s="292" customFormat="1">
      <c r="B43" s="335" t="s">
        <v>706</v>
      </c>
      <c r="C43" s="407" t="str">
        <f>Data!$C$9</f>
        <v>£m 20/21</v>
      </c>
      <c r="D43" s="347">
        <f>D41*10%</f>
        <v>2.3035669039152269E-3</v>
      </c>
      <c r="E43" s="347">
        <f t="shared" ref="E43:H43" si="5">E41*10%</f>
        <v>1.1442028412692991E-2</v>
      </c>
      <c r="F43" s="347">
        <f t="shared" si="5"/>
        <v>3.4738080952932855E-2</v>
      </c>
      <c r="G43" s="347">
        <f t="shared" si="5"/>
        <v>0.11406467531422554</v>
      </c>
      <c r="H43" s="347">
        <f t="shared" si="5"/>
        <v>0.1562393015039949</v>
      </c>
      <c r="I43" s="438">
        <f>SUM(D43:INDEX(D43:H43,0,MATCH('RFPR cover'!$C$9,$D$6:$H$6,0)))</f>
        <v>4.8483676269541073E-2</v>
      </c>
      <c r="J43" s="439">
        <f t="shared" si="4"/>
        <v>0.31878765308776152</v>
      </c>
    </row>
    <row r="44" spans="1:11" s="421" customFormat="1">
      <c r="B44" s="292" t="s">
        <v>707</v>
      </c>
      <c r="C44" s="407" t="str">
        <f>Data!$C$9</f>
        <v>£m 20/21</v>
      </c>
      <c r="D44" s="450">
        <f>D41-D42-D43</f>
        <v>2.0732102135237043E-2</v>
      </c>
      <c r="E44" s="487">
        <f t="shared" ref="E44:H44" si="6">E41-E42-E43</f>
        <v>0.10297825571423691</v>
      </c>
      <c r="F44" s="487">
        <f t="shared" si="6"/>
        <v>0.31264272857639569</v>
      </c>
      <c r="G44" s="487">
        <f t="shared" si="6"/>
        <v>1.0265820778280297</v>
      </c>
      <c r="H44" s="487">
        <f t="shared" si="6"/>
        <v>1.4061537135359539</v>
      </c>
      <c r="I44" s="438">
        <f>SUM(D44:INDEX(D44:H44,0,MATCH('RFPR cover'!$C$9,$D$6:$H$6,0)))</f>
        <v>0.43635308642586967</v>
      </c>
      <c r="J44" s="439">
        <f t="shared" si="4"/>
        <v>2.8690888777898529</v>
      </c>
      <c r="K44" s="292"/>
    </row>
    <row r="45" spans="1:11" s="292" customFormat="1">
      <c r="A45" s="419"/>
      <c r="B45" s="421" t="s">
        <v>708</v>
      </c>
      <c r="C45" s="407" t="str">
        <f>Data!$C$9</f>
        <v>£m 20/21</v>
      </c>
      <c r="D45" s="488">
        <f>D42+D43</f>
        <v>2.3035669039152269E-3</v>
      </c>
      <c r="E45" s="488">
        <f t="shared" ref="E45:H45" si="7">E42+E43</f>
        <v>1.1442028412692991E-2</v>
      </c>
      <c r="F45" s="488">
        <f t="shared" si="7"/>
        <v>3.4738080952932855E-2</v>
      </c>
      <c r="G45" s="488">
        <f t="shared" si="7"/>
        <v>0.11406467531422554</v>
      </c>
      <c r="H45" s="488">
        <f t="shared" si="7"/>
        <v>0.1562393015039949</v>
      </c>
      <c r="I45" s="438">
        <f>SUM(D45:INDEX(D45:H45,0,MATCH('RFPR cover'!$C$9,$D$6:$H$6,0)))</f>
        <v>4.8483676269541073E-2</v>
      </c>
      <c r="J45" s="439">
        <f t="shared" si="4"/>
        <v>0.31878765308776152</v>
      </c>
    </row>
    <row r="46" spans="1:11" s="292" customFormat="1">
      <c r="A46" s="419"/>
      <c r="B46" s="421"/>
      <c r="C46" s="407"/>
      <c r="D46" s="481"/>
      <c r="E46" s="481"/>
      <c r="F46" s="481"/>
      <c r="G46" s="481"/>
      <c r="H46" s="481"/>
    </row>
    <row r="47" spans="1:11" s="292" customFormat="1">
      <c r="A47" s="406" t="s">
        <v>548</v>
      </c>
      <c r="B47" s="421" t="s">
        <v>709</v>
      </c>
      <c r="C47" s="407" t="s">
        <v>710</v>
      </c>
      <c r="D47" s="481"/>
      <c r="E47" s="481"/>
      <c r="F47" s="481"/>
      <c r="G47" s="481"/>
      <c r="H47" s="481"/>
    </row>
    <row r="48" spans="1:11" s="292" customFormat="1" ht="14.25">
      <c r="A48" s="419"/>
      <c r="B48" s="335" t="s">
        <v>711</v>
      </c>
      <c r="C48" s="407" t="str">
        <f>Data!$C$9</f>
        <v>£m 20/21</v>
      </c>
      <c r="D48" s="343">
        <v>0.2907179519754709</v>
      </c>
      <c r="E48" s="482"/>
      <c r="F48" s="482"/>
      <c r="G48" s="482"/>
      <c r="H48" s="482"/>
      <c r="K48" s="292" t="s">
        <v>704</v>
      </c>
    </row>
    <row r="49" spans="1:11" s="292" customFormat="1" ht="14.25">
      <c r="A49" s="419"/>
      <c r="B49" s="335" t="s">
        <v>705</v>
      </c>
      <c r="C49" s="407" t="str">
        <f>Data!$C$9</f>
        <v>£m 20/21</v>
      </c>
      <c r="D49" s="480"/>
      <c r="E49" s="482"/>
      <c r="F49" s="482"/>
      <c r="G49" s="482"/>
      <c r="H49" s="482"/>
    </row>
    <row r="50" spans="1:11" s="292" customFormat="1" ht="14.25">
      <c r="A50" s="419"/>
      <c r="B50" s="335" t="s">
        <v>706</v>
      </c>
      <c r="C50" s="407" t="str">
        <f>Data!$C$9</f>
        <v>£m 20/21</v>
      </c>
      <c r="D50" s="347">
        <f>D48*10%</f>
        <v>2.9071795197547091E-2</v>
      </c>
      <c r="E50" s="482"/>
      <c r="F50" s="482"/>
      <c r="G50" s="482"/>
      <c r="H50" s="482"/>
    </row>
    <row r="51" spans="1:11" s="292" customFormat="1" ht="14.25">
      <c r="A51" s="419"/>
      <c r="B51" s="292" t="s">
        <v>712</v>
      </c>
      <c r="C51" s="407" t="str">
        <f>Data!$C$9</f>
        <v>£m 20/21</v>
      </c>
      <c r="D51" s="450">
        <f>D48-D49-D50</f>
        <v>0.2616461567779238</v>
      </c>
      <c r="E51" s="482"/>
      <c r="F51" s="482"/>
      <c r="G51" s="482"/>
      <c r="H51" s="482"/>
    </row>
    <row r="52" spans="1:11" ht="14.25">
      <c r="A52" s="483"/>
      <c r="B52" s="421" t="s">
        <v>713</v>
      </c>
      <c r="C52" s="407" t="str">
        <f>Data!$C$9</f>
        <v>£m 20/21</v>
      </c>
      <c r="D52" s="487">
        <f>D49+D50</f>
        <v>2.9071795197547091E-2</v>
      </c>
      <c r="E52" s="482"/>
      <c r="F52" s="482"/>
      <c r="G52" s="482"/>
      <c r="H52" s="482"/>
      <c r="K52" s="292"/>
    </row>
    <row r="53" spans="1:11">
      <c r="B53" s="421"/>
      <c r="C53" s="407"/>
      <c r="D53" s="407"/>
      <c r="E53" s="407"/>
      <c r="F53" s="407"/>
      <c r="G53" s="407"/>
      <c r="H53" s="407"/>
      <c r="K53" s="407"/>
    </row>
    <row r="54" spans="1:11">
      <c r="A54" s="406" t="s">
        <v>549</v>
      </c>
      <c r="B54" s="421" t="s">
        <v>714</v>
      </c>
      <c r="C54" s="407" t="s">
        <v>715</v>
      </c>
      <c r="D54" s="481"/>
      <c r="E54" s="481"/>
      <c r="F54" s="481"/>
      <c r="G54" s="481"/>
      <c r="H54" s="481"/>
      <c r="K54" s="292"/>
    </row>
    <row r="55" spans="1:11">
      <c r="A55" s="419"/>
      <c r="B55" s="335" t="s">
        <v>716</v>
      </c>
      <c r="C55" s="407" t="str">
        <f>Data!$C$9</f>
        <v>£m 20/21</v>
      </c>
      <c r="D55" s="343"/>
      <c r="E55" s="343"/>
      <c r="F55" s="343"/>
      <c r="G55" s="343"/>
      <c r="H55" s="343"/>
      <c r="I55" s="438">
        <f>SUM(D55:INDEX(D55:H55,0,MATCH('RFPR cover'!$C$9,$D$6:$H$6,0)))</f>
        <v>0</v>
      </c>
      <c r="J55" s="439">
        <f t="shared" ref="J55" si="8">SUM(D55:H55)</f>
        <v>0</v>
      </c>
      <c r="K55" s="292" t="s">
        <v>704</v>
      </c>
    </row>
    <row r="56" spans="1:11">
      <c r="A56" s="419"/>
      <c r="B56" s="335" t="s">
        <v>717</v>
      </c>
      <c r="C56" s="407" t="str">
        <f>Data!$C$9</f>
        <v>£m 20/21</v>
      </c>
      <c r="D56" s="480"/>
      <c r="E56" s="408"/>
      <c r="F56" s="408"/>
      <c r="G56" s="408"/>
      <c r="H56" s="408"/>
      <c r="I56" s="438">
        <f>SUM(D56:INDEX(D56:H56,0,MATCH('RFPR cover'!$C$9,$D$6:$H$6,0)))</f>
        <v>0</v>
      </c>
      <c r="J56" s="439">
        <f t="shared" ref="J56:J59" si="9">SUM(D56:H56)</f>
        <v>0</v>
      </c>
    </row>
    <row r="57" spans="1:11">
      <c r="A57" s="419"/>
      <c r="B57" s="335" t="s">
        <v>706</v>
      </c>
      <c r="C57" s="407" t="str">
        <f>Data!$C$9</f>
        <v>£m 20/21</v>
      </c>
      <c r="D57" s="347">
        <v>0</v>
      </c>
      <c r="E57" s="347">
        <v>0</v>
      </c>
      <c r="F57" s="347">
        <v>0</v>
      </c>
      <c r="G57" s="347">
        <v>0</v>
      </c>
      <c r="H57" s="347">
        <v>0</v>
      </c>
      <c r="I57" s="438">
        <f>SUM(D57:INDEX(D57:H57,0,MATCH('RFPR cover'!$C$9,$D$6:$H$6,0)))</f>
        <v>0</v>
      </c>
      <c r="J57" s="439">
        <f t="shared" si="9"/>
        <v>0</v>
      </c>
    </row>
    <row r="58" spans="1:11">
      <c r="A58" s="419"/>
      <c r="B58" s="292" t="s">
        <v>718</v>
      </c>
      <c r="C58" s="407" t="str">
        <f>Data!$C$9</f>
        <v>£m 20/21</v>
      </c>
      <c r="D58" s="450">
        <f>D55-D56-D57</f>
        <v>0</v>
      </c>
      <c r="E58" s="487">
        <f>E55-E56-E57</f>
        <v>0</v>
      </c>
      <c r="F58" s="487">
        <f>F55-F56-F57</f>
        <v>0</v>
      </c>
      <c r="G58" s="487">
        <f>G55-G56-G57</f>
        <v>0</v>
      </c>
      <c r="H58" s="487">
        <f>H55-H56-H57</f>
        <v>0</v>
      </c>
      <c r="I58" s="438">
        <f>SUM(D58:INDEX(D58:H58,0,MATCH('RFPR cover'!$C$9,$D$6:$H$6,0)))</f>
        <v>0</v>
      </c>
      <c r="J58" s="439">
        <f t="shared" si="9"/>
        <v>0</v>
      </c>
    </row>
    <row r="59" spans="1:11">
      <c r="A59" s="483"/>
      <c r="B59" s="421" t="s">
        <v>719</v>
      </c>
      <c r="C59" s="407" t="str">
        <f>Data!$C$9</f>
        <v>£m 20/21</v>
      </c>
      <c r="D59" s="487">
        <f>D56+D57</f>
        <v>0</v>
      </c>
      <c r="E59" s="487">
        <f>E56+E57</f>
        <v>0</v>
      </c>
      <c r="F59" s="487">
        <f>F56+F57</f>
        <v>0</v>
      </c>
      <c r="G59" s="487">
        <f>G56+G57</f>
        <v>0</v>
      </c>
      <c r="H59" s="487">
        <f>H56+H57</f>
        <v>0</v>
      </c>
      <c r="I59" s="438">
        <f>SUM(D59:INDEX(D59:H59,0,MATCH('RFPR cover'!$C$9,$D$6:$H$6,0)))</f>
        <v>0</v>
      </c>
      <c r="J59" s="439">
        <f t="shared" si="9"/>
        <v>0</v>
      </c>
    </row>
    <row r="60" spans="1:11">
      <c r="B60" s="421"/>
      <c r="C60" s="407"/>
      <c r="D60" s="407"/>
      <c r="E60" s="407"/>
      <c r="F60" s="407"/>
      <c r="G60" s="407"/>
      <c r="H60" s="407"/>
      <c r="I60" s="407"/>
    </row>
    <row r="61" spans="1:11">
      <c r="B61" s="421"/>
      <c r="C61" s="407"/>
      <c r="D61" s="407"/>
      <c r="E61" s="407"/>
      <c r="F61" s="407"/>
      <c r="G61" s="407"/>
      <c r="H61" s="407"/>
      <c r="I61" s="407"/>
    </row>
    <row r="62" spans="1:11" s="292" customFormat="1">
      <c r="B62" s="479" t="s">
        <v>720</v>
      </c>
      <c r="C62" s="29"/>
    </row>
    <row r="63" spans="1:11" s="292" customFormat="1" ht="15">
      <c r="B63" s="484" t="s">
        <v>721</v>
      </c>
      <c r="C63" s="485"/>
      <c r="D63" s="484"/>
      <c r="E63" s="484"/>
      <c r="F63" s="484"/>
      <c r="G63" s="484"/>
      <c r="H63" s="484"/>
      <c r="I63" s="484"/>
      <c r="J63" s="484"/>
      <c r="K63" s="484"/>
    </row>
    <row r="64" spans="1:11" s="292" customFormat="1">
      <c r="B64" s="840" t="s">
        <v>722</v>
      </c>
      <c r="C64" s="29"/>
    </row>
    <row r="65" spans="1:13" s="292" customFormat="1" ht="19.149999999999999" customHeight="1">
      <c r="A65" s="298"/>
      <c r="B65" s="470" t="s">
        <v>723</v>
      </c>
    </row>
    <row r="66" spans="1:13" s="292" customFormat="1" ht="14.65" customHeight="1">
      <c r="A66" s="298" t="s">
        <v>550</v>
      </c>
      <c r="B66" s="486" t="str">
        <f>Data!B199</f>
        <v/>
      </c>
      <c r="C66" s="407" t="str">
        <f>Data!$C$9</f>
        <v>£m 20/21</v>
      </c>
      <c r="D66" s="472"/>
      <c r="E66" s="472"/>
      <c r="F66" s="472"/>
      <c r="G66" s="472"/>
      <c r="H66" s="472"/>
      <c r="I66" s="438">
        <f>SUM(D66:INDEX(D66:H66,0,MATCH('RFPR cover'!$C$9,$D$6:$H$6,0)))</f>
        <v>0</v>
      </c>
      <c r="J66" s="439">
        <f t="shared" ref="J66" si="10">SUM(D66:H66)</f>
        <v>0</v>
      </c>
    </row>
    <row r="67" spans="1:13" s="292" customFormat="1" ht="14.65" customHeight="1">
      <c r="A67" s="298" t="s">
        <v>551</v>
      </c>
      <c r="B67" s="486" t="str">
        <f>Data!B200</f>
        <v/>
      </c>
      <c r="C67" s="407" t="str">
        <f>Data!$C$9</f>
        <v>£m 20/21</v>
      </c>
      <c r="D67" s="472"/>
      <c r="E67" s="472"/>
      <c r="F67" s="472"/>
      <c r="G67" s="472"/>
      <c r="H67" s="472"/>
      <c r="I67" s="438">
        <f>SUM(D67:INDEX(D67:H67,0,MATCH('RFPR cover'!$C$9,$D$6:$H$6,0)))</f>
        <v>0</v>
      </c>
      <c r="J67" s="439">
        <f t="shared" ref="J67:J71" si="11">SUM(D67:H67)</f>
        <v>0</v>
      </c>
    </row>
    <row r="68" spans="1:13" s="292" customFormat="1" ht="14.65" customHeight="1">
      <c r="A68" s="298" t="s">
        <v>552</v>
      </c>
      <c r="B68" s="486" t="str">
        <f>Data!B201</f>
        <v/>
      </c>
      <c r="C68" s="407" t="str">
        <f>Data!$C$9</f>
        <v>£m 20/21</v>
      </c>
      <c r="D68" s="472"/>
      <c r="E68" s="472"/>
      <c r="F68" s="472"/>
      <c r="G68" s="472"/>
      <c r="H68" s="472"/>
      <c r="I68" s="438">
        <f>SUM(D68:INDEX(D68:H68,0,MATCH('RFPR cover'!$C$9,$D$6:$H$6,0)))</f>
        <v>0</v>
      </c>
      <c r="J68" s="439">
        <f t="shared" si="11"/>
        <v>0</v>
      </c>
    </row>
    <row r="69" spans="1:13" s="292" customFormat="1" ht="14.65" customHeight="1">
      <c r="A69" s="298" t="s">
        <v>553</v>
      </c>
      <c r="B69" s="486" t="str">
        <f>Data!B202</f>
        <v/>
      </c>
      <c r="C69" s="407" t="str">
        <f>Data!$C$9</f>
        <v>£m 20/21</v>
      </c>
      <c r="D69" s="472"/>
      <c r="E69" s="472"/>
      <c r="F69" s="472"/>
      <c r="G69" s="472"/>
      <c r="H69" s="472"/>
      <c r="I69" s="438">
        <f>SUM(D69:INDEX(D69:H69,0,MATCH('RFPR cover'!$C$9,$D$6:$H$6,0)))</f>
        <v>0</v>
      </c>
      <c r="J69" s="439">
        <f t="shared" si="11"/>
        <v>0</v>
      </c>
    </row>
    <row r="70" spans="1:13" s="292" customFormat="1" ht="14.65" customHeight="1">
      <c r="A70" s="298" t="s">
        <v>554</v>
      </c>
      <c r="B70" s="486" t="str">
        <f>Data!B203</f>
        <v/>
      </c>
      <c r="C70" s="407" t="str">
        <f>Data!$C$9</f>
        <v>£m 20/21</v>
      </c>
      <c r="D70" s="472"/>
      <c r="E70" s="472"/>
      <c r="F70" s="472"/>
      <c r="G70" s="472"/>
      <c r="H70" s="472"/>
      <c r="I70" s="438">
        <f>SUM(D70:INDEX(D70:H70,0,MATCH('RFPR cover'!$C$9,$D$6:$H$6,0)))</f>
        <v>0</v>
      </c>
      <c r="J70" s="439">
        <f t="shared" si="11"/>
        <v>0</v>
      </c>
    </row>
    <row r="71" spans="1:13" s="292" customFormat="1" ht="14.65" customHeight="1">
      <c r="B71" s="421"/>
      <c r="C71" s="415" t="str">
        <f>Data!$C$9</f>
        <v>£m 20/21</v>
      </c>
      <c r="D71" s="450">
        <f>SUM(D66:D70)</f>
        <v>0</v>
      </c>
      <c r="E71" s="450">
        <f>SUM(E66:E70)</f>
        <v>0</v>
      </c>
      <c r="F71" s="450">
        <f>SUM(F66:F70)</f>
        <v>0</v>
      </c>
      <c r="G71" s="450">
        <f>SUM(G66:G70)</f>
        <v>0</v>
      </c>
      <c r="H71" s="450">
        <f>SUM(H66:H70)</f>
        <v>0</v>
      </c>
      <c r="I71" s="438">
        <f>SUM(D71:INDEX(D71:H71,0,MATCH('RFPR cover'!$C$9,$D$6:$H$6,0)))</f>
        <v>0</v>
      </c>
      <c r="J71" s="439">
        <f t="shared" si="11"/>
        <v>0</v>
      </c>
    </row>
    <row r="72" spans="1:13" s="292" customFormat="1" ht="14.65" customHeight="1">
      <c r="B72" s="421"/>
      <c r="C72" s="415"/>
      <c r="D72" s="415"/>
      <c r="E72" s="415"/>
      <c r="F72" s="415"/>
      <c r="G72" s="415"/>
      <c r="H72" s="415"/>
      <c r="I72" s="415"/>
    </row>
    <row r="73" spans="1:13" s="474" customFormat="1" ht="14.25" customHeight="1">
      <c r="A73" s="473"/>
      <c r="M73" s="292"/>
    </row>
    <row r="74" spans="1:13" s="292" customFormat="1">
      <c r="A74" s="475"/>
      <c r="B74" s="476" t="s">
        <v>699</v>
      </c>
      <c r="C74" s="477"/>
      <c r="D74" s="477"/>
      <c r="E74" s="477"/>
      <c r="F74" s="477"/>
      <c r="G74" s="477"/>
      <c r="H74" s="477"/>
      <c r="I74" s="477"/>
      <c r="J74" s="477"/>
    </row>
    <row r="75" spans="1:13" s="292" customFormat="1">
      <c r="A75" s="478" t="s">
        <v>547</v>
      </c>
      <c r="B75" s="476"/>
      <c r="C75" s="477"/>
      <c r="D75" s="477"/>
      <c r="E75" s="477"/>
      <c r="F75" s="477"/>
      <c r="G75" s="477"/>
      <c r="H75" s="477"/>
      <c r="I75" s="477"/>
      <c r="J75" s="477"/>
    </row>
    <row r="76" spans="1:13" s="292" customFormat="1">
      <c r="A76" s="478" t="s">
        <v>548</v>
      </c>
      <c r="B76" s="476"/>
      <c r="C76" s="477"/>
      <c r="D76" s="477"/>
      <c r="E76" s="477"/>
      <c r="F76" s="477"/>
      <c r="G76" s="477"/>
      <c r="H76" s="477"/>
      <c r="I76" s="477"/>
      <c r="J76" s="477"/>
    </row>
    <row r="77" spans="1:13" s="292" customFormat="1">
      <c r="A77" s="478" t="s">
        <v>549</v>
      </c>
      <c r="B77" s="938"/>
      <c r="C77" s="938"/>
      <c r="D77" s="938"/>
      <c r="E77" s="938"/>
      <c r="F77" s="938"/>
      <c r="G77" s="938"/>
      <c r="H77" s="938"/>
      <c r="I77" s="938"/>
      <c r="J77" s="938"/>
    </row>
    <row r="78" spans="1:13" s="292" customFormat="1">
      <c r="A78" s="478" t="s">
        <v>550</v>
      </c>
      <c r="B78" s="938"/>
      <c r="C78" s="938"/>
      <c r="D78" s="938"/>
      <c r="E78" s="938"/>
      <c r="F78" s="938"/>
      <c r="G78" s="938"/>
      <c r="H78" s="938"/>
      <c r="I78" s="938"/>
      <c r="J78" s="938"/>
    </row>
    <row r="79" spans="1:13" s="292" customFormat="1">
      <c r="A79" s="478" t="s">
        <v>551</v>
      </c>
      <c r="B79" s="938"/>
      <c r="C79" s="938"/>
      <c r="D79" s="938"/>
      <c r="E79" s="938"/>
      <c r="F79" s="938"/>
      <c r="G79" s="938"/>
      <c r="H79" s="938"/>
      <c r="I79" s="938"/>
      <c r="J79" s="938"/>
    </row>
    <row r="80" spans="1:13" s="292" customFormat="1">
      <c r="A80" s="478" t="s">
        <v>552</v>
      </c>
      <c r="B80" s="938"/>
      <c r="C80" s="938"/>
      <c r="D80" s="938"/>
      <c r="E80" s="938"/>
      <c r="F80" s="938"/>
      <c r="G80" s="938"/>
      <c r="H80" s="938"/>
      <c r="I80" s="938"/>
      <c r="J80" s="938"/>
    </row>
    <row r="81" spans="1:10" s="292" customFormat="1">
      <c r="A81" s="478" t="s">
        <v>553</v>
      </c>
      <c r="B81" s="348"/>
      <c r="C81" s="348"/>
      <c r="D81" s="348"/>
      <c r="E81" s="348"/>
      <c r="F81" s="348"/>
      <c r="G81" s="348"/>
      <c r="H81" s="348"/>
      <c r="I81" s="348"/>
      <c r="J81" s="348"/>
    </row>
    <row r="82" spans="1:10" s="292" customFormat="1">
      <c r="A82" s="478" t="s">
        <v>554</v>
      </c>
      <c r="B82" s="938"/>
      <c r="C82" s="938"/>
      <c r="D82" s="938"/>
      <c r="E82" s="938"/>
      <c r="F82" s="938"/>
      <c r="G82" s="938"/>
      <c r="H82" s="938"/>
      <c r="I82" s="938"/>
      <c r="J82" s="938"/>
    </row>
  </sheetData>
  <sheetProtection insertRows="0" sort="0" autoFilter="0" pivotTables="0"/>
  <mergeCells count="11">
    <mergeCell ref="B82:J82"/>
    <mergeCell ref="B77:J77"/>
    <mergeCell ref="B78:J78"/>
    <mergeCell ref="B79:J79"/>
    <mergeCell ref="B80:J80"/>
    <mergeCell ref="B34:J34"/>
    <mergeCell ref="B27:J27"/>
    <mergeCell ref="B28:J28"/>
    <mergeCell ref="B29:J29"/>
    <mergeCell ref="B30:J30"/>
    <mergeCell ref="B31:J31"/>
  </mergeCells>
  <conditionalFormatting sqref="D7:H7">
    <cfRule type="expression" dxfId="33" priority="1">
      <formula>AND(D$5="Actuals",E$5="Forecast")</formula>
    </cfRule>
  </conditionalFormatting>
  <conditionalFormatting sqref="H5:H6">
    <cfRule type="expression" dxfId="32" priority="237">
      <formula>AND(H$5="Actuals",#REF!="Forecast")</formula>
    </cfRule>
  </conditionalFormatting>
  <conditionalFormatting sqref="I5 D5:G6">
    <cfRule type="expression" dxfId="31"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zoomScale="80" zoomScaleNormal="80" workbookViewId="0">
      <selection sqref="A1:XFD1048576"/>
    </sheetView>
  </sheetViews>
  <sheetFormatPr defaultColWidth="0" defaultRowHeight="12.75" zeroHeight="1"/>
  <cols>
    <col min="1" max="1" width="8.375" style="101" customWidth="1"/>
    <col min="2" max="2" width="74.875" style="101" customWidth="1"/>
    <col min="3" max="3" width="14.125" style="101" customWidth="1"/>
    <col min="4" max="8" width="11.125" style="101" customWidth="1"/>
    <col min="9" max="10" width="12.875" style="101" customWidth="1"/>
    <col min="11" max="11" width="5" style="101" customWidth="1"/>
    <col min="12" max="23" width="9.25" style="101" customWidth="1"/>
    <col min="24" max="27" width="9" style="101" hidden="1" customWidth="1"/>
    <col min="28" max="16384" width="9" style="101" hidden="1"/>
  </cols>
  <sheetData>
    <row r="1" spans="1:27" ht="20.25">
      <c r="A1" s="826" t="s">
        <v>266</v>
      </c>
      <c r="B1" s="867"/>
      <c r="C1" s="862"/>
      <c r="D1" s="862"/>
      <c r="E1" s="862"/>
      <c r="F1" s="862"/>
      <c r="G1" s="862"/>
      <c r="H1" s="862"/>
      <c r="I1" s="863"/>
      <c r="J1" s="863"/>
      <c r="K1" s="396"/>
    </row>
    <row r="2" spans="1:27" ht="20.25">
      <c r="A2" s="827" t="s">
        <v>79</v>
      </c>
      <c r="B2" s="284"/>
      <c r="C2" s="285"/>
      <c r="D2" s="285"/>
      <c r="E2" s="285"/>
      <c r="F2" s="285"/>
      <c r="G2" s="285"/>
      <c r="H2" s="285"/>
      <c r="I2" s="286"/>
      <c r="J2" s="286"/>
      <c r="K2" s="287"/>
    </row>
    <row r="3" spans="1:27" ht="20.25">
      <c r="A3" s="830">
        <v>2026</v>
      </c>
      <c r="B3" s="831" t="s">
        <v>1045</v>
      </c>
      <c r="C3" s="489"/>
      <c r="D3" s="288"/>
      <c r="E3" s="288"/>
      <c r="F3" s="288"/>
      <c r="G3" s="288"/>
      <c r="H3" s="288"/>
      <c r="I3" s="289"/>
      <c r="J3" s="289"/>
      <c r="K3" s="290"/>
    </row>
    <row r="4" spans="1:27" ht="12.75" customHeight="1">
      <c r="A4" s="490"/>
      <c r="B4" s="490"/>
      <c r="C4" s="490"/>
      <c r="D4" s="490"/>
      <c r="E4" s="490"/>
      <c r="F4" s="490"/>
      <c r="G4" s="490"/>
      <c r="H4" s="490"/>
      <c r="I4" s="491"/>
    </row>
    <row r="5" spans="1:27">
      <c r="A5" s="292"/>
      <c r="B5" s="419"/>
      <c r="C5" s="419"/>
      <c r="D5" s="291" t="s">
        <v>1046</v>
      </c>
      <c r="E5" s="291" t="s">
        <v>1046</v>
      </c>
      <c r="F5" s="291" t="s">
        <v>1046</v>
      </c>
      <c r="G5" s="291" t="s">
        <v>1047</v>
      </c>
      <c r="H5" s="291" t="s">
        <v>1047</v>
      </c>
      <c r="I5" s="291" t="s">
        <v>1047</v>
      </c>
      <c r="J5" s="292"/>
      <c r="K5" s="292"/>
      <c r="L5" s="292"/>
      <c r="M5" s="292"/>
      <c r="N5" s="292"/>
      <c r="O5" s="292"/>
      <c r="P5" s="292"/>
      <c r="Q5" s="292"/>
      <c r="R5" s="292"/>
      <c r="S5" s="292"/>
      <c r="T5" s="292"/>
      <c r="U5" s="292"/>
      <c r="V5" s="292"/>
      <c r="W5" s="292"/>
      <c r="X5" s="292"/>
      <c r="Y5" s="292"/>
      <c r="Z5" s="292"/>
      <c r="AA5" s="292"/>
    </row>
    <row r="6" spans="1:27" ht="25.5">
      <c r="A6" s="292"/>
      <c r="B6" s="292"/>
      <c r="C6" s="292"/>
      <c r="D6" s="397">
        <v>2024</v>
      </c>
      <c r="E6" s="398">
        <v>2025</v>
      </c>
      <c r="F6" s="398">
        <v>2026</v>
      </c>
      <c r="G6" s="398">
        <v>2027</v>
      </c>
      <c r="H6" s="492">
        <v>2028</v>
      </c>
      <c r="I6" s="493" t="s">
        <v>1048</v>
      </c>
      <c r="J6" s="494" t="s">
        <v>535</v>
      </c>
      <c r="K6" s="292"/>
      <c r="L6" s="292"/>
      <c r="M6" s="292"/>
      <c r="N6" s="292"/>
      <c r="O6" s="292"/>
      <c r="P6" s="292"/>
      <c r="Q6" s="292"/>
      <c r="R6" s="292"/>
      <c r="S6" s="292"/>
      <c r="T6" s="292"/>
      <c r="U6" s="292"/>
      <c r="V6" s="292"/>
      <c r="W6" s="292"/>
      <c r="X6" s="292"/>
      <c r="Y6" s="292"/>
      <c r="Z6" s="292"/>
      <c r="AA6" s="292"/>
    </row>
    <row r="7" spans="1:27">
      <c r="A7" s="292"/>
      <c r="B7" s="292"/>
      <c r="C7" s="292"/>
      <c r="D7" s="397" t="s">
        <v>1049</v>
      </c>
      <c r="E7" s="397" t="s">
        <v>1050</v>
      </c>
      <c r="F7" s="397" t="s">
        <v>1051</v>
      </c>
      <c r="G7" s="397" t="s">
        <v>1052</v>
      </c>
      <c r="H7" s="495" t="s">
        <v>1053</v>
      </c>
      <c r="I7" s="292"/>
      <c r="J7" s="292"/>
      <c r="K7" s="292"/>
      <c r="L7" s="292"/>
      <c r="M7" s="292"/>
      <c r="N7" s="292"/>
      <c r="O7" s="292"/>
      <c r="P7" s="292"/>
      <c r="Q7" s="292"/>
      <c r="R7" s="292"/>
      <c r="S7" s="292"/>
      <c r="T7" s="292"/>
      <c r="U7" s="292"/>
      <c r="V7" s="292"/>
      <c r="W7" s="292"/>
      <c r="X7" s="292"/>
      <c r="Y7" s="292"/>
      <c r="Z7" s="292"/>
      <c r="AA7" s="292"/>
    </row>
    <row r="8" spans="1:27">
      <c r="A8" s="292"/>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row>
    <row r="9" spans="1:27">
      <c r="B9" s="496" t="s">
        <v>755</v>
      </c>
      <c r="C9" s="29" t="s">
        <v>575</v>
      </c>
      <c r="D9" s="524">
        <v>33.329837957194613</v>
      </c>
      <c r="E9" s="524">
        <v>37.406270254123015</v>
      </c>
      <c r="F9" s="524">
        <v>40.067501843865955</v>
      </c>
      <c r="G9" s="524">
        <v>39.111494905903321</v>
      </c>
      <c r="H9" s="524">
        <v>37.879121204750376</v>
      </c>
      <c r="I9" s="292"/>
      <c r="J9" s="292"/>
    </row>
    <row r="10" spans="1:27">
      <c r="B10" s="371"/>
      <c r="C10" s="29"/>
      <c r="D10" s="39"/>
      <c r="E10" s="39"/>
      <c r="F10" s="39"/>
      <c r="G10" s="39"/>
      <c r="H10" s="39"/>
      <c r="I10" s="292"/>
      <c r="J10" s="292"/>
    </row>
    <row r="11" spans="1:27">
      <c r="B11" s="371" t="s">
        <v>724</v>
      </c>
      <c r="C11" s="497"/>
      <c r="D11" s="498"/>
      <c r="E11" s="498"/>
      <c r="F11" s="498"/>
      <c r="G11" s="498"/>
      <c r="H11" s="498"/>
      <c r="I11" s="292"/>
      <c r="J11" s="292"/>
    </row>
    <row r="12" spans="1:27">
      <c r="B12" s="499" t="s">
        <v>757</v>
      </c>
      <c r="C12" s="29" t="s">
        <v>575</v>
      </c>
      <c r="D12" s="524">
        <v>0</v>
      </c>
      <c r="E12" s="524">
        <v>0</v>
      </c>
      <c r="F12" s="524">
        <v>0</v>
      </c>
      <c r="G12" s="524">
        <v>0</v>
      </c>
      <c r="H12" s="524">
        <v>0</v>
      </c>
      <c r="I12" s="292"/>
      <c r="J12" s="292"/>
    </row>
    <row r="13" spans="1:27">
      <c r="B13" s="499" t="s">
        <v>758</v>
      </c>
      <c r="C13" s="29" t="s">
        <v>575</v>
      </c>
      <c r="D13" s="524">
        <v>0</v>
      </c>
      <c r="E13" s="524">
        <v>0</v>
      </c>
      <c r="F13" s="524">
        <v>0</v>
      </c>
      <c r="G13" s="524">
        <v>0</v>
      </c>
      <c r="H13" s="524">
        <v>0</v>
      </c>
      <c r="I13" s="292"/>
      <c r="J13" s="292"/>
    </row>
    <row r="14" spans="1:27">
      <c r="B14" s="499" t="s">
        <v>759</v>
      </c>
      <c r="C14" s="29" t="s">
        <v>575</v>
      </c>
      <c r="D14" s="524">
        <v>0</v>
      </c>
      <c r="E14" s="524">
        <v>0</v>
      </c>
      <c r="F14" s="524">
        <v>0</v>
      </c>
      <c r="G14" s="524">
        <v>0</v>
      </c>
      <c r="H14" s="524">
        <v>0</v>
      </c>
      <c r="I14" s="292"/>
      <c r="J14" s="292"/>
    </row>
    <row r="15" spans="1:27">
      <c r="B15" s="499" t="s">
        <v>760</v>
      </c>
      <c r="C15" s="29" t="s">
        <v>575</v>
      </c>
      <c r="D15" s="524">
        <v>0</v>
      </c>
      <c r="E15" s="524">
        <v>0</v>
      </c>
      <c r="F15" s="524">
        <v>0</v>
      </c>
      <c r="G15" s="524">
        <v>0</v>
      </c>
      <c r="H15" s="524">
        <v>0</v>
      </c>
      <c r="I15" s="292"/>
      <c r="J15" s="292"/>
    </row>
    <row r="16" spans="1:27">
      <c r="B16" s="499" t="s">
        <v>761</v>
      </c>
      <c r="C16" s="29" t="s">
        <v>575</v>
      </c>
      <c r="D16" s="524">
        <v>0</v>
      </c>
      <c r="E16" s="524">
        <v>0</v>
      </c>
      <c r="F16" s="524">
        <v>0</v>
      </c>
      <c r="G16" s="524">
        <v>0</v>
      </c>
      <c r="H16" s="524">
        <v>0</v>
      </c>
      <c r="I16" s="292"/>
      <c r="J16" s="292"/>
    </row>
    <row r="17" spans="2:9">
      <c r="B17" s="499" t="s">
        <v>762</v>
      </c>
      <c r="C17" s="29" t="s">
        <v>575</v>
      </c>
      <c r="D17" s="524">
        <v>3.6528</v>
      </c>
      <c r="E17" s="524">
        <v>1.496</v>
      </c>
      <c r="F17" s="524">
        <v>2.84</v>
      </c>
      <c r="G17" s="524">
        <v>2.9246319999999999</v>
      </c>
      <c r="H17" s="524">
        <v>3.0059367695999999</v>
      </c>
      <c r="I17" s="292"/>
    </row>
    <row r="18" spans="2:9">
      <c r="B18" s="499" t="s">
        <v>763</v>
      </c>
      <c r="C18" s="29" t="s">
        <v>575</v>
      </c>
      <c r="D18" s="524">
        <v>-0.75559748000000004</v>
      </c>
      <c r="E18" s="524">
        <v>-0.26200000000000001</v>
      </c>
      <c r="F18" s="524">
        <v>-0.30099999999999999</v>
      </c>
      <c r="G18" s="524">
        <v>-0.6</v>
      </c>
      <c r="H18" s="524">
        <v>-0.7</v>
      </c>
      <c r="I18" s="292"/>
    </row>
    <row r="19" spans="2:9" ht="12.75" customHeight="1">
      <c r="B19" s="499" t="s">
        <v>764</v>
      </c>
      <c r="C19" s="29" t="s">
        <v>575</v>
      </c>
      <c r="D19" s="524">
        <v>-0.17285452000000001</v>
      </c>
      <c r="E19" s="524">
        <v>-0.153</v>
      </c>
      <c r="F19" s="524">
        <v>-0.16800000000000001</v>
      </c>
      <c r="G19" s="524">
        <v>-0.4</v>
      </c>
      <c r="H19" s="524">
        <v>-0.2</v>
      </c>
      <c r="I19" s="292"/>
    </row>
    <row r="20" spans="2:9">
      <c r="B20" s="499" t="s">
        <v>753</v>
      </c>
      <c r="C20" s="29" t="s">
        <v>575</v>
      </c>
      <c r="D20" s="524">
        <v>1.7569999999999999</v>
      </c>
      <c r="E20" s="524">
        <v>2.556</v>
      </c>
      <c r="F20" s="524">
        <v>3.734</v>
      </c>
      <c r="G20" s="524">
        <v>3.734</v>
      </c>
      <c r="H20" s="524">
        <v>3.734</v>
      </c>
      <c r="I20" s="292"/>
    </row>
    <row r="21" spans="2:9">
      <c r="B21" s="499" t="s">
        <v>1033</v>
      </c>
      <c r="C21" s="29" t="s">
        <v>575</v>
      </c>
      <c r="D21" s="524">
        <v>-0.26526300000000003</v>
      </c>
      <c r="E21" s="524">
        <v>-0.27900000000000003</v>
      </c>
      <c r="F21" s="524">
        <v>-0.34100000000000003</v>
      </c>
      <c r="G21" s="524">
        <v>-0.34100000000000003</v>
      </c>
      <c r="H21" s="524">
        <v>-0.34100000000000003</v>
      </c>
      <c r="I21" s="292"/>
    </row>
    <row r="22" spans="2:9">
      <c r="B22" s="499" t="s">
        <v>1035</v>
      </c>
      <c r="C22" s="29" t="s">
        <v>575</v>
      </c>
      <c r="D22" s="524">
        <v>-4.9339940000000006E-2</v>
      </c>
      <c r="E22" s="524">
        <v>-0.05</v>
      </c>
      <c r="F22" s="524">
        <v>-0.05</v>
      </c>
      <c r="G22" s="524">
        <v>-0.05</v>
      </c>
      <c r="H22" s="524">
        <v>-0.05</v>
      </c>
      <c r="I22" s="292"/>
    </row>
    <row r="23" spans="2:9">
      <c r="B23" s="499" t="s">
        <v>1034</v>
      </c>
      <c r="C23" s="29" t="s">
        <v>575</v>
      </c>
      <c r="D23" s="524">
        <v>-0.24517053</v>
      </c>
      <c r="E23" s="524">
        <v>-0.20499999999999999</v>
      </c>
      <c r="F23" s="524">
        <v>-0.17899999999999999</v>
      </c>
      <c r="G23" s="524">
        <v>-0.17899999999999999</v>
      </c>
      <c r="H23" s="524">
        <v>-0.17899999999999999</v>
      </c>
      <c r="I23" s="292"/>
    </row>
    <row r="24" spans="2:9">
      <c r="B24" s="499" t="s">
        <v>765</v>
      </c>
      <c r="C24" s="29" t="s">
        <v>575</v>
      </c>
      <c r="D24" s="524">
        <v>0</v>
      </c>
      <c r="E24" s="524">
        <v>0</v>
      </c>
      <c r="F24" s="524">
        <v>0</v>
      </c>
      <c r="G24" s="524">
        <v>0</v>
      </c>
      <c r="H24" s="524">
        <v>0</v>
      </c>
      <c r="I24" s="292"/>
    </row>
    <row r="25" spans="2:9">
      <c r="B25" s="499" t="s">
        <v>1036</v>
      </c>
      <c r="C25" s="29" t="s">
        <v>575</v>
      </c>
      <c r="D25" s="524">
        <v>0.14992720000000001</v>
      </c>
      <c r="E25" s="524">
        <v>4.838757412126185E-2</v>
      </c>
      <c r="F25" s="524">
        <v>4.838757412126185E-2</v>
      </c>
      <c r="G25" s="524">
        <v>-0.19244359381766937</v>
      </c>
      <c r="H25" s="524">
        <v>-0.5352163304649582</v>
      </c>
      <c r="I25" s="292"/>
    </row>
    <row r="26" spans="2:9">
      <c r="B26" s="499" t="s">
        <v>1038</v>
      </c>
      <c r="C26" s="29" t="s">
        <v>575</v>
      </c>
      <c r="D26" s="524">
        <v>4.8659999999999995E-2</v>
      </c>
      <c r="E26" s="524">
        <v>0</v>
      </c>
      <c r="F26" s="524">
        <v>0</v>
      </c>
      <c r="G26" s="524">
        <v>0</v>
      </c>
      <c r="H26" s="524">
        <v>0</v>
      </c>
      <c r="I26" s="292"/>
    </row>
    <row r="27" spans="2:9">
      <c r="B27" s="499" t="s">
        <v>1037</v>
      </c>
      <c r="C27" s="29" t="s">
        <v>575</v>
      </c>
      <c r="D27" s="524">
        <v>-0.2</v>
      </c>
      <c r="E27" s="524">
        <v>0</v>
      </c>
      <c r="F27" s="524">
        <v>0</v>
      </c>
      <c r="G27" s="524">
        <v>0</v>
      </c>
      <c r="H27" s="524">
        <v>0</v>
      </c>
      <c r="I27" s="292"/>
    </row>
    <row r="28" spans="2:9">
      <c r="B28" s="499" t="s">
        <v>765</v>
      </c>
      <c r="C28" s="29" t="s">
        <v>575</v>
      </c>
      <c r="D28" s="524">
        <v>0</v>
      </c>
      <c r="E28" s="524">
        <v>0</v>
      </c>
      <c r="F28" s="524">
        <v>0</v>
      </c>
      <c r="G28" s="524">
        <v>0</v>
      </c>
      <c r="H28" s="524">
        <v>0</v>
      </c>
      <c r="I28" s="292"/>
    </row>
    <row r="29" spans="2:9">
      <c r="B29" s="500" t="s">
        <v>626</v>
      </c>
      <c r="C29" s="29" t="s">
        <v>575</v>
      </c>
      <c r="D29" s="26">
        <v>37.249999687194602</v>
      </c>
      <c r="E29" s="27">
        <v>40.557657828244281</v>
      </c>
      <c r="F29" s="27">
        <v>45.650889417987223</v>
      </c>
      <c r="G29" s="27">
        <v>44.007683312085653</v>
      </c>
      <c r="H29" s="27">
        <v>42.613841643885415</v>
      </c>
      <c r="I29" s="292"/>
    </row>
    <row r="30" spans="2:9" ht="14.25">
      <c r="B30" s="501" t="s">
        <v>725</v>
      </c>
      <c r="C30" s="29" t="s">
        <v>575</v>
      </c>
      <c r="D30" s="482"/>
      <c r="E30" s="502"/>
      <c r="F30" s="502"/>
      <c r="G30" s="502">
        <v>0</v>
      </c>
      <c r="H30" s="502">
        <v>12.874104750000001</v>
      </c>
      <c r="I30" s="292"/>
    </row>
    <row r="31" spans="2:9">
      <c r="B31" s="500" t="s">
        <v>726</v>
      </c>
      <c r="C31" s="29" t="s">
        <v>575</v>
      </c>
      <c r="D31" s="26">
        <v>37.249999687194602</v>
      </c>
      <c r="E31" s="27">
        <v>40.557657828244281</v>
      </c>
      <c r="F31" s="27">
        <v>45.650889417987223</v>
      </c>
      <c r="G31" s="27">
        <v>44.007683312085653</v>
      </c>
      <c r="H31" s="27">
        <v>55.487946393885416</v>
      </c>
      <c r="I31" s="292"/>
    </row>
    <row r="32" spans="2:9">
      <c r="B32" s="77" t="s">
        <v>727</v>
      </c>
      <c r="C32" s="29" t="s">
        <v>575</v>
      </c>
      <c r="D32" s="502">
        <v>35.491548614646632</v>
      </c>
      <c r="E32" s="502">
        <v>46.664000000000001</v>
      </c>
      <c r="F32" s="502">
        <v>51.547000000000011</v>
      </c>
      <c r="G32" s="502">
        <v>47.526095074446943</v>
      </c>
      <c r="H32" s="502">
        <v>58.876536085930354</v>
      </c>
      <c r="I32" s="292"/>
    </row>
    <row r="33" spans="2:21">
      <c r="B33" s="77" t="s">
        <v>728</v>
      </c>
      <c r="C33" s="29" t="s">
        <v>575</v>
      </c>
      <c r="D33" s="502">
        <v>1.7909466900000002</v>
      </c>
      <c r="E33" s="502">
        <v>-6.1080000000000005</v>
      </c>
      <c r="F33" s="502">
        <v>-5.8639999999999999</v>
      </c>
      <c r="G33" s="502">
        <v>-3.5307125050751407</v>
      </c>
      <c r="H33" s="502">
        <v>-3.3547940951091482</v>
      </c>
      <c r="I33" s="292"/>
    </row>
    <row r="34" spans="2:21">
      <c r="B34" s="77"/>
      <c r="D34" s="525" t="s">
        <v>1054</v>
      </c>
      <c r="E34" s="526" t="s">
        <v>1054</v>
      </c>
      <c r="F34" s="526" t="s">
        <v>1054</v>
      </c>
      <c r="G34" s="526" t="s">
        <v>1054</v>
      </c>
      <c r="H34" s="526" t="s">
        <v>1054</v>
      </c>
      <c r="I34" s="292"/>
    </row>
    <row r="35" spans="2:21">
      <c r="D35" s="503"/>
      <c r="E35" s="503"/>
      <c r="F35" s="503"/>
      <c r="G35" s="503"/>
      <c r="H35" s="503"/>
      <c r="I35" s="292"/>
    </row>
    <row r="36" spans="2:21">
      <c r="B36" s="77" t="s">
        <v>729</v>
      </c>
      <c r="C36" s="29" t="s">
        <v>575</v>
      </c>
      <c r="D36" s="502">
        <v>5.2427940693506878</v>
      </c>
      <c r="E36" s="502">
        <v>4.0579818502883844</v>
      </c>
      <c r="F36" s="502">
        <v>4.3541849050539607</v>
      </c>
      <c r="G36" s="502">
        <v>5.1230777969407573</v>
      </c>
      <c r="H36" s="502">
        <v>3.5934240160222615</v>
      </c>
      <c r="I36" s="292"/>
    </row>
    <row r="37" spans="2:21">
      <c r="D37" s="503"/>
      <c r="E37" s="503"/>
      <c r="F37" s="503"/>
      <c r="G37" s="503"/>
      <c r="H37" s="503"/>
      <c r="I37" s="292"/>
    </row>
    <row r="38" spans="2:21">
      <c r="B38" s="77" t="s">
        <v>730</v>
      </c>
      <c r="C38" s="29" t="s">
        <v>575</v>
      </c>
      <c r="D38" s="524">
        <v>67.821134662379436</v>
      </c>
      <c r="E38" s="524">
        <v>34.985947337397675</v>
      </c>
      <c r="F38" s="524">
        <v>41.405293353589435</v>
      </c>
      <c r="G38" s="524">
        <v>35.15561679739492</v>
      </c>
      <c r="H38" s="524">
        <v>26.667559826510086</v>
      </c>
      <c r="I38"/>
      <c r="J38"/>
      <c r="K38"/>
      <c r="L38"/>
      <c r="M38"/>
      <c r="N38"/>
      <c r="O38"/>
      <c r="P38"/>
      <c r="Q38"/>
      <c r="R38"/>
      <c r="S38"/>
      <c r="T38"/>
      <c r="U38"/>
    </row>
    <row r="39" spans="2:21">
      <c r="B39" s="77"/>
      <c r="C39" s="29"/>
      <c r="D39" s="504"/>
      <c r="E39" s="504"/>
      <c r="F39" s="504"/>
      <c r="G39" s="504"/>
      <c r="H39" s="504"/>
      <c r="I39" s="292"/>
      <c r="K39" s="299"/>
    </row>
    <row r="40" spans="2:21">
      <c r="B40" s="77" t="s">
        <v>731</v>
      </c>
      <c r="C40" s="29" t="s">
        <v>575</v>
      </c>
      <c r="D40" s="21">
        <v>-30.571134975184833</v>
      </c>
      <c r="E40" s="21">
        <v>5.5717104908466055</v>
      </c>
      <c r="F40" s="21">
        <v>4.2455960643977875</v>
      </c>
      <c r="G40" s="21">
        <v>8.8520665146907334</v>
      </c>
      <c r="H40" s="21">
        <v>28.82038656737533</v>
      </c>
    </row>
    <row r="41" spans="2:21">
      <c r="B41" s="77"/>
      <c r="C41" s="29"/>
      <c r="D41" s="29"/>
      <c r="E41" s="29"/>
      <c r="F41" s="29"/>
      <c r="G41" s="29"/>
      <c r="H41" s="29"/>
      <c r="I41" s="29"/>
      <c r="K41" s="299"/>
    </row>
    <row r="42" spans="2:21">
      <c r="B42" s="505" t="s">
        <v>732</v>
      </c>
      <c r="C42" s="29" t="s">
        <v>733</v>
      </c>
      <c r="D42" s="527">
        <v>1.2806226704273584</v>
      </c>
      <c r="E42" s="527">
        <v>1.321792585589326</v>
      </c>
      <c r="F42" s="527">
        <v>1.3718374525227366</v>
      </c>
      <c r="G42" s="527">
        <v>1.4112457723935923</v>
      </c>
      <c r="H42" s="527">
        <v>1.4390680908631575</v>
      </c>
      <c r="I42" s="29"/>
      <c r="K42" s="299"/>
    </row>
    <row r="43" spans="2:21">
      <c r="I43" s="407"/>
      <c r="J43" s="407"/>
      <c r="K43" s="407"/>
    </row>
    <row r="44" spans="2:21">
      <c r="B44" s="75" t="s">
        <v>731</v>
      </c>
      <c r="C44" s="415" t="s">
        <v>20</v>
      </c>
      <c r="D44" s="26">
        <v>-23.872086353885095</v>
      </c>
      <c r="E44" s="27">
        <v>4.2152683799194097</v>
      </c>
      <c r="F44" s="27">
        <v>3.0948244317068037</v>
      </c>
      <c r="G44" s="27">
        <v>6.2725194206795596</v>
      </c>
      <c r="H44" s="27">
        <v>20.02711807061803</v>
      </c>
      <c r="I44" s="528">
        <v>-16.561993542258882</v>
      </c>
      <c r="J44" s="529">
        <v>9.7376439490387074</v>
      </c>
    </row>
    <row r="45" spans="2:21">
      <c r="B45" s="77"/>
      <c r="C45" s="407"/>
      <c r="D45" s="506"/>
      <c r="E45" s="506"/>
      <c r="F45" s="506"/>
      <c r="G45" s="506"/>
      <c r="H45" s="506"/>
      <c r="I45" s="507"/>
      <c r="J45" s="507"/>
    </row>
    <row r="46" spans="2:21">
      <c r="B46" s="75" t="s">
        <v>734</v>
      </c>
      <c r="C46" s="29"/>
      <c r="D46" s="506"/>
      <c r="E46" s="506"/>
      <c r="F46" s="506"/>
      <c r="G46" s="506"/>
      <c r="H46" s="506"/>
      <c r="I46" s="507"/>
      <c r="J46" s="507"/>
    </row>
    <row r="47" spans="2:21">
      <c r="B47" s="499" t="s">
        <v>766</v>
      </c>
      <c r="C47" s="29" t="s">
        <v>575</v>
      </c>
      <c r="D47" s="88">
        <v>0.75559748000000004</v>
      </c>
      <c r="E47" s="88">
        <v>0.26200000000000001</v>
      </c>
      <c r="F47" s="88">
        <v>0.30099999999999999</v>
      </c>
      <c r="G47" s="88">
        <v>0.6</v>
      </c>
      <c r="H47" s="88">
        <v>0.7</v>
      </c>
      <c r="I47" s="528">
        <v>1.31859748</v>
      </c>
      <c r="J47" s="528">
        <v>2.61859748</v>
      </c>
    </row>
    <row r="48" spans="2:21" ht="14.25">
      <c r="B48" s="499" t="s">
        <v>735</v>
      </c>
      <c r="C48" s="29" t="s">
        <v>575</v>
      </c>
      <c r="D48" s="482"/>
      <c r="E48" s="502">
        <v>0</v>
      </c>
      <c r="F48" s="502">
        <v>5.5000000000000007E-2</v>
      </c>
      <c r="G48" s="502">
        <v>9.9000000000000005E-2</v>
      </c>
      <c r="H48" s="502">
        <v>9.9000000000000005E-2</v>
      </c>
      <c r="I48" s="528">
        <v>5.5000000000000007E-2</v>
      </c>
      <c r="J48" s="528">
        <v>0.253</v>
      </c>
    </row>
    <row r="49" spans="1:11">
      <c r="B49" s="499" t="s">
        <v>767</v>
      </c>
      <c r="C49" s="29" t="s">
        <v>575</v>
      </c>
      <c r="D49" s="88">
        <v>0</v>
      </c>
      <c r="E49" s="88">
        <v>0</v>
      </c>
      <c r="F49" s="88">
        <v>0</v>
      </c>
      <c r="G49" s="88">
        <v>0</v>
      </c>
      <c r="H49" s="88">
        <v>0</v>
      </c>
      <c r="I49" s="528">
        <v>0</v>
      </c>
      <c r="J49" s="528">
        <v>0</v>
      </c>
    </row>
    <row r="50" spans="1:11">
      <c r="B50" s="499" t="s">
        <v>768</v>
      </c>
      <c r="C50" s="29" t="s">
        <v>575</v>
      </c>
      <c r="D50" s="88">
        <v>0</v>
      </c>
      <c r="E50" s="88">
        <v>0</v>
      </c>
      <c r="F50" s="88">
        <v>0</v>
      </c>
      <c r="G50" s="88">
        <v>0</v>
      </c>
      <c r="H50" s="88">
        <v>0</v>
      </c>
      <c r="I50" s="528">
        <v>0</v>
      </c>
      <c r="J50" s="528">
        <v>0</v>
      </c>
    </row>
    <row r="51" spans="1:11">
      <c r="B51" s="499" t="s">
        <v>765</v>
      </c>
      <c r="C51" s="29" t="s">
        <v>575</v>
      </c>
      <c r="D51" s="88">
        <v>0</v>
      </c>
      <c r="E51" s="88">
        <v>0</v>
      </c>
      <c r="F51" s="88">
        <v>0</v>
      </c>
      <c r="G51" s="88">
        <v>0</v>
      </c>
      <c r="H51" s="88">
        <v>0</v>
      </c>
      <c r="I51" s="528">
        <v>0</v>
      </c>
      <c r="J51" s="528">
        <v>0</v>
      </c>
    </row>
    <row r="52" spans="1:11">
      <c r="B52" s="499" t="s">
        <v>765</v>
      </c>
      <c r="C52" s="29" t="s">
        <v>575</v>
      </c>
      <c r="D52" s="88">
        <v>0</v>
      </c>
      <c r="E52" s="88">
        <v>0</v>
      </c>
      <c r="F52" s="88">
        <v>0</v>
      </c>
      <c r="G52" s="88">
        <v>0</v>
      </c>
      <c r="H52" s="88">
        <v>0</v>
      </c>
      <c r="I52" s="528">
        <v>0</v>
      </c>
      <c r="J52" s="528">
        <v>0</v>
      </c>
    </row>
    <row r="53" spans="1:11">
      <c r="B53" s="499" t="s">
        <v>765</v>
      </c>
      <c r="C53" s="29" t="s">
        <v>575</v>
      </c>
      <c r="D53" s="88">
        <v>0</v>
      </c>
      <c r="E53" s="88">
        <v>0</v>
      </c>
      <c r="F53" s="88">
        <v>0</v>
      </c>
      <c r="G53" s="88">
        <v>0</v>
      </c>
      <c r="H53" s="88">
        <v>0</v>
      </c>
      <c r="I53" s="528">
        <v>0</v>
      </c>
      <c r="J53" s="528">
        <v>0</v>
      </c>
    </row>
    <row r="54" spans="1:11">
      <c r="B54" s="499" t="s">
        <v>765</v>
      </c>
      <c r="C54" s="29" t="s">
        <v>575</v>
      </c>
      <c r="D54" s="88">
        <v>0</v>
      </c>
      <c r="E54" s="88">
        <v>0</v>
      </c>
      <c r="F54" s="88">
        <v>0</v>
      </c>
      <c r="G54" s="88">
        <v>0</v>
      </c>
      <c r="H54" s="88">
        <v>0</v>
      </c>
      <c r="I54" s="528">
        <v>0</v>
      </c>
      <c r="J54" s="528">
        <v>0</v>
      </c>
    </row>
    <row r="55" spans="1:11">
      <c r="A55" s="508"/>
      <c r="B55" s="509"/>
      <c r="C55" s="87"/>
      <c r="D55" s="510"/>
      <c r="E55" s="510"/>
      <c r="F55" s="510"/>
      <c r="G55" s="510"/>
      <c r="H55" s="510"/>
      <c r="I55" s="511"/>
      <c r="J55" s="511"/>
      <c r="K55" s="508"/>
    </row>
    <row r="56" spans="1:11">
      <c r="B56" s="512" t="s">
        <v>736</v>
      </c>
      <c r="C56" s="40" t="s">
        <v>575</v>
      </c>
      <c r="D56" s="26">
        <v>0.75559748000000004</v>
      </c>
      <c r="E56" s="26">
        <v>0.26200000000000001</v>
      </c>
      <c r="F56" s="26">
        <v>0.35599999999999998</v>
      </c>
      <c r="G56" s="26">
        <v>0.69899999999999995</v>
      </c>
      <c r="H56" s="26">
        <v>0.79899999999999993</v>
      </c>
      <c r="I56" s="528">
        <v>1.3735974799999999</v>
      </c>
      <c r="J56" s="529">
        <v>2.8715974799999997</v>
      </c>
    </row>
    <row r="57" spans="1:11">
      <c r="B57" s="512" t="s">
        <v>736</v>
      </c>
      <c r="C57" s="415" t="s">
        <v>20</v>
      </c>
      <c r="D57" s="26">
        <v>0.59002350766432121</v>
      </c>
      <c r="E57" s="26">
        <v>0.19821566776544322</v>
      </c>
      <c r="F57" s="26">
        <v>0.25950596358579858</v>
      </c>
      <c r="G57" s="26">
        <v>0.49530706392440543</v>
      </c>
      <c r="H57" s="26">
        <v>0.5552204270756621</v>
      </c>
      <c r="I57" s="528">
        <v>1.047745139015563</v>
      </c>
      <c r="J57" s="529">
        <v>2.0982726300156305</v>
      </c>
    </row>
    <row r="58" spans="1:11">
      <c r="B58" s="77"/>
      <c r="C58" s="407"/>
      <c r="D58" s="506"/>
      <c r="E58" s="506"/>
      <c r="F58" s="506"/>
      <c r="G58" s="506"/>
      <c r="H58" s="506"/>
      <c r="I58" s="507"/>
      <c r="J58" s="507"/>
    </row>
    <row r="59" spans="1:11">
      <c r="A59" s="406"/>
      <c r="B59" s="292"/>
      <c r="C59" s="292"/>
      <c r="D59" s="292"/>
      <c r="E59" s="292"/>
      <c r="F59" s="292"/>
      <c r="G59" s="292"/>
      <c r="H59" s="292"/>
      <c r="I59" s="292"/>
      <c r="J59" s="292"/>
      <c r="K59" s="292"/>
    </row>
    <row r="60" spans="1:11">
      <c r="A60" s="406"/>
      <c r="B60" s="513" t="s">
        <v>737</v>
      </c>
      <c r="C60" s="339"/>
      <c r="D60" s="339"/>
      <c r="E60" s="339"/>
      <c r="F60" s="339"/>
      <c r="G60" s="339"/>
      <c r="H60" s="339"/>
      <c r="I60" s="339"/>
      <c r="J60" s="339"/>
      <c r="K60" s="339"/>
    </row>
    <row r="61" spans="1:11">
      <c r="A61" s="406"/>
      <c r="B61" s="514" t="s">
        <v>738</v>
      </c>
      <c r="C61" s="515"/>
      <c r="D61" s="515"/>
      <c r="E61" s="515"/>
      <c r="F61" s="515"/>
      <c r="G61" s="515"/>
      <c r="H61" s="515"/>
      <c r="I61" s="515"/>
      <c r="J61" s="515"/>
      <c r="K61" s="515"/>
    </row>
    <row r="62" spans="1:11">
      <c r="A62" s="406"/>
      <c r="B62" s="292"/>
      <c r="C62" s="292"/>
      <c r="D62" s="292"/>
      <c r="E62" s="292"/>
      <c r="F62" s="292"/>
      <c r="G62" s="292"/>
      <c r="H62" s="292"/>
      <c r="I62" s="292"/>
      <c r="J62" s="292"/>
      <c r="K62" s="292"/>
    </row>
    <row r="63" spans="1:11">
      <c r="B63" s="77" t="s">
        <v>24</v>
      </c>
      <c r="C63" s="407" t="s">
        <v>538</v>
      </c>
      <c r="D63" s="89">
        <v>0.6</v>
      </c>
      <c r="E63" s="90">
        <v>0.6</v>
      </c>
      <c r="F63" s="90">
        <v>0.6</v>
      </c>
      <c r="G63" s="90">
        <v>0.6</v>
      </c>
      <c r="H63" s="90">
        <v>0.6</v>
      </c>
      <c r="I63" s="292"/>
      <c r="K63" s="299"/>
    </row>
    <row r="64" spans="1:11">
      <c r="B64" s="77" t="s">
        <v>739</v>
      </c>
      <c r="C64" s="407" t="s">
        <v>538</v>
      </c>
      <c r="D64" s="90">
        <v>0.53800873156504336</v>
      </c>
      <c r="E64" s="90">
        <v>0.54700293539852352</v>
      </c>
      <c r="F64" s="90">
        <v>0.55198145944430599</v>
      </c>
      <c r="G64" s="90">
        <v>0.59514000949788137</v>
      </c>
      <c r="H64" s="90">
        <v>0.61154019610114185</v>
      </c>
      <c r="I64" s="292"/>
      <c r="K64" s="299"/>
    </row>
    <row r="65" spans="1:12">
      <c r="B65" s="77"/>
      <c r="C65" s="407"/>
      <c r="D65" s="407"/>
      <c r="E65" s="407"/>
      <c r="F65" s="407"/>
      <c r="G65" s="407"/>
      <c r="H65" s="407"/>
      <c r="I65" s="292"/>
      <c r="K65" s="299"/>
    </row>
    <row r="66" spans="1:12">
      <c r="B66" s="77" t="s">
        <v>740</v>
      </c>
      <c r="C66" s="29" t="s">
        <v>575</v>
      </c>
      <c r="D66" s="18">
        <v>-30.571134975184833</v>
      </c>
      <c r="E66" s="19">
        <v>5.5717104908466055</v>
      </c>
      <c r="F66" s="19">
        <v>4.2455960643977875</v>
      </c>
      <c r="G66" s="19">
        <v>8.8520665146907334</v>
      </c>
      <c r="H66" s="19">
        <v>28.82038656737533</v>
      </c>
    </row>
    <row r="67" spans="1:12">
      <c r="B67" s="77" t="s">
        <v>741</v>
      </c>
      <c r="C67" s="29" t="s">
        <v>575</v>
      </c>
      <c r="D67" s="18">
        <v>-3.5225142705306776</v>
      </c>
      <c r="E67" s="18">
        <v>0.53982215033085679</v>
      </c>
      <c r="F67" s="18">
        <v>0.36933727268053251</v>
      </c>
      <c r="G67" s="18">
        <v>7.2287123196129621E-2</v>
      </c>
      <c r="H67" s="18">
        <v>-0.54386108193486493</v>
      </c>
      <c r="K67" s="299"/>
    </row>
    <row r="68" spans="1:12">
      <c r="B68" s="77" t="s">
        <v>742</v>
      </c>
      <c r="C68" s="29" t="s">
        <v>575</v>
      </c>
      <c r="D68" s="21">
        <v>-34.093649245715511</v>
      </c>
      <c r="E68" s="22">
        <v>6.1115326411774626</v>
      </c>
      <c r="F68" s="22">
        <v>4.6149333370783197</v>
      </c>
      <c r="G68" s="22">
        <v>8.9243536378868633</v>
      </c>
      <c r="H68" s="22">
        <v>28.276525485440466</v>
      </c>
    </row>
    <row r="69" spans="1:12">
      <c r="B69" s="77"/>
      <c r="C69" s="29"/>
      <c r="D69" s="29"/>
      <c r="E69" s="29"/>
      <c r="F69" s="29"/>
      <c r="G69" s="29"/>
      <c r="H69" s="29"/>
      <c r="I69" s="29"/>
      <c r="J69" s="29"/>
      <c r="K69" s="29"/>
      <c r="L69" s="29"/>
    </row>
    <row r="70" spans="1:12">
      <c r="B70" s="75" t="s">
        <v>742</v>
      </c>
      <c r="C70" s="415" t="s">
        <v>20</v>
      </c>
      <c r="D70" s="26">
        <v>-26.622712554618506</v>
      </c>
      <c r="E70" s="27">
        <v>4.6236699371805097</v>
      </c>
      <c r="F70" s="27">
        <v>3.3640525913559958</v>
      </c>
      <c r="G70" s="27">
        <v>6.3237416277608434</v>
      </c>
      <c r="H70" s="27">
        <v>19.649192185534542</v>
      </c>
      <c r="I70" s="528">
        <v>-18.634990026082001</v>
      </c>
      <c r="J70" s="529">
        <v>7.3379437872133835</v>
      </c>
    </row>
    <row r="71" spans="1:12">
      <c r="B71" s="77" t="s">
        <v>743</v>
      </c>
      <c r="C71" s="407" t="s">
        <v>20</v>
      </c>
      <c r="D71" s="18">
        <v>0.6580081025242499</v>
      </c>
      <c r="E71" s="18">
        <v>0.2174200410325384</v>
      </c>
      <c r="F71" s="18">
        <v>0.28208117408187944</v>
      </c>
      <c r="G71" s="18">
        <v>0.49935180564549353</v>
      </c>
      <c r="H71" s="18">
        <v>0.54474302485637582</v>
      </c>
      <c r="I71" s="530">
        <v>1.1575093176386677</v>
      </c>
      <c r="J71" s="531">
        <v>2.2016041481405368</v>
      </c>
      <c r="K71" s="407"/>
    </row>
    <row r="72" spans="1:12"/>
    <row r="73" spans="1:12">
      <c r="B73" s="516" t="s">
        <v>744</v>
      </c>
      <c r="C73" s="517"/>
      <c r="D73" s="517"/>
      <c r="E73" s="517"/>
      <c r="F73" s="517"/>
      <c r="G73" s="517"/>
      <c r="H73" s="517"/>
      <c r="I73" s="517"/>
      <c r="J73" s="517"/>
      <c r="K73" s="517"/>
      <c r="L73" s="407"/>
    </row>
    <row r="74" spans="1:12">
      <c r="B74" s="432"/>
      <c r="C74" s="407"/>
      <c r="D74" s="407"/>
      <c r="E74" s="407"/>
      <c r="F74" s="407"/>
      <c r="G74" s="407"/>
      <c r="H74" s="407"/>
      <c r="I74" s="407"/>
      <c r="J74" s="407"/>
      <c r="K74" s="407"/>
      <c r="L74" s="407"/>
    </row>
    <row r="75" spans="1:12">
      <c r="B75" s="514" t="s">
        <v>745</v>
      </c>
      <c r="C75" s="518"/>
      <c r="D75" s="518"/>
      <c r="E75" s="518"/>
      <c r="F75" s="518"/>
      <c r="G75" s="518"/>
      <c r="H75" s="518"/>
      <c r="I75" s="518"/>
      <c r="J75" s="518"/>
      <c r="K75" s="518"/>
      <c r="L75" s="407"/>
    </row>
    <row r="76" spans="1:12">
      <c r="B76" s="519"/>
      <c r="C76" s="519"/>
      <c r="D76" s="519"/>
      <c r="E76" s="519"/>
      <c r="F76" s="519"/>
      <c r="G76" s="519"/>
      <c r="H76" s="519"/>
      <c r="I76" s="519"/>
      <c r="J76" s="519"/>
      <c r="K76" s="519"/>
      <c r="L76" s="407"/>
    </row>
    <row r="77" spans="1:12">
      <c r="A77" s="843"/>
      <c r="B77" s="77" t="s">
        <v>746</v>
      </c>
      <c r="C77" s="407" t="s">
        <v>20</v>
      </c>
      <c r="D77" s="461">
        <v>23.742024707721985</v>
      </c>
      <c r="E77" s="461">
        <v>25.151767320802374</v>
      </c>
      <c r="F77" s="461">
        <v>26.550533615474073</v>
      </c>
      <c r="G77" s="461">
        <v>27.975718310426373</v>
      </c>
      <c r="H77" s="461">
        <v>29.457889554592555</v>
      </c>
      <c r="I77" s="519"/>
      <c r="J77" s="520"/>
      <c r="L77" s="407"/>
    </row>
    <row r="78" spans="1:12">
      <c r="B78" s="77"/>
      <c r="C78" s="407"/>
      <c r="D78" s="521"/>
      <c r="E78" s="521"/>
      <c r="F78" s="521"/>
      <c r="G78" s="521"/>
      <c r="H78" s="521"/>
      <c r="I78" s="519"/>
      <c r="J78" s="507"/>
      <c r="L78" s="407"/>
    </row>
    <row r="79" spans="1:12">
      <c r="B79" s="77"/>
      <c r="C79" s="407"/>
      <c r="D79" s="521"/>
      <c r="E79" s="522"/>
      <c r="F79" s="522"/>
      <c r="G79" s="522"/>
      <c r="H79" s="522"/>
      <c r="I79" s="507"/>
      <c r="J79" s="507"/>
      <c r="L79" s="407"/>
    </row>
    <row r="80" spans="1:12">
      <c r="B80" s="523" t="s">
        <v>747</v>
      </c>
      <c r="C80" s="517"/>
      <c r="D80" s="517"/>
      <c r="E80" s="517"/>
      <c r="F80" s="517"/>
      <c r="G80" s="517"/>
      <c r="H80" s="517"/>
      <c r="I80" s="517"/>
      <c r="J80" s="517"/>
      <c r="K80" s="517"/>
    </row>
    <row r="81" spans="2:11">
      <c r="B81" s="514" t="s">
        <v>748</v>
      </c>
      <c r="C81" s="515"/>
      <c r="D81" s="515"/>
      <c r="E81" s="515"/>
      <c r="F81" s="515"/>
      <c r="G81" s="515"/>
      <c r="H81" s="515"/>
      <c r="I81" s="515"/>
      <c r="J81" s="515"/>
      <c r="K81" s="515"/>
    </row>
    <row r="82" spans="2:11" ht="24.75" customHeight="1">
      <c r="B82" s="497" t="s">
        <v>749</v>
      </c>
      <c r="C82" s="407"/>
      <c r="D82" s="407"/>
      <c r="E82" s="407"/>
      <c r="F82" s="407"/>
      <c r="G82" s="407"/>
      <c r="H82" s="407"/>
      <c r="I82" s="407"/>
      <c r="J82" s="407"/>
      <c r="K82" s="407"/>
    </row>
    <row r="83" spans="2:11">
      <c r="B83" s="77" t="s">
        <v>750</v>
      </c>
      <c r="C83" s="407" t="s">
        <v>20</v>
      </c>
      <c r="D83" s="26">
        <v>47.024087553942756</v>
      </c>
      <c r="E83" s="26">
        <v>20.738283273117521</v>
      </c>
      <c r="F83" s="26">
        <v>23.19620322018147</v>
      </c>
      <c r="G83" s="26">
        <v>21.207891825822411</v>
      </c>
      <c r="H83" s="26">
        <v>8.8755510568988623</v>
      </c>
      <c r="I83" s="528">
        <v>90.958574047241754</v>
      </c>
      <c r="J83" s="529">
        <v>121.04201692996303</v>
      </c>
      <c r="K83" s="407"/>
    </row>
    <row r="84" spans="2:11">
      <c r="B84" s="77"/>
      <c r="K84" s="407"/>
    </row>
    <row r="85" spans="2:11">
      <c r="B85" s="77" t="s">
        <v>751</v>
      </c>
      <c r="C85" s="407" t="s">
        <v>20</v>
      </c>
      <c r="D85" s="26">
        <v>49.706729159816241</v>
      </c>
      <c r="E85" s="26">
        <v>20.310677342589326</v>
      </c>
      <c r="F85" s="26">
        <v>22.904399850036196</v>
      </c>
      <c r="G85" s="26">
        <v>21.152624877020038</v>
      </c>
      <c r="H85" s="26">
        <v>9.2639543442016379</v>
      </c>
      <c r="I85" s="528">
        <v>92.921806352441763</v>
      </c>
      <c r="J85" s="529">
        <v>123.33838557366343</v>
      </c>
      <c r="K85" s="407"/>
    </row>
    <row r="86" spans="2:11">
      <c r="B86" s="77"/>
      <c r="K86" s="407"/>
    </row>
    <row r="87" spans="2:11">
      <c r="B87" s="77" t="s">
        <v>752</v>
      </c>
      <c r="C87" s="407" t="s">
        <v>20</v>
      </c>
      <c r="D87" s="26">
        <v>-2.682641605873485</v>
      </c>
      <c r="E87" s="26">
        <v>0.42760593052819473</v>
      </c>
      <c r="F87" s="26">
        <v>0.29180337014527424</v>
      </c>
      <c r="G87" s="26">
        <v>5.526694880237315E-2</v>
      </c>
      <c r="H87" s="26">
        <v>-0.38840328730277562</v>
      </c>
      <c r="I87" s="528">
        <v>-1.963232305200016</v>
      </c>
      <c r="J87" s="529">
        <v>-2.2963686437004185</v>
      </c>
      <c r="K87" s="407"/>
    </row>
    <row r="88" spans="2:11">
      <c r="K88" s="407"/>
    </row>
    <row r="89" spans="2:11">
      <c r="K89" s="407"/>
    </row>
    <row r="90" spans="2:11">
      <c r="K90" s="407"/>
    </row>
    <row r="91" spans="2:11">
      <c r="K91" s="407"/>
    </row>
    <row r="92" spans="2:11"/>
    <row r="93" spans="2:11"/>
    <row r="94" spans="2:11"/>
    <row r="95" spans="2:11"/>
    <row r="96" spans="2:11"/>
    <row r="97"/>
    <row r="98"/>
    <row r="99"/>
    <row r="100"/>
  </sheetData>
  <sheetProtection insertRows="0" sort="0" autoFilter="0" pivotTables="0"/>
  <conditionalFormatting sqref="D48">
    <cfRule type="expression" dxfId="30" priority="4">
      <formula>D$5="Forecast"</formula>
    </cfRule>
    <cfRule type="expression" dxfId="29" priority="5">
      <formula>C$12="N/A"</formula>
    </cfRule>
  </conditionalFormatting>
  <conditionalFormatting sqref="D30:H30">
    <cfRule type="expression" dxfId="28"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Footer>&amp;C_x000D_&amp;1#&amp;"Calibri"&amp;10&amp;K000000 OFFICIAL-InternalOnly</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0" zoomScaleNormal="80" workbookViewId="0">
      <selection sqref="A1:XFD1048576"/>
    </sheetView>
  </sheetViews>
  <sheetFormatPr defaultColWidth="0" defaultRowHeight="12.75" zeroHeight="1"/>
  <cols>
    <col min="1" max="1" width="8.375" style="101" customWidth="1"/>
    <col min="2" max="2" width="85.75" style="101" bestFit="1" customWidth="1"/>
    <col min="3" max="3" width="14.125" style="101" customWidth="1"/>
    <col min="4" max="8" width="11.125" style="101" customWidth="1"/>
    <col min="9" max="9" width="5" style="101" customWidth="1"/>
    <col min="10" max="10" width="12.875" style="101" customWidth="1"/>
    <col min="11" max="23" width="9.25" style="101" customWidth="1"/>
    <col min="24" max="16384" width="9" style="101" hidden="1"/>
  </cols>
  <sheetData>
    <row r="1" spans="1:23" ht="20.25">
      <c r="A1" s="826" t="s">
        <v>268</v>
      </c>
      <c r="B1" s="867"/>
      <c r="C1" s="862"/>
      <c r="D1" s="862"/>
      <c r="E1" s="862"/>
      <c r="F1" s="862"/>
      <c r="G1" s="862"/>
      <c r="H1" s="862"/>
      <c r="I1" s="396"/>
    </row>
    <row r="2" spans="1:23" ht="20.25">
      <c r="A2" s="827" t="s">
        <v>79</v>
      </c>
      <c r="B2" s="284"/>
      <c r="C2" s="285"/>
      <c r="D2" s="285"/>
      <c r="E2" s="285"/>
      <c r="F2" s="285"/>
      <c r="G2" s="285"/>
      <c r="H2" s="285"/>
      <c r="I2" s="287"/>
    </row>
    <row r="3" spans="1:23" ht="20.25">
      <c r="A3" s="830">
        <v>2026</v>
      </c>
      <c r="B3" s="831" t="s">
        <v>1045</v>
      </c>
      <c r="C3" s="288"/>
      <c r="D3" s="288"/>
      <c r="E3" s="288"/>
      <c r="F3" s="288"/>
      <c r="G3" s="288"/>
      <c r="H3" s="288"/>
      <c r="I3" s="290"/>
    </row>
    <row r="4" spans="1:23" ht="12.75" customHeight="1">
      <c r="A4" s="490"/>
      <c r="B4" s="490"/>
      <c r="C4" s="490"/>
      <c r="D4" s="490"/>
      <c r="E4" s="490"/>
      <c r="F4" s="490"/>
      <c r="G4" s="490"/>
      <c r="H4" s="490"/>
      <c r="I4" s="491"/>
    </row>
    <row r="5" spans="1:23">
      <c r="A5" s="292"/>
      <c r="B5" s="419"/>
      <c r="C5" s="419"/>
      <c r="D5" s="291" t="s">
        <v>1046</v>
      </c>
      <c r="E5" s="291" t="s">
        <v>1046</v>
      </c>
      <c r="F5" s="291" t="s">
        <v>1046</v>
      </c>
      <c r="G5" s="291" t="s">
        <v>1047</v>
      </c>
      <c r="H5" s="291" t="s">
        <v>1047</v>
      </c>
      <c r="I5" s="292"/>
      <c r="J5" s="292"/>
      <c r="K5" s="292"/>
      <c r="L5" s="292"/>
      <c r="M5" s="292"/>
      <c r="N5" s="292"/>
      <c r="O5" s="292"/>
      <c r="P5" s="292"/>
      <c r="Q5" s="292"/>
      <c r="R5" s="292"/>
      <c r="S5" s="292"/>
      <c r="T5" s="292"/>
      <c r="U5" s="292"/>
      <c r="V5" s="292"/>
      <c r="W5" s="292"/>
    </row>
    <row r="6" spans="1:23">
      <c r="A6" s="292"/>
      <c r="B6" s="292"/>
      <c r="C6" s="292"/>
      <c r="D6" s="397">
        <v>2024</v>
      </c>
      <c r="E6" s="398">
        <v>2025</v>
      </c>
      <c r="F6" s="398">
        <v>2026</v>
      </c>
      <c r="G6" s="398">
        <v>2027</v>
      </c>
      <c r="H6" s="398">
        <v>2028</v>
      </c>
      <c r="I6" s="292"/>
      <c r="J6" s="292"/>
      <c r="K6" s="292"/>
      <c r="L6" s="292"/>
      <c r="M6" s="292"/>
      <c r="N6" s="292"/>
      <c r="O6" s="292"/>
      <c r="P6" s="292"/>
      <c r="Q6" s="292"/>
      <c r="R6" s="292"/>
      <c r="S6" s="292"/>
      <c r="T6" s="292"/>
      <c r="U6" s="292"/>
      <c r="V6" s="292"/>
      <c r="W6" s="292"/>
    </row>
    <row r="7" spans="1:23">
      <c r="A7" s="292"/>
      <c r="B7" s="292"/>
      <c r="C7" s="292"/>
      <c r="D7" s="397" t="s">
        <v>1049</v>
      </c>
      <c r="E7" s="397" t="s">
        <v>1050</v>
      </c>
      <c r="F7" s="397" t="s">
        <v>1051</v>
      </c>
      <c r="G7" s="397" t="s">
        <v>1052</v>
      </c>
      <c r="H7" s="495" t="s">
        <v>1053</v>
      </c>
      <c r="I7" s="292"/>
      <c r="J7" s="292"/>
      <c r="K7" s="292"/>
      <c r="L7" s="292"/>
      <c r="M7" s="292"/>
      <c r="N7" s="292"/>
      <c r="O7" s="292"/>
      <c r="P7" s="292"/>
      <c r="Q7" s="292"/>
      <c r="R7" s="292"/>
      <c r="S7" s="292"/>
      <c r="T7" s="292"/>
      <c r="U7" s="292"/>
      <c r="V7" s="292"/>
      <c r="W7" s="292"/>
    </row>
    <row r="8" spans="1:23">
      <c r="A8" s="292"/>
      <c r="B8" s="292"/>
      <c r="C8" s="292"/>
      <c r="D8" s="292"/>
      <c r="E8" s="292"/>
      <c r="F8" s="292"/>
      <c r="G8" s="292"/>
      <c r="H8" s="292"/>
      <c r="I8" s="292"/>
      <c r="J8" s="292"/>
      <c r="K8" s="292"/>
      <c r="L8" s="292"/>
      <c r="M8" s="292"/>
      <c r="N8" s="292"/>
      <c r="O8" s="292"/>
      <c r="P8" s="292"/>
      <c r="Q8" s="292"/>
      <c r="R8" s="292"/>
      <c r="S8" s="292"/>
      <c r="T8" s="292"/>
      <c r="U8" s="292"/>
      <c r="V8" s="292"/>
      <c r="W8" s="292"/>
    </row>
    <row r="9" spans="1:23">
      <c r="A9" s="292"/>
      <c r="B9" s="77" t="s">
        <v>769</v>
      </c>
      <c r="C9" s="29" t="s">
        <v>575</v>
      </c>
      <c r="D9" s="532">
        <v>75.526416569999995</v>
      </c>
      <c r="E9" s="539">
        <v>-152.9</v>
      </c>
      <c r="F9" s="539">
        <v>-68.900000000000006</v>
      </c>
      <c r="G9" s="539">
        <v>21.1</v>
      </c>
      <c r="H9" s="539">
        <v>22.2</v>
      </c>
      <c r="I9" s="292"/>
      <c r="J9" s="292"/>
      <c r="K9" s="292"/>
      <c r="L9" s="292"/>
      <c r="M9" s="292"/>
      <c r="N9" s="292"/>
      <c r="O9" s="292"/>
      <c r="P9" s="292"/>
      <c r="Q9" s="292"/>
      <c r="R9" s="292"/>
      <c r="S9" s="292"/>
      <c r="T9" s="292"/>
      <c r="U9" s="292"/>
      <c r="V9" s="292"/>
      <c r="W9" s="292"/>
    </row>
    <row r="10" spans="1:23">
      <c r="A10" s="292"/>
      <c r="B10" s="77"/>
      <c r="C10" s="292"/>
      <c r="D10" s="292"/>
      <c r="E10" s="292"/>
      <c r="F10" s="292"/>
      <c r="G10" s="292"/>
      <c r="H10" s="292"/>
      <c r="I10" s="292"/>
      <c r="J10" s="292"/>
      <c r="K10" s="292"/>
      <c r="L10" s="292"/>
      <c r="M10" s="292"/>
      <c r="N10" s="292"/>
      <c r="O10" s="292"/>
      <c r="P10" s="292"/>
      <c r="Q10" s="292"/>
      <c r="R10" s="292"/>
      <c r="S10" s="292"/>
      <c r="T10" s="292"/>
      <c r="U10" s="292"/>
      <c r="V10" s="292"/>
      <c r="W10" s="292"/>
    </row>
    <row r="11" spans="1:23">
      <c r="B11" s="77" t="s">
        <v>770</v>
      </c>
      <c r="C11" s="29" t="s">
        <v>575</v>
      </c>
      <c r="D11" s="540">
        <v>-152.9</v>
      </c>
      <c r="E11" s="540">
        <v>-68.900000000000006</v>
      </c>
      <c r="F11" s="540">
        <v>21.1</v>
      </c>
      <c r="G11" s="540">
        <v>22.2</v>
      </c>
      <c r="H11" s="540">
        <v>23.5</v>
      </c>
    </row>
    <row r="12" spans="1:23">
      <c r="B12" s="300" t="s">
        <v>803</v>
      </c>
      <c r="C12" s="29" t="s">
        <v>575</v>
      </c>
      <c r="D12" s="541">
        <v>1081.2647547013878</v>
      </c>
      <c r="E12" s="541">
        <v>1085.3227365516761</v>
      </c>
      <c r="F12" s="541">
        <v>1089.67692145673</v>
      </c>
      <c r="G12" s="541">
        <v>1094.8022645959011</v>
      </c>
      <c r="H12" s="541">
        <v>1098.4002930860668</v>
      </c>
    </row>
    <row r="13" spans="1:23">
      <c r="B13" s="300" t="s">
        <v>804</v>
      </c>
      <c r="C13" s="29" t="s">
        <v>575</v>
      </c>
      <c r="D13" s="541">
        <v>0</v>
      </c>
      <c r="E13" s="541">
        <v>0</v>
      </c>
      <c r="F13" s="541">
        <v>0</v>
      </c>
      <c r="G13" s="541">
        <v>0</v>
      </c>
      <c r="H13" s="541">
        <v>0</v>
      </c>
    </row>
    <row r="14" spans="1:23">
      <c r="B14" s="300" t="s">
        <v>805</v>
      </c>
      <c r="C14" s="29" t="s">
        <v>575</v>
      </c>
      <c r="D14" s="541">
        <v>0</v>
      </c>
      <c r="E14" s="541">
        <v>0</v>
      </c>
      <c r="F14" s="541">
        <v>0</v>
      </c>
      <c r="G14" s="541">
        <v>0</v>
      </c>
      <c r="H14" s="541">
        <v>0</v>
      </c>
    </row>
    <row r="15" spans="1:23">
      <c r="B15" s="300" t="s">
        <v>806</v>
      </c>
      <c r="C15" s="29" t="s">
        <v>575</v>
      </c>
      <c r="D15" s="541">
        <v>0</v>
      </c>
      <c r="E15" s="541">
        <v>0</v>
      </c>
      <c r="F15" s="541">
        <v>0</v>
      </c>
      <c r="G15" s="541">
        <v>0</v>
      </c>
      <c r="H15" s="541">
        <v>0</v>
      </c>
    </row>
    <row r="16" spans="1:23">
      <c r="B16" s="300" t="s">
        <v>807</v>
      </c>
      <c r="C16" s="29" t="s">
        <v>575</v>
      </c>
      <c r="D16" s="541">
        <v>0</v>
      </c>
      <c r="E16" s="541">
        <v>0</v>
      </c>
      <c r="F16" s="541">
        <v>0</v>
      </c>
      <c r="G16" s="541">
        <v>0</v>
      </c>
      <c r="H16" s="541">
        <v>0</v>
      </c>
    </row>
    <row r="17" spans="2:10">
      <c r="B17" s="300" t="s">
        <v>808</v>
      </c>
      <c r="C17" s="29" t="s">
        <v>575</v>
      </c>
      <c r="D17" s="541">
        <v>0</v>
      </c>
      <c r="E17" s="541">
        <v>0</v>
      </c>
      <c r="F17" s="541">
        <v>0</v>
      </c>
      <c r="G17" s="541">
        <v>0</v>
      </c>
      <c r="H17" s="541">
        <v>0</v>
      </c>
    </row>
    <row r="18" spans="2:10">
      <c r="B18" s="300" t="s">
        <v>809</v>
      </c>
      <c r="C18" s="29" t="s">
        <v>575</v>
      </c>
      <c r="D18" s="541">
        <v>39.106999999999999</v>
      </c>
      <c r="E18" s="541">
        <v>1239.107</v>
      </c>
      <c r="F18" s="541">
        <v>1239.107</v>
      </c>
      <c r="G18" s="541">
        <v>1239.107</v>
      </c>
      <c r="H18" s="541">
        <v>1239.107</v>
      </c>
    </row>
    <row r="19" spans="2:10">
      <c r="B19" s="300" t="s">
        <v>810</v>
      </c>
      <c r="C19" s="29" t="s">
        <v>575</v>
      </c>
      <c r="D19" s="541">
        <v>-39.106999999999999</v>
      </c>
      <c r="E19" s="541">
        <v>-1239.107</v>
      </c>
      <c r="F19" s="541">
        <v>-1239.107</v>
      </c>
      <c r="G19" s="541">
        <v>-1239.107</v>
      </c>
      <c r="H19" s="541">
        <v>-1239.107</v>
      </c>
    </row>
    <row r="20" spans="2:10">
      <c r="B20" s="300" t="s">
        <v>216</v>
      </c>
      <c r="C20" s="29" t="s">
        <v>575</v>
      </c>
      <c r="D20" s="541">
        <v>0</v>
      </c>
      <c r="E20" s="541">
        <v>0</v>
      </c>
      <c r="F20" s="541">
        <v>0</v>
      </c>
      <c r="G20" s="541">
        <v>0</v>
      </c>
      <c r="H20" s="541">
        <v>0</v>
      </c>
    </row>
    <row r="21" spans="2:10">
      <c r="B21" s="371" t="s">
        <v>771</v>
      </c>
      <c r="C21" s="40" t="s">
        <v>575</v>
      </c>
      <c r="D21" s="542">
        <v>928.36475470138782</v>
      </c>
      <c r="E21" s="542">
        <v>1016.4227365516763</v>
      </c>
      <c r="F21" s="542">
        <v>1110.7769214567297</v>
      </c>
      <c r="G21" s="542">
        <v>1117.0022645959011</v>
      </c>
      <c r="H21" s="542">
        <v>1121.900293086067</v>
      </c>
      <c r="I21" s="292"/>
      <c r="J21" s="533"/>
    </row>
    <row r="22" spans="2:10">
      <c r="B22" s="371"/>
      <c r="C22" s="29"/>
      <c r="D22" s="41"/>
      <c r="E22" s="41"/>
      <c r="F22" s="41"/>
      <c r="G22" s="41"/>
      <c r="H22" s="41"/>
      <c r="I22" s="292"/>
      <c r="J22" s="292"/>
    </row>
    <row r="23" spans="2:10">
      <c r="B23" s="371" t="s">
        <v>772</v>
      </c>
      <c r="C23" s="497"/>
      <c r="D23" s="534"/>
      <c r="E23" s="534"/>
      <c r="F23" s="534"/>
      <c r="G23" s="534"/>
      <c r="H23" s="534"/>
      <c r="I23" s="292"/>
      <c r="J23" s="292"/>
    </row>
    <row r="24" spans="2:10">
      <c r="B24" s="499" t="s">
        <v>811</v>
      </c>
      <c r="C24" s="29" t="s">
        <v>575</v>
      </c>
      <c r="D24" s="543">
        <v>0</v>
      </c>
      <c r="E24" s="543">
        <v>0</v>
      </c>
      <c r="F24" s="543">
        <v>0</v>
      </c>
      <c r="G24" s="543">
        <v>0</v>
      </c>
      <c r="H24" s="543">
        <v>0</v>
      </c>
      <c r="J24" s="292"/>
    </row>
    <row r="25" spans="2:10">
      <c r="B25" s="499" t="s">
        <v>812</v>
      </c>
      <c r="C25" s="29" t="s">
        <v>575</v>
      </c>
      <c r="D25" s="543">
        <v>0</v>
      </c>
      <c r="E25" s="543">
        <v>0</v>
      </c>
      <c r="F25" s="543">
        <v>0</v>
      </c>
      <c r="G25" s="543">
        <v>0</v>
      </c>
      <c r="H25" s="543">
        <v>0</v>
      </c>
      <c r="J25" s="292"/>
    </row>
    <row r="26" spans="2:10">
      <c r="B26" s="499" t="s">
        <v>813</v>
      </c>
      <c r="C26" s="29" t="s">
        <v>575</v>
      </c>
      <c r="D26" s="543">
        <v>0</v>
      </c>
      <c r="E26" s="543">
        <v>0</v>
      </c>
      <c r="F26" s="543">
        <v>0</v>
      </c>
      <c r="G26" s="543">
        <v>0</v>
      </c>
      <c r="H26" s="543">
        <v>0</v>
      </c>
      <c r="J26" s="292"/>
    </row>
    <row r="27" spans="2:10">
      <c r="B27" s="499" t="s">
        <v>814</v>
      </c>
      <c r="C27" s="29" t="s">
        <v>575</v>
      </c>
      <c r="D27" s="543">
        <v>0</v>
      </c>
      <c r="E27" s="543">
        <v>0</v>
      </c>
      <c r="F27" s="543">
        <v>0</v>
      </c>
      <c r="G27" s="543">
        <v>0</v>
      </c>
      <c r="H27" s="543">
        <v>0</v>
      </c>
      <c r="J27" s="292"/>
    </row>
    <row r="28" spans="2:10">
      <c r="B28" s="499" t="s">
        <v>815</v>
      </c>
      <c r="C28" s="29" t="s">
        <v>575</v>
      </c>
      <c r="D28" s="543">
        <v>1.8900069499999879</v>
      </c>
      <c r="E28" s="543">
        <v>2.0952914483237954</v>
      </c>
      <c r="F28" s="543">
        <v>2.1697766269457404</v>
      </c>
      <c r="G28" s="543">
        <v>1.869964180575086</v>
      </c>
      <c r="H28" s="543">
        <v>2.164739352507258</v>
      </c>
      <c r="J28" s="292"/>
    </row>
    <row r="29" spans="2:10">
      <c r="B29" s="499" t="s">
        <v>1039</v>
      </c>
      <c r="C29" s="29" t="s">
        <v>575</v>
      </c>
      <c r="D29" s="543">
        <v>0.48431636</v>
      </c>
      <c r="E29" s="543">
        <v>3.181</v>
      </c>
      <c r="F29" s="543">
        <v>5.22</v>
      </c>
      <c r="G29" s="543">
        <v>5.22</v>
      </c>
      <c r="H29" s="543">
        <v>5.22</v>
      </c>
      <c r="J29" s="292"/>
    </row>
    <row r="30" spans="2:10" ht="12.75" customHeight="1">
      <c r="B30" s="499" t="s">
        <v>1040</v>
      </c>
      <c r="C30" s="29" t="s">
        <v>575</v>
      </c>
      <c r="D30" s="543">
        <v>2.9278453099999999</v>
      </c>
      <c r="E30" s="543">
        <v>2.5649999999999999</v>
      </c>
      <c r="F30" s="543">
        <v>2.1749999999999998</v>
      </c>
      <c r="G30" s="543">
        <v>1.6604870732517756</v>
      </c>
      <c r="H30" s="543">
        <v>1.2069631083615702</v>
      </c>
      <c r="J30" s="292"/>
    </row>
    <row r="31" spans="2:10">
      <c r="B31" s="499" t="s">
        <v>800</v>
      </c>
      <c r="C31" s="29" t="s">
        <v>575</v>
      </c>
      <c r="D31" s="543">
        <v>0</v>
      </c>
      <c r="E31" s="543">
        <v>0</v>
      </c>
      <c r="F31" s="543">
        <v>0</v>
      </c>
      <c r="G31" s="543">
        <v>0</v>
      </c>
      <c r="H31" s="543">
        <v>0</v>
      </c>
      <c r="J31" s="292"/>
    </row>
    <row r="32" spans="2:10">
      <c r="B32" s="499" t="s">
        <v>801</v>
      </c>
      <c r="C32" s="29" t="s">
        <v>575</v>
      </c>
      <c r="D32" s="543">
        <v>0</v>
      </c>
      <c r="E32" s="543">
        <v>0</v>
      </c>
      <c r="F32" s="543">
        <v>0</v>
      </c>
      <c r="G32" s="543">
        <v>0</v>
      </c>
      <c r="H32" s="543">
        <v>0</v>
      </c>
      <c r="J32" s="292"/>
    </row>
    <row r="33" spans="2:11">
      <c r="B33" s="499" t="s">
        <v>802</v>
      </c>
      <c r="C33" s="29" t="s">
        <v>575</v>
      </c>
      <c r="D33" s="543">
        <v>0</v>
      </c>
      <c r="E33" s="543">
        <v>0</v>
      </c>
      <c r="F33" s="543">
        <v>0</v>
      </c>
      <c r="G33" s="543">
        <v>0</v>
      </c>
      <c r="H33" s="543">
        <v>0</v>
      </c>
      <c r="J33" s="292"/>
    </row>
    <row r="34" spans="2:11">
      <c r="B34" s="499" t="s">
        <v>784</v>
      </c>
      <c r="C34" s="29" t="s">
        <v>575</v>
      </c>
      <c r="D34" s="543">
        <v>0</v>
      </c>
      <c r="E34" s="543">
        <v>0</v>
      </c>
      <c r="F34" s="543">
        <v>0</v>
      </c>
      <c r="G34" s="543">
        <v>0</v>
      </c>
      <c r="H34" s="543">
        <v>0</v>
      </c>
      <c r="J34" s="292"/>
    </row>
    <row r="35" spans="2:11">
      <c r="B35" s="499" t="s">
        <v>785</v>
      </c>
      <c r="C35" s="29" t="s">
        <v>575</v>
      </c>
      <c r="D35" s="543">
        <v>0</v>
      </c>
      <c r="E35" s="543">
        <v>0</v>
      </c>
      <c r="F35" s="543">
        <v>0</v>
      </c>
      <c r="G35" s="543">
        <v>0</v>
      </c>
      <c r="H35" s="543">
        <v>0</v>
      </c>
      <c r="J35" s="292"/>
      <c r="K35" s="535"/>
    </row>
    <row r="36" spans="2:11">
      <c r="B36" s="499" t="s">
        <v>786</v>
      </c>
      <c r="C36" s="29" t="s">
        <v>575</v>
      </c>
      <c r="D36" s="543">
        <v>0</v>
      </c>
      <c r="E36" s="543">
        <v>0</v>
      </c>
      <c r="F36" s="543">
        <v>0</v>
      </c>
      <c r="G36" s="543">
        <v>0</v>
      </c>
      <c r="H36" s="543">
        <v>0</v>
      </c>
    </row>
    <row r="37" spans="2:11">
      <c r="B37" s="499" t="s">
        <v>787</v>
      </c>
      <c r="C37" s="29" t="s">
        <v>575</v>
      </c>
      <c r="D37" s="543">
        <v>0</v>
      </c>
      <c r="E37" s="543">
        <v>0</v>
      </c>
      <c r="F37" s="543">
        <v>0</v>
      </c>
      <c r="G37" s="543">
        <v>0</v>
      </c>
      <c r="H37" s="543">
        <v>0</v>
      </c>
    </row>
    <row r="38" spans="2:11">
      <c r="B38" s="499" t="s">
        <v>788</v>
      </c>
      <c r="C38" s="29" t="s">
        <v>575</v>
      </c>
      <c r="D38" s="543">
        <v>0</v>
      </c>
      <c r="E38" s="543">
        <v>0</v>
      </c>
      <c r="F38" s="543">
        <v>0</v>
      </c>
      <c r="G38" s="543">
        <v>0</v>
      </c>
      <c r="H38" s="543">
        <v>0</v>
      </c>
    </row>
    <row r="39" spans="2:11">
      <c r="B39" s="499" t="s">
        <v>816</v>
      </c>
      <c r="C39" s="29" t="s">
        <v>575</v>
      </c>
      <c r="D39" s="543">
        <v>0</v>
      </c>
      <c r="E39" s="543">
        <v>0</v>
      </c>
      <c r="F39" s="543">
        <v>0</v>
      </c>
      <c r="G39" s="543">
        <v>0</v>
      </c>
      <c r="H39" s="543">
        <v>0</v>
      </c>
    </row>
    <row r="40" spans="2:11">
      <c r="B40" s="500" t="s">
        <v>773</v>
      </c>
      <c r="C40" s="29" t="s">
        <v>575</v>
      </c>
      <c r="D40" s="74">
        <v>933.6669233213878</v>
      </c>
      <c r="E40" s="74">
        <v>1024.2640280000001</v>
      </c>
      <c r="F40" s="74">
        <v>1120.3416980836755</v>
      </c>
      <c r="G40" s="74">
        <v>1125.752715849728</v>
      </c>
      <c r="H40" s="74">
        <v>1130.4919955469359</v>
      </c>
    </row>
    <row r="41" spans="2:11">
      <c r="B41" s="501" t="s">
        <v>774</v>
      </c>
      <c r="C41" s="29" t="s">
        <v>575</v>
      </c>
      <c r="D41" s="359"/>
      <c r="E41" s="536"/>
      <c r="F41" s="536"/>
      <c r="G41" s="536">
        <v>250</v>
      </c>
      <c r="H41" s="536">
        <v>250</v>
      </c>
    </row>
    <row r="42" spans="2:11">
      <c r="B42" s="500" t="s">
        <v>775</v>
      </c>
      <c r="C42" s="29" t="s">
        <v>575</v>
      </c>
      <c r="D42" s="18">
        <v>933.6669233213878</v>
      </c>
      <c r="E42" s="19">
        <v>1024.2640280000001</v>
      </c>
      <c r="F42" s="19">
        <v>1120.3416980836755</v>
      </c>
      <c r="G42" s="19">
        <v>1375.752715849728</v>
      </c>
      <c r="H42" s="19">
        <v>1380.4919955469359</v>
      </c>
    </row>
    <row r="43" spans="2:11">
      <c r="D43" s="525" t="s">
        <v>1054</v>
      </c>
      <c r="E43" s="525" t="s">
        <v>1054</v>
      </c>
      <c r="F43" s="525" t="s">
        <v>1054</v>
      </c>
      <c r="G43" s="525" t="s">
        <v>1054</v>
      </c>
      <c r="H43" s="525" t="s">
        <v>1054</v>
      </c>
    </row>
    <row r="44" spans="2:11"/>
    <row r="45" spans="2:11">
      <c r="B45" s="537" t="s">
        <v>776</v>
      </c>
      <c r="C45" s="29" t="s">
        <v>575</v>
      </c>
      <c r="D45" s="536">
        <v>857.7</v>
      </c>
      <c r="E45" s="19">
        <v>933.6669233213878</v>
      </c>
      <c r="F45" s="19">
        <v>1024.2640280000001</v>
      </c>
      <c r="G45" s="19">
        <v>1120.3416980836755</v>
      </c>
      <c r="H45" s="19">
        <v>1375.752715849728</v>
      </c>
      <c r="I45" s="120"/>
    </row>
    <row r="46" spans="2:11">
      <c r="B46" s="537" t="s">
        <v>777</v>
      </c>
      <c r="C46" s="29" t="s">
        <v>575</v>
      </c>
      <c r="D46" s="545">
        <v>933.6669233213878</v>
      </c>
      <c r="E46" s="544">
        <v>1024.2640280000001</v>
      </c>
      <c r="F46" s="544">
        <v>1120.3416980836755</v>
      </c>
      <c r="G46" s="544">
        <v>1375.752715849728</v>
      </c>
      <c r="H46" s="544">
        <v>1380.4919955469359</v>
      </c>
      <c r="I46" s="120"/>
    </row>
    <row r="47" spans="2:11">
      <c r="D47" s="538"/>
      <c r="E47" s="538"/>
      <c r="F47" s="538"/>
      <c r="G47" s="538"/>
      <c r="H47" s="538"/>
    </row>
    <row r="48" spans="2:11">
      <c r="B48" s="371" t="s">
        <v>778</v>
      </c>
      <c r="D48" s="538"/>
      <c r="E48" s="538"/>
      <c r="F48" s="538"/>
      <c r="G48" s="538"/>
      <c r="H48" s="538"/>
    </row>
    <row r="49" spans="2:10">
      <c r="B49" s="499" t="s">
        <v>779</v>
      </c>
      <c r="C49" s="29" t="s">
        <v>575</v>
      </c>
      <c r="D49" s="536">
        <v>0</v>
      </c>
      <c r="E49" s="536">
        <v>0</v>
      </c>
      <c r="F49" s="536">
        <v>0</v>
      </c>
      <c r="G49" s="536">
        <v>0</v>
      </c>
      <c r="H49" s="536">
        <v>0</v>
      </c>
    </row>
    <row r="50" spans="2:10">
      <c r="B50" s="499" t="s">
        <v>780</v>
      </c>
      <c r="C50" s="29" t="s">
        <v>575</v>
      </c>
      <c r="D50" s="536">
        <v>8.9</v>
      </c>
      <c r="E50" s="536">
        <v>16.899999999999999</v>
      </c>
      <c r="F50" s="536">
        <v>17.100000000000001</v>
      </c>
      <c r="G50" s="536">
        <v>24.608735199957906</v>
      </c>
      <c r="H50" s="536">
        <v>24.665013692279693</v>
      </c>
    </row>
    <row r="51" spans="2:10">
      <c r="B51" s="499" t="s">
        <v>781</v>
      </c>
      <c r="C51" s="29" t="s">
        <v>575</v>
      </c>
      <c r="D51" s="536">
        <v>0</v>
      </c>
      <c r="E51" s="536">
        <v>4.0599999999999996</v>
      </c>
      <c r="F51" s="536">
        <v>6.1040000000000001</v>
      </c>
      <c r="G51" s="536">
        <v>6.1040000000000001</v>
      </c>
      <c r="H51" s="536">
        <v>6.1040000000000001</v>
      </c>
    </row>
    <row r="52" spans="2:10">
      <c r="B52" s="499" t="s">
        <v>782</v>
      </c>
      <c r="C52" s="29" t="s">
        <v>575</v>
      </c>
      <c r="D52" s="536">
        <v>0</v>
      </c>
      <c r="E52" s="536">
        <v>0</v>
      </c>
      <c r="F52" s="536">
        <v>0</v>
      </c>
      <c r="G52" s="536">
        <v>0</v>
      </c>
      <c r="H52" s="536">
        <v>0</v>
      </c>
    </row>
    <row r="53" spans="2:10">
      <c r="B53" s="499" t="s">
        <v>783</v>
      </c>
      <c r="C53" s="29" t="s">
        <v>575</v>
      </c>
      <c r="D53" s="536">
        <v>1.5956961900000002</v>
      </c>
      <c r="E53" s="536">
        <v>1.635</v>
      </c>
      <c r="F53" s="536">
        <v>1.575</v>
      </c>
      <c r="G53" s="536">
        <v>0</v>
      </c>
      <c r="H53" s="536">
        <v>0</v>
      </c>
    </row>
    <row r="54" spans="2:10">
      <c r="B54" s="499" t="s">
        <v>1041</v>
      </c>
      <c r="C54" s="29" t="s">
        <v>575</v>
      </c>
      <c r="D54" s="536">
        <v>0</v>
      </c>
      <c r="E54" s="536">
        <v>-27.754528000000001</v>
      </c>
      <c r="F54" s="536">
        <v>-36.826585000000001</v>
      </c>
      <c r="G54" s="536">
        <v>-36.826585000000001</v>
      </c>
      <c r="H54" s="536">
        <v>-36.826585000000001</v>
      </c>
    </row>
    <row r="55" spans="2:10">
      <c r="B55" s="499" t="s">
        <v>1042</v>
      </c>
      <c r="C55" s="29" t="s">
        <v>575</v>
      </c>
      <c r="D55" s="536">
        <v>-6.4296592199999996</v>
      </c>
      <c r="E55" s="536">
        <v>-6.0259999999999998</v>
      </c>
      <c r="F55" s="536">
        <v>-6.1159999999999997</v>
      </c>
      <c r="G55" s="536">
        <v>-5.2951610922974348</v>
      </c>
      <c r="H55" s="536">
        <v>-5.0865634304903962</v>
      </c>
    </row>
    <row r="56" spans="2:10">
      <c r="B56" s="499" t="s">
        <v>1043</v>
      </c>
      <c r="C56" s="29" t="s">
        <v>575</v>
      </c>
      <c r="D56" s="536">
        <v>-0.48431636</v>
      </c>
      <c r="E56" s="536">
        <v>-3.181</v>
      </c>
      <c r="F56" s="536">
        <v>-5.22</v>
      </c>
      <c r="G56" s="536">
        <v>-5.22</v>
      </c>
      <c r="H56" s="536">
        <v>-5.22</v>
      </c>
    </row>
    <row r="57" spans="2:10">
      <c r="B57" s="499" t="s">
        <v>787</v>
      </c>
      <c r="C57" s="29" t="s">
        <v>575</v>
      </c>
      <c r="D57" s="536">
        <v>0</v>
      </c>
      <c r="E57" s="536">
        <v>0</v>
      </c>
      <c r="F57" s="536">
        <v>0</v>
      </c>
      <c r="G57" s="536">
        <v>0</v>
      </c>
      <c r="H57" s="536">
        <v>0</v>
      </c>
    </row>
    <row r="58" spans="2:10">
      <c r="B58" s="499" t="s">
        <v>1044</v>
      </c>
      <c r="C58" s="29" t="s">
        <v>575</v>
      </c>
      <c r="D58" s="536">
        <v>0.16996226</v>
      </c>
      <c r="E58" s="536">
        <v>0</v>
      </c>
      <c r="F58" s="536">
        <v>0</v>
      </c>
      <c r="G58" s="536">
        <v>0</v>
      </c>
      <c r="H58" s="536">
        <v>0</v>
      </c>
    </row>
    <row r="59" spans="2:10">
      <c r="B59" s="499" t="s">
        <v>789</v>
      </c>
      <c r="C59" s="29" t="s">
        <v>575</v>
      </c>
      <c r="D59" s="18">
        <v>937.41860619138777</v>
      </c>
      <c r="E59" s="18">
        <v>1009.8975</v>
      </c>
      <c r="F59" s="18">
        <v>1096.9581130836755</v>
      </c>
      <c r="G59" s="18">
        <v>1359.1237049573886</v>
      </c>
      <c r="H59" s="18">
        <v>1364.1278608087252</v>
      </c>
    </row>
    <row r="60" spans="2:10">
      <c r="D60" s="538"/>
      <c r="E60" s="538"/>
      <c r="F60" s="538"/>
      <c r="G60" s="538"/>
      <c r="H60" s="538"/>
    </row>
    <row r="61" spans="2:10">
      <c r="B61" s="371" t="s">
        <v>790</v>
      </c>
    </row>
    <row r="62" spans="2:10">
      <c r="B62" s="101" t="s">
        <v>791</v>
      </c>
      <c r="C62" s="120" t="s">
        <v>538</v>
      </c>
      <c r="D62" s="546">
        <v>0</v>
      </c>
      <c r="E62" s="546">
        <v>0</v>
      </c>
      <c r="F62" s="546">
        <v>0</v>
      </c>
      <c r="G62" s="546">
        <v>0</v>
      </c>
      <c r="H62" s="546">
        <v>0</v>
      </c>
    </row>
    <row r="63" spans="2:10">
      <c r="B63" s="101" t="s">
        <v>756</v>
      </c>
      <c r="C63" s="120" t="s">
        <v>538</v>
      </c>
      <c r="D63" s="547">
        <v>1</v>
      </c>
      <c r="E63" s="548">
        <v>1</v>
      </c>
      <c r="F63" s="548">
        <v>1</v>
      </c>
      <c r="G63" s="548">
        <v>1</v>
      </c>
      <c r="H63" s="548">
        <v>1</v>
      </c>
      <c r="J63" s="535"/>
    </row>
    <row r="64" spans="2:10">
      <c r="C64" s="120"/>
      <c r="D64" s="120"/>
      <c r="E64" s="120"/>
      <c r="F64" s="120"/>
      <c r="G64" s="120"/>
      <c r="H64" s="120"/>
      <c r="I64" s="120"/>
    </row>
    <row r="65" spans="2:8">
      <c r="B65" s="101" t="s">
        <v>792</v>
      </c>
      <c r="C65" s="29" t="s">
        <v>575</v>
      </c>
      <c r="D65" s="549">
        <v>895.68346166069387</v>
      </c>
      <c r="E65" s="550">
        <v>978.96547566069398</v>
      </c>
      <c r="F65" s="550">
        <v>1072.3028630418378</v>
      </c>
      <c r="G65" s="550">
        <v>1248.0472069667017</v>
      </c>
      <c r="H65" s="550">
        <v>1378.1223556983318</v>
      </c>
    </row>
    <row r="66" spans="2:8">
      <c r="B66" s="101" t="s">
        <v>793</v>
      </c>
      <c r="C66" s="29" t="s">
        <v>575</v>
      </c>
      <c r="D66" s="551">
        <v>769.12866704805538</v>
      </c>
      <c r="E66" s="552">
        <v>810.72414446439848</v>
      </c>
      <c r="F66" s="552">
        <v>870.34003681453191</v>
      </c>
      <c r="G66" s="552">
        <v>849.0176635663297</v>
      </c>
      <c r="H66" s="552">
        <v>875.40466424984834</v>
      </c>
    </row>
    <row r="67" spans="2:8">
      <c r="B67" s="101" t="s">
        <v>794</v>
      </c>
      <c r="C67" s="29" t="s">
        <v>575</v>
      </c>
      <c r="D67" s="553">
        <v>1664.8121287087492</v>
      </c>
      <c r="E67" s="553">
        <v>1789.6896201250925</v>
      </c>
      <c r="F67" s="553">
        <v>1942.6428998563697</v>
      </c>
      <c r="G67" s="553">
        <v>2097.0648705330314</v>
      </c>
      <c r="H67" s="553">
        <v>2253.5270199481802</v>
      </c>
    </row>
    <row r="68" spans="2:8">
      <c r="B68" s="101" t="s">
        <v>795</v>
      </c>
      <c r="C68" s="29" t="s">
        <v>538</v>
      </c>
      <c r="D68" s="554">
        <v>0.53800873156504336</v>
      </c>
      <c r="E68" s="555">
        <v>0.54700293539852352</v>
      </c>
      <c r="F68" s="555">
        <v>0.55198145944430599</v>
      </c>
      <c r="G68" s="555">
        <v>0.59514000949788137</v>
      </c>
      <c r="H68" s="555">
        <v>0.61154019610114185</v>
      </c>
    </row>
    <row r="69" spans="2:8">
      <c r="B69" s="101" t="s">
        <v>24</v>
      </c>
      <c r="C69" s="29" t="s">
        <v>538</v>
      </c>
      <c r="D69" s="556">
        <v>0.6</v>
      </c>
      <c r="E69" s="557">
        <v>0.6</v>
      </c>
      <c r="F69" s="557">
        <v>0.6</v>
      </c>
      <c r="G69" s="557">
        <v>0.6</v>
      </c>
      <c r="H69" s="557">
        <v>0.6</v>
      </c>
    </row>
    <row r="70" spans="2:8">
      <c r="B70" s="101" t="s">
        <v>796</v>
      </c>
      <c r="C70" s="29" t="s">
        <v>538</v>
      </c>
      <c r="D70" s="558">
        <v>-6.1991268434956615E-2</v>
      </c>
      <c r="E70" s="559">
        <v>-5.2997064601476462E-2</v>
      </c>
      <c r="F70" s="559">
        <v>-4.8018540555693989E-2</v>
      </c>
      <c r="G70" s="559">
        <v>-4.8599905021186052E-3</v>
      </c>
      <c r="H70" s="559">
        <v>1.1540196101141875E-2</v>
      </c>
    </row>
    <row r="71" spans="2:8"/>
    <row r="72" spans="2:8">
      <c r="B72" s="101" t="s">
        <v>797</v>
      </c>
      <c r="C72" s="407" t="s">
        <v>20</v>
      </c>
      <c r="D72" s="560">
        <v>686.74282783803358</v>
      </c>
      <c r="E72" s="561">
        <v>723.34860961827326</v>
      </c>
      <c r="F72" s="561">
        <v>765.69499969145704</v>
      </c>
      <c r="G72" s="561">
        <v>867.15985734256276</v>
      </c>
      <c r="H72" s="561">
        <v>938.26476848652658</v>
      </c>
    </row>
    <row r="73" spans="2:8">
      <c r="B73" s="101" t="s">
        <v>798</v>
      </c>
      <c r="C73" s="407" t="s">
        <v>20</v>
      </c>
      <c r="D73" s="562">
        <v>589.71011343734187</v>
      </c>
      <c r="E73" s="563">
        <v>599.03663332612086</v>
      </c>
      <c r="F73" s="563">
        <v>621.4802153280873</v>
      </c>
      <c r="G73" s="563">
        <v>589.90880465881071</v>
      </c>
      <c r="H73" s="563">
        <v>596.00031248183575</v>
      </c>
    </row>
    <row r="74" spans="2:8">
      <c r="B74" s="101" t="s">
        <v>799</v>
      </c>
      <c r="C74" s="407" t="s">
        <v>20</v>
      </c>
      <c r="D74" s="553">
        <v>1276.4529412753755</v>
      </c>
      <c r="E74" s="553">
        <v>1322.3852429443941</v>
      </c>
      <c r="F74" s="553">
        <v>1387.1752150195443</v>
      </c>
      <c r="G74" s="553">
        <v>1457.0686620013735</v>
      </c>
      <c r="H74" s="553">
        <v>1534.2650809683623</v>
      </c>
    </row>
    <row r="75" spans="2:8">
      <c r="B75" s="101" t="s">
        <v>795</v>
      </c>
      <c r="C75" s="29" t="s">
        <v>538</v>
      </c>
      <c r="D75" s="554">
        <v>0.53800873156504336</v>
      </c>
      <c r="E75" s="555">
        <v>0.54700293539852352</v>
      </c>
      <c r="F75" s="555">
        <v>0.55198145944430599</v>
      </c>
      <c r="G75" s="555">
        <v>0.59514000949788137</v>
      </c>
      <c r="H75" s="555">
        <v>0.61154019610114185</v>
      </c>
    </row>
    <row r="76" spans="2:8">
      <c r="B76" s="101" t="s">
        <v>24</v>
      </c>
      <c r="C76" s="29" t="s">
        <v>538</v>
      </c>
      <c r="D76" s="556">
        <v>0.6</v>
      </c>
      <c r="E76" s="557">
        <v>0.6</v>
      </c>
      <c r="F76" s="557">
        <v>0.6</v>
      </c>
      <c r="G76" s="557">
        <v>0.6</v>
      </c>
      <c r="H76" s="557">
        <v>0.6</v>
      </c>
    </row>
    <row r="77" spans="2:8">
      <c r="B77" s="101" t="s">
        <v>796</v>
      </c>
      <c r="C77" s="29" t="s">
        <v>538</v>
      </c>
      <c r="D77" s="558">
        <v>-6.1991268434956615E-2</v>
      </c>
      <c r="E77" s="559">
        <v>-5.2997064601476462E-2</v>
      </c>
      <c r="F77" s="559">
        <v>-4.8018540555693989E-2</v>
      </c>
      <c r="G77" s="559">
        <v>-4.8599905021186052E-3</v>
      </c>
      <c r="H77" s="559">
        <v>1.1540196101141875E-2</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27" priority="2">
      <formula>D$5="Forecast"</formula>
    </cfRule>
    <cfRule type="expression" dxfId="26" priority="3">
      <formula>C$12="N/A"</formula>
    </cfRule>
  </conditionalFormatting>
  <conditionalFormatting sqref="D41:H41">
    <cfRule type="expression" dxfId="25" priority="1">
      <formula>D$5="Actuals"</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80" zoomScaleNormal="80" workbookViewId="0">
      <selection activeCell="P14" sqref="P14"/>
    </sheetView>
  </sheetViews>
  <sheetFormatPr defaultColWidth="9" defaultRowHeight="12.75"/>
  <cols>
    <col min="1" max="1" width="8.375" style="101" customWidth="1"/>
    <col min="2" max="2" width="52.125" style="101" bestFit="1" customWidth="1"/>
    <col min="3" max="4" width="4.25" style="101" customWidth="1"/>
    <col min="5" max="5" width="14.125" style="120" customWidth="1"/>
    <col min="6" max="10" width="11.125" style="101" customWidth="1"/>
    <col min="11" max="11" width="5" style="101" customWidth="1"/>
    <col min="12" max="12" width="9" style="101"/>
    <col min="13" max="13" width="9" style="77"/>
    <col min="14" max="16384" width="9" style="101"/>
  </cols>
  <sheetData>
    <row r="1" spans="1:19" ht="20.25">
      <c r="A1" s="826" t="s">
        <v>817</v>
      </c>
      <c r="B1" s="867"/>
      <c r="C1" s="867"/>
      <c r="D1" s="867"/>
      <c r="E1" s="868"/>
      <c r="F1" s="862"/>
      <c r="G1" s="862"/>
      <c r="H1" s="862"/>
      <c r="I1" s="862"/>
      <c r="J1" s="862"/>
      <c r="K1" s="396"/>
    </row>
    <row r="2" spans="1:19" ht="20.25">
      <c r="A2" s="827" t="str">
        <f>Licensee</f>
        <v>NGED-SWALES</v>
      </c>
      <c r="B2" s="284"/>
      <c r="C2" s="284"/>
      <c r="D2" s="284"/>
      <c r="E2" s="564"/>
      <c r="F2" s="285"/>
      <c r="G2" s="285"/>
      <c r="H2" s="285"/>
      <c r="I2" s="285"/>
      <c r="J2" s="285"/>
      <c r="K2" s="287"/>
    </row>
    <row r="3" spans="1:19" ht="20.25">
      <c r="A3" s="828">
        <f>Reporting_Year</f>
        <v>2026</v>
      </c>
      <c r="B3" s="288"/>
      <c r="C3" s="288"/>
      <c r="D3" s="288"/>
      <c r="E3" s="288"/>
      <c r="F3" s="288"/>
      <c r="G3" s="288"/>
      <c r="H3" s="288"/>
      <c r="I3" s="288"/>
      <c r="J3" s="288"/>
      <c r="K3" s="290"/>
    </row>
    <row r="4" spans="1:19" s="292" customFormat="1" ht="12.75" customHeight="1">
      <c r="E4" s="406"/>
      <c r="M4" s="335"/>
    </row>
    <row r="5" spans="1:19" s="292" customFormat="1">
      <c r="B5" s="419"/>
      <c r="C5" s="419"/>
      <c r="D5" s="419"/>
      <c r="E5" s="406"/>
      <c r="F5" s="420" t="str">
        <f>IF(F6&lt;=Reporting_Year,"Actuals","Forecast")</f>
        <v>Actuals</v>
      </c>
      <c r="G5" s="420" t="str">
        <f>IF(G6&lt;=Reporting_Year,"Actuals","Forecast")</f>
        <v>Actuals</v>
      </c>
      <c r="H5" s="420" t="str">
        <f>IF(H6&lt;=Reporting_Year,"Actuals","Forecast")</f>
        <v>Actuals</v>
      </c>
      <c r="I5" s="420" t="str">
        <f>IF(I6&lt;=Reporting_Year,"Actuals","Forecast")</f>
        <v>Forecast</v>
      </c>
      <c r="J5" s="420" t="str">
        <f>IF(J6&lt;=Reporting_Year,"Actuals","Forecast")</f>
        <v>Forecast</v>
      </c>
      <c r="M5" s="335"/>
    </row>
    <row r="6" spans="1:19" s="292" customFormat="1">
      <c r="E6" s="406"/>
      <c r="F6" s="397">
        <f>'RFPR cover'!$C$6</f>
        <v>2024</v>
      </c>
      <c r="G6" s="398">
        <f>F6+1</f>
        <v>2025</v>
      </c>
      <c r="H6" s="398">
        <f t="shared" ref="H6:J6" si="0">G6+1</f>
        <v>2026</v>
      </c>
      <c r="I6" s="398">
        <f t="shared" si="0"/>
        <v>2027</v>
      </c>
      <c r="J6" s="398">
        <f t="shared" si="0"/>
        <v>2028</v>
      </c>
      <c r="M6" s="335"/>
    </row>
    <row r="7" spans="1:19" s="292" customFormat="1">
      <c r="E7" s="406"/>
      <c r="F7" s="397" t="str">
        <f>RIIO_2_start_date-1&amp;"/"&amp;RIGHT(RIIO_2_start_date,2)</f>
        <v>2023/24</v>
      </c>
      <c r="G7" s="397" t="str">
        <f>RIIO_2_start_date&amp;"/"&amp;RIGHT(RIIO_2_start_date+1,2)</f>
        <v>2024/25</v>
      </c>
      <c r="H7" s="397" t="str">
        <f>RIIO_2_start_date+1&amp;"/"&amp;RIGHT(RIIO_2_start_date+2,2)</f>
        <v>2025/26</v>
      </c>
      <c r="I7" s="397" t="str">
        <f>RIIO_2_start_date+2&amp;"/"&amp;RIGHT(RIIO_2_start_date+3,2)</f>
        <v>2026/27</v>
      </c>
      <c r="J7" s="495" t="str">
        <f>RIIO_2_start_date+3&amp;"/"&amp;RIGHT(RIIO_2_start_date+4,2)</f>
        <v>2027/28</v>
      </c>
      <c r="M7" s="335"/>
    </row>
    <row r="8" spans="1:19" s="292" customFormat="1">
      <c r="E8" s="406"/>
      <c r="F8" s="406"/>
      <c r="G8" s="406"/>
      <c r="H8" s="406"/>
      <c r="I8" s="406"/>
      <c r="J8" s="406"/>
      <c r="K8" s="406"/>
      <c r="L8" s="406"/>
      <c r="M8" s="406"/>
      <c r="N8" s="406"/>
      <c r="O8" s="406"/>
      <c r="P8" s="406"/>
      <c r="Q8" s="406"/>
      <c r="R8" s="406"/>
      <c r="S8" s="406"/>
    </row>
    <row r="9" spans="1:19" s="292" customFormat="1">
      <c r="B9" s="565" t="s">
        <v>818</v>
      </c>
      <c r="C9" s="565"/>
      <c r="D9" s="565"/>
      <c r="L9" s="406"/>
      <c r="M9" s="335"/>
    </row>
    <row r="10" spans="1:19" s="292" customFormat="1">
      <c r="L10" s="406"/>
    </row>
    <row r="11" spans="1:19" s="292" customFormat="1">
      <c r="B11" s="566"/>
      <c r="C11" s="566"/>
      <c r="D11" s="566"/>
      <c r="E11" s="566"/>
      <c r="F11" s="566"/>
      <c r="G11" s="566"/>
      <c r="H11" s="566"/>
      <c r="I11" s="566"/>
      <c r="J11" s="566"/>
      <c r="K11" s="566"/>
      <c r="L11" s="406"/>
      <c r="M11" s="335"/>
    </row>
    <row r="12" spans="1:19" s="292" customFormat="1">
      <c r="B12" s="101" t="s">
        <v>819</v>
      </c>
      <c r="C12" s="101"/>
      <c r="D12" s="101"/>
      <c r="E12" s="567" t="str">
        <f>Data!$C$9</f>
        <v>£m 20/21</v>
      </c>
      <c r="F12" s="568">
        <v>1331.7368675383286</v>
      </c>
      <c r="G12" s="568">
        <v>1392.7001198119749</v>
      </c>
      <c r="H12" s="568">
        <v>1464.1342781020751</v>
      </c>
      <c r="I12" s="568">
        <v>1534.5936748129052</v>
      </c>
      <c r="J12" s="568">
        <v>1608.4372322215227</v>
      </c>
      <c r="L12" s="406"/>
      <c r="M12" s="335"/>
    </row>
    <row r="13" spans="1:19" s="292" customFormat="1">
      <c r="L13" s="406"/>
      <c r="M13" s="335"/>
    </row>
    <row r="14" spans="1:19" s="292" customFormat="1">
      <c r="B14" s="566"/>
      <c r="C14" s="566"/>
      <c r="D14" s="566"/>
      <c r="E14" s="406"/>
      <c r="F14" s="406"/>
      <c r="G14" s="406"/>
      <c r="H14" s="406"/>
      <c r="I14" s="406"/>
      <c r="J14" s="406"/>
      <c r="L14" s="406"/>
      <c r="M14" s="335"/>
    </row>
    <row r="15" spans="1:19" s="292" customFormat="1" ht="14.25">
      <c r="B15" s="292" t="s">
        <v>820</v>
      </c>
      <c r="E15" s="567" t="str">
        <f>Data!$C$9</f>
        <v>£m 20/21</v>
      </c>
      <c r="F15" s="568">
        <v>1284.184637976869</v>
      </c>
      <c r="G15" s="586">
        <f>F24</f>
        <v>1319.1320785979267</v>
      </c>
      <c r="H15" s="586">
        <f>G24</f>
        <v>1380.4803110574405</v>
      </c>
      <c r="I15" s="586">
        <f>H24</f>
        <v>1450.921443740594</v>
      </c>
      <c r="J15" s="586">
        <f>I24</f>
        <v>1524.478999647559</v>
      </c>
      <c r="L15" s="406"/>
      <c r="M15" s="335"/>
    </row>
    <row r="16" spans="1:19" s="292" customFormat="1">
      <c r="B16" s="292" t="s">
        <v>821</v>
      </c>
      <c r="E16" s="567" t="str">
        <f>Data!$C$9</f>
        <v>£m 20/21</v>
      </c>
      <c r="F16" s="569"/>
      <c r="G16" s="570"/>
      <c r="H16" s="570"/>
      <c r="I16" s="570"/>
      <c r="J16" s="570"/>
      <c r="L16" s="406"/>
      <c r="M16" s="335"/>
    </row>
    <row r="17" spans="1:19" s="292" customFormat="1">
      <c r="B17" s="421" t="s">
        <v>822</v>
      </c>
      <c r="C17" s="421"/>
      <c r="D17" s="421"/>
      <c r="E17" s="567" t="str">
        <f>Data!$C$9</f>
        <v>£m 20/21</v>
      </c>
      <c r="F17" s="587">
        <f>SUM(F15:F16)</f>
        <v>1284.184637976869</v>
      </c>
      <c r="G17" s="588">
        <f t="shared" ref="G17:J17" si="1">SUM(G15:G16)</f>
        <v>1319.1320785979267</v>
      </c>
      <c r="H17" s="588">
        <f t="shared" si="1"/>
        <v>1380.4803110574405</v>
      </c>
      <c r="I17" s="588">
        <f t="shared" si="1"/>
        <v>1450.921443740594</v>
      </c>
      <c r="J17" s="588">
        <f t="shared" si="1"/>
        <v>1524.478999647559</v>
      </c>
      <c r="L17" s="406"/>
      <c r="M17" s="335"/>
    </row>
    <row r="18" spans="1:19" s="292" customFormat="1">
      <c r="B18" s="571" t="s">
        <v>823</v>
      </c>
      <c r="C18" s="571"/>
      <c r="D18" s="571"/>
      <c r="E18" s="567" t="str">
        <f>Data!$C$9</f>
        <v>£m 20/21</v>
      </c>
      <c r="F18" s="572">
        <v>136.13978963962248</v>
      </c>
      <c r="G18" s="572">
        <v>148.79578297055343</v>
      </c>
      <c r="H18" s="572">
        <v>158.89904067718686</v>
      </c>
      <c r="I18" s="572">
        <v>157.80700594276703</v>
      </c>
      <c r="J18" s="572">
        <v>160.5788241923029</v>
      </c>
      <c r="L18" s="406"/>
      <c r="M18" s="335"/>
    </row>
    <row r="19" spans="1:19" s="292" customFormat="1">
      <c r="B19" s="571" t="s">
        <v>824</v>
      </c>
      <c r="C19" s="571"/>
      <c r="D19" s="571"/>
      <c r="E19" s="567" t="str">
        <f>Data!$C$9</f>
        <v>£m 20/21</v>
      </c>
      <c r="F19" s="573">
        <v>-12.604788940402017</v>
      </c>
      <c r="G19" s="573">
        <v>0.66508660676512932</v>
      </c>
      <c r="H19" s="573">
        <v>-0.72769888842145747</v>
      </c>
      <c r="I19" s="573">
        <v>3.3796570010695746</v>
      </c>
      <c r="J19" s="573">
        <v>9.7178897022336344</v>
      </c>
      <c r="L19" s="406"/>
      <c r="M19" s="335"/>
    </row>
    <row r="20" spans="1:19" s="292" customFormat="1">
      <c r="B20" s="574" t="s">
        <v>825</v>
      </c>
      <c r="C20" s="574"/>
      <c r="D20" s="574"/>
      <c r="E20" s="567" t="str">
        <f>Data!$C$9</f>
        <v>£m 20/21</v>
      </c>
      <c r="F20" s="589">
        <f>SUM(F18:F19)</f>
        <v>123.53500069922046</v>
      </c>
      <c r="G20" s="589">
        <f t="shared" ref="G20:J20" si="2">SUM(G18:G19)</f>
        <v>149.46086957731856</v>
      </c>
      <c r="H20" s="589">
        <f t="shared" si="2"/>
        <v>158.1713417887654</v>
      </c>
      <c r="I20" s="589">
        <f t="shared" si="2"/>
        <v>161.18666294383661</v>
      </c>
      <c r="J20" s="589">
        <f t="shared" si="2"/>
        <v>170.29671389453654</v>
      </c>
      <c r="L20" s="406"/>
      <c r="M20" s="335"/>
    </row>
    <row r="21" spans="1:19" s="292" customFormat="1">
      <c r="B21" s="571" t="s">
        <v>826</v>
      </c>
      <c r="C21" s="571"/>
      <c r="D21" s="571"/>
      <c r="E21" s="567" t="str">
        <f>Data!$C$9</f>
        <v>£m 20/21</v>
      </c>
      <c r="F21" s="575">
        <v>-88.58756007816288</v>
      </c>
      <c r="G21" s="575">
        <v>-87.832530696906986</v>
      </c>
      <c r="H21" s="575">
        <v>-87.464882387086632</v>
      </c>
      <c r="I21" s="575">
        <v>-87.347609231936872</v>
      </c>
      <c r="J21" s="575">
        <v>-86.735266783685375</v>
      </c>
      <c r="L21" s="406"/>
      <c r="M21" s="335"/>
    </row>
    <row r="22" spans="1:19" s="292" customFormat="1">
      <c r="B22" s="571" t="s">
        <v>827</v>
      </c>
      <c r="C22" s="571"/>
      <c r="D22" s="571"/>
      <c r="E22" s="567" t="str">
        <f>Data!$C$9</f>
        <v>£m 20/21</v>
      </c>
      <c r="F22" s="577">
        <v>0</v>
      </c>
      <c r="G22" s="577">
        <v>-0.28010642089782323</v>
      </c>
      <c r="H22" s="577">
        <v>-0.2653267185252588</v>
      </c>
      <c r="I22" s="577">
        <v>-0.28149780493463084</v>
      </c>
      <c r="J22" s="577">
        <v>-0.20639431602197078</v>
      </c>
      <c r="L22" s="406"/>
      <c r="M22" s="335"/>
    </row>
    <row r="23" spans="1:19" s="292" customFormat="1">
      <c r="B23" s="342" t="s">
        <v>828</v>
      </c>
      <c r="C23" s="342"/>
      <c r="D23" s="342"/>
      <c r="E23" s="567" t="str">
        <f>Data!$C$9</f>
        <v>£m 20/21</v>
      </c>
      <c r="F23" s="590">
        <f>SUM(F21:F22)</f>
        <v>-88.58756007816288</v>
      </c>
      <c r="G23" s="590">
        <f t="shared" ref="G23:J23" si="3">SUM(G21:G22)</f>
        <v>-88.112637117804809</v>
      </c>
      <c r="H23" s="590">
        <f t="shared" si="3"/>
        <v>-87.730209105611891</v>
      </c>
      <c r="I23" s="590">
        <f t="shared" si="3"/>
        <v>-87.629107036871503</v>
      </c>
      <c r="J23" s="590">
        <f t="shared" si="3"/>
        <v>-86.941661099707346</v>
      </c>
      <c r="L23" s="773"/>
      <c r="M23" s="773"/>
      <c r="N23" s="773"/>
      <c r="O23" s="773"/>
    </row>
    <row r="24" spans="1:19" s="292" customFormat="1">
      <c r="B24" s="421" t="s">
        <v>829</v>
      </c>
      <c r="C24" s="421"/>
      <c r="D24" s="421"/>
      <c r="E24" s="567" t="str">
        <f>Data!$C$9</f>
        <v>£m 20/21</v>
      </c>
      <c r="F24" s="591">
        <f>F17+F20+F23</f>
        <v>1319.1320785979267</v>
      </c>
      <c r="G24" s="591">
        <f t="shared" ref="G24:J24" si="4">G17+G20+G23</f>
        <v>1380.4803110574405</v>
      </c>
      <c r="H24" s="591">
        <f t="shared" si="4"/>
        <v>1450.921443740594</v>
      </c>
      <c r="I24" s="591">
        <f t="shared" si="4"/>
        <v>1524.478999647559</v>
      </c>
      <c r="J24" s="591">
        <f t="shared" si="4"/>
        <v>1607.8340524423884</v>
      </c>
      <c r="L24" s="406"/>
      <c r="M24" s="335"/>
    </row>
    <row r="25" spans="1:19" s="292" customFormat="1">
      <c r="B25" s="421"/>
      <c r="C25" s="421"/>
      <c r="D25" s="421"/>
      <c r="E25" s="567"/>
      <c r="F25" s="567"/>
      <c r="G25" s="567"/>
      <c r="H25" s="567"/>
      <c r="I25" s="567"/>
      <c r="J25" s="567"/>
      <c r="K25" s="567"/>
      <c r="L25" s="406"/>
      <c r="M25" s="567"/>
      <c r="N25" s="567"/>
    </row>
    <row r="26" spans="1:19" s="292" customFormat="1">
      <c r="B26" s="421" t="s">
        <v>830</v>
      </c>
      <c r="C26" s="567"/>
      <c r="D26" s="567"/>
      <c r="E26" s="567" t="str">
        <f>Data!$C$9</f>
        <v>£m 20/21</v>
      </c>
      <c r="F26" s="591">
        <f>F19+F22</f>
        <v>-12.604788940402017</v>
      </c>
      <c r="G26" s="592">
        <f>G19+G22</f>
        <v>0.38498018586730609</v>
      </c>
      <c r="H26" s="592">
        <f t="shared" ref="H26:J26" si="5">H19+H22</f>
        <v>-0.99302560694671627</v>
      </c>
      <c r="I26" s="592">
        <f t="shared" si="5"/>
        <v>3.0981591961349437</v>
      </c>
      <c r="J26" s="593">
        <f t="shared" si="5"/>
        <v>9.5114953862116636</v>
      </c>
      <c r="K26" s="567"/>
      <c r="L26" s="406"/>
      <c r="M26" s="567"/>
      <c r="N26" s="567"/>
    </row>
    <row r="27" spans="1:19" s="292" customFormat="1">
      <c r="B27" s="421" t="s">
        <v>831</v>
      </c>
      <c r="C27" s="567"/>
      <c r="D27" s="567"/>
      <c r="E27" s="579"/>
      <c r="F27" s="594" t="str">
        <f>IF(F5="Actuals",IF(ABS((F24-SUM($F26:F$26))-F12)&lt;0.1,"TRUE","FALSE"),"NA")</f>
        <v>TRUE</v>
      </c>
      <c r="G27" s="595" t="str">
        <f>IF(G5="Actuals",IF(ABS((G24-SUM($F26:G$26))-G12)&lt;0.1,"TRUE","FALSE"),"NA")</f>
        <v>TRUE</v>
      </c>
      <c r="H27" s="595" t="str">
        <f>IF(H5="Actuals",IF(ABS((H24-SUM($F26:H$26))-H12)&lt;0.1,"TRUE","FALSE"),"NA")</f>
        <v>TRUE</v>
      </c>
      <c r="I27" s="595" t="str">
        <f>IF(I5="Actuals",IF(ABS((I24-SUM($F26:I$26))-I12)&lt;0.1,"TRUE","FALSE"),"NA")</f>
        <v>NA</v>
      </c>
      <c r="J27" s="596" t="str">
        <f>IF(J5="Actuals",IF(ABS((J24-SUM($F26:J$26))-J12)&lt;0.1,"TRUE","FALSE"),"NA")</f>
        <v>NA</v>
      </c>
      <c r="K27" s="567"/>
      <c r="L27" s="406"/>
      <c r="N27" s="567"/>
    </row>
    <row r="28" spans="1:19" s="292" customFormat="1">
      <c r="B28" s="421"/>
      <c r="C28" s="421"/>
      <c r="D28" s="421"/>
      <c r="E28" s="567"/>
      <c r="F28" s="567"/>
      <c r="G28" s="567"/>
      <c r="H28" s="567"/>
      <c r="I28" s="567"/>
      <c r="J28" s="567"/>
      <c r="K28" s="567"/>
      <c r="L28" s="406"/>
      <c r="M28" s="567"/>
      <c r="N28" s="567"/>
    </row>
    <row r="29" spans="1:19" s="292" customFormat="1">
      <c r="B29" s="421"/>
      <c r="C29" s="421"/>
      <c r="D29" s="421"/>
      <c r="E29" s="567"/>
      <c r="F29" s="578"/>
      <c r="G29" s="567"/>
      <c r="H29" s="578"/>
      <c r="I29" s="578"/>
      <c r="J29" s="578"/>
      <c r="K29" s="567"/>
      <c r="L29" s="406"/>
      <c r="M29" s="567"/>
      <c r="N29" s="567"/>
    </row>
    <row r="30" spans="1:19" s="292" customFormat="1">
      <c r="A30" s="101"/>
      <c r="B30" s="292" t="s">
        <v>832</v>
      </c>
      <c r="E30" s="120" t="s">
        <v>833</v>
      </c>
      <c r="F30" s="764">
        <f>IF(Sector="ED2",(INDEX(Data!C29:N29,MATCH(RIIO_2_start_date-1,Data!C27:N27,0))/Data!$E$28),INDEX(Data!C20:N20,MATCH(RIIO_2_start_date-1,Data!C18:N18,0))/Data!$C$19)</f>
        <v>1.2567228174904603</v>
      </c>
      <c r="G30" s="567"/>
      <c r="H30" s="578"/>
      <c r="I30" s="578"/>
      <c r="J30" s="580"/>
      <c r="K30" s="581"/>
      <c r="L30" s="406"/>
      <c r="M30" s="780"/>
      <c r="N30" s="780"/>
    </row>
    <row r="31" spans="1:19" s="292" customFormat="1">
      <c r="B31" s="421"/>
      <c r="C31" s="421"/>
      <c r="D31" s="421"/>
      <c r="E31" s="567"/>
      <c r="F31" s="582"/>
      <c r="G31" s="582"/>
      <c r="H31" s="582"/>
      <c r="I31" s="582"/>
      <c r="J31" s="582"/>
      <c r="K31" s="567"/>
      <c r="L31" s="406"/>
    </row>
    <row r="32" spans="1:19" s="292" customFormat="1">
      <c r="B32" s="421" t="s">
        <v>829</v>
      </c>
      <c r="C32" s="421"/>
      <c r="D32" s="421"/>
      <c r="E32" s="29" t="s">
        <v>575</v>
      </c>
      <c r="F32" s="597">
        <f>IF(Sector="ED2",F24*Data!H36,F24*Combined_real_to_nominal_prices_conversion_factor__financial_year_end)</f>
        <v>1715.7601210012406</v>
      </c>
      <c r="G32" s="597">
        <f>IF(Sector="ED2",G24*Data!I36,G24*Combined_real_to_nominal_prices_conversion_factor__financial_year_end)</f>
        <v>1863.6191192489443</v>
      </c>
      <c r="H32" s="597">
        <f>IF(Sector="ED2",H24*Data!J36,H24*Combined_real_to_nominal_prices_conversion_factor__financial_year_end)</f>
        <v>2021.6666804637948</v>
      </c>
      <c r="I32" s="597">
        <f>IF(Sector="ED2",I24*Data!K36,I24*Combined_real_to_nominal_prices_conversion_factor__financial_year_end)</f>
        <v>2172.4630606022679</v>
      </c>
      <c r="J32" s="597">
        <f>IF(Sector="ED2",J24*Data!L36,J24*Combined_real_to_nominal_prices_conversion_factor__financial_year_end)</f>
        <v>2334.5909792940929</v>
      </c>
      <c r="K32" s="567"/>
      <c r="Q32" s="773"/>
      <c r="R32" s="773"/>
      <c r="S32" s="773"/>
    </row>
    <row r="33" spans="1:14" s="292" customFormat="1">
      <c r="B33" s="421"/>
      <c r="C33" s="421"/>
      <c r="D33" s="421"/>
      <c r="E33" s="567"/>
      <c r="F33" s="567"/>
      <c r="G33" s="567"/>
      <c r="H33" s="567"/>
      <c r="I33" s="567"/>
      <c r="J33" s="567"/>
      <c r="K33" s="567"/>
      <c r="L33" s="406"/>
      <c r="M33" s="567"/>
      <c r="N33" s="567"/>
    </row>
    <row r="34" spans="1:14" s="292" customFormat="1">
      <c r="B34" s="335" t="s">
        <v>834</v>
      </c>
      <c r="C34" s="335"/>
      <c r="D34" s="335"/>
      <c r="E34" s="567" t="s">
        <v>835</v>
      </c>
      <c r="F34" s="598">
        <f>INDEX(Data!$H$63:$P$91,MATCH('RFPR cover'!$C$7,Data!$B$63:$B$91,0),MATCH('R7 - RAV'!F$6,Data!$H$62:$P$62,0))</f>
        <v>3.1E-2</v>
      </c>
      <c r="G34" s="598">
        <f>INDEX(Data!$H$63:$P$91,MATCH('RFPR cover'!$C$7,Data!$B$63:$B$91,0),MATCH('R7 - RAV'!G$6,Data!$H$62:$P$62,0))</f>
        <v>3.1699999999999999E-2</v>
      </c>
      <c r="H34" s="598">
        <f>INDEX(Data!$H$63:$P$91,MATCH('RFPR cover'!$C$7,Data!$B$63:$B$91,0),MATCH('R7 - RAV'!H$6,Data!$H$62:$P$62,0))</f>
        <v>3.1899999999999998E-2</v>
      </c>
      <c r="I34" s="598">
        <f>INDEX(Data!$H$63:$P$91,MATCH('RFPR cover'!$C$7,Data!$B$63:$B$91,0),MATCH('R7 - RAV'!I$6,Data!$H$62:$P$62,0))</f>
        <v>3.2000000000000001E-2</v>
      </c>
      <c r="J34" s="598">
        <f>INDEX(Data!$H$63:$P$91,MATCH('RFPR cover'!$C$7,Data!$B$63:$B$91,0),MATCH('R7 - RAV'!J$6,Data!$H$62:$P$62,0))</f>
        <v>3.2000000000000001E-2</v>
      </c>
      <c r="K34" s="567"/>
      <c r="L34" s="406"/>
      <c r="M34" s="567"/>
      <c r="N34" s="567"/>
    </row>
    <row r="35" spans="1:14" s="292" customFormat="1">
      <c r="B35" s="335" t="s">
        <v>836</v>
      </c>
      <c r="C35" s="335"/>
      <c r="D35" s="335"/>
      <c r="E35" s="567" t="s">
        <v>835</v>
      </c>
      <c r="F35" s="599">
        <f>INDEX(Data!$O$63:$U$91,MATCH('RFPR cover'!$C$7,Data!$B$63:$B$91,0),MATCH('R7 - RAV'!F$6,Data!$O$62:$U$62,0))</f>
        <v>5.2833944000000001E-2</v>
      </c>
      <c r="G35" s="599">
        <f>INDEX(Data!$O$63:$U$91,MATCH('RFPR cover'!$C$7,Data!$B$63:$B$91,0),MATCH('R7 - RAV'!G$6,Data!$O$62:$U$62,0))</f>
        <v>5.5875458000000003E-2</v>
      </c>
      <c r="H35" s="599">
        <f>INDEX(Data!$O$63:$U$91,MATCH('RFPR cover'!$C$7,Data!$B$63:$B$91,0),MATCH('R7 - RAV'!H$6,Data!$O$62:$U$62,0))</f>
        <v>5.4475396000000002E-2</v>
      </c>
      <c r="I35" s="599">
        <f>INDEX(Data!$O$63:$U$91,MATCH('RFPR cover'!$C$7,Data!$B$63:$B$91,0),MATCH('R7 - RAV'!I$6,Data!$O$62:$U$62,0))</f>
        <v>5.6672044999999997E-2</v>
      </c>
      <c r="J35" s="599">
        <f>INDEX(Data!$O$63:$U$91,MATCH('RFPR cover'!$C$7,Data!$B$63:$B$91,0),MATCH('R7 - RAV'!J$6,Data!$O$62:$U$62,0))</f>
        <v>5.5271982999999997E-2</v>
      </c>
      <c r="K35" s="567"/>
      <c r="L35" s="406"/>
      <c r="M35" s="567"/>
      <c r="N35" s="567"/>
    </row>
    <row r="36" spans="1:14">
      <c r="A36" s="292"/>
      <c r="B36" s="335" t="s">
        <v>837</v>
      </c>
      <c r="C36" s="335"/>
      <c r="D36" s="335"/>
      <c r="E36" s="567" t="s">
        <v>538</v>
      </c>
      <c r="F36" s="600">
        <f t="shared" ref="F36:J36" si="6">Notional_Gearing</f>
        <v>0.6</v>
      </c>
      <c r="G36" s="600">
        <f t="shared" si="6"/>
        <v>0.6</v>
      </c>
      <c r="H36" s="600">
        <f t="shared" si="6"/>
        <v>0.6</v>
      </c>
      <c r="I36" s="600">
        <f t="shared" si="6"/>
        <v>0.6</v>
      </c>
      <c r="J36" s="600">
        <f t="shared" si="6"/>
        <v>0.6</v>
      </c>
      <c r="K36" s="567"/>
      <c r="L36" s="406"/>
      <c r="M36" s="567"/>
      <c r="N36" s="567"/>
    </row>
    <row r="37" spans="1:14">
      <c r="B37" s="101" t="s">
        <v>838</v>
      </c>
      <c r="E37" s="567" t="s">
        <v>835</v>
      </c>
      <c r="F37" s="601">
        <f t="shared" ref="F37:J37" si="7">F34*F36+F35*(1-F36)</f>
        <v>3.97335776E-2</v>
      </c>
      <c r="G37" s="602">
        <f t="shared" si="7"/>
        <v>4.1370183200000001E-2</v>
      </c>
      <c r="H37" s="602">
        <f t="shared" si="7"/>
        <v>4.09301584E-2</v>
      </c>
      <c r="I37" s="602">
        <f t="shared" si="7"/>
        <v>4.1868818000000002E-2</v>
      </c>
      <c r="J37" s="602">
        <f t="shared" si="7"/>
        <v>4.1308793199999999E-2</v>
      </c>
      <c r="K37" s="567"/>
      <c r="L37" s="406"/>
      <c r="M37" s="567"/>
      <c r="N37" s="567"/>
    </row>
    <row r="38" spans="1:14" s="292" customFormat="1">
      <c r="A38" s="101"/>
      <c r="B38" s="101"/>
      <c r="C38" s="101"/>
      <c r="D38" s="101"/>
      <c r="E38" s="583"/>
      <c r="F38" s="584"/>
      <c r="G38" s="584"/>
      <c r="H38" s="584"/>
      <c r="I38" s="584"/>
      <c r="J38" s="584"/>
      <c r="K38" s="567"/>
      <c r="L38" s="406"/>
      <c r="M38" s="567"/>
      <c r="N38" s="567"/>
    </row>
    <row r="39" spans="1:14" s="292" customFormat="1">
      <c r="A39" s="101"/>
      <c r="B39" s="77" t="s">
        <v>839</v>
      </c>
      <c r="C39" s="77"/>
      <c r="D39" s="77"/>
      <c r="E39" s="567" t="str">
        <f>Data!$C$9</f>
        <v>£m 20/21</v>
      </c>
      <c r="F39" s="18">
        <f>F41*F36</f>
        <v>765.87176476522529</v>
      </c>
      <c r="G39" s="19">
        <f t="shared" ref="G39:J39" si="8">G41*G36</f>
        <v>793.4311457666364</v>
      </c>
      <c r="H39" s="19">
        <f t="shared" si="8"/>
        <v>832.30512901172654</v>
      </c>
      <c r="I39" s="19">
        <f t="shared" si="8"/>
        <v>874.2411972008241</v>
      </c>
      <c r="J39" s="19">
        <f t="shared" si="8"/>
        <v>920.55904858101735</v>
      </c>
      <c r="K39" s="567"/>
      <c r="L39" s="406"/>
      <c r="M39" s="567"/>
      <c r="N39" s="567"/>
    </row>
    <row r="40" spans="1:14" s="292" customFormat="1">
      <c r="A40" s="101"/>
      <c r="B40" s="77" t="s">
        <v>840</v>
      </c>
      <c r="C40" s="77"/>
      <c r="D40" s="77"/>
      <c r="E40" s="567" t="str">
        <f>Data!$C$9</f>
        <v>£m 20/21</v>
      </c>
      <c r="F40" s="62">
        <f>F41*(1-F36)</f>
        <v>510.58117651015021</v>
      </c>
      <c r="G40" s="63">
        <f t="shared" ref="G40:J40" si="9">G41*(1-G36)</f>
        <v>528.95409717775772</v>
      </c>
      <c r="H40" s="63">
        <f t="shared" si="9"/>
        <v>554.8700860078178</v>
      </c>
      <c r="I40" s="63">
        <f t="shared" si="9"/>
        <v>582.82746480054936</v>
      </c>
      <c r="J40" s="63">
        <f t="shared" si="9"/>
        <v>613.70603238734498</v>
      </c>
      <c r="K40" s="567"/>
      <c r="L40" s="406"/>
      <c r="M40" s="567"/>
      <c r="N40" s="567"/>
    </row>
    <row r="41" spans="1:14" s="292" customFormat="1">
      <c r="A41" s="101"/>
      <c r="B41" s="101" t="s">
        <v>841</v>
      </c>
      <c r="C41" s="101"/>
      <c r="D41" s="101"/>
      <c r="E41" s="567" t="str">
        <f>Data!$C$9</f>
        <v>£m 20/21</v>
      </c>
      <c r="F41" s="21">
        <f>AVERAGE(F17,F24*(1/(1+F37)))</f>
        <v>1276.4529412753755</v>
      </c>
      <c r="G41" s="21">
        <f t="shared" ref="G41:J41" si="10">AVERAGE(G17,G24*(1/(1+G37)))</f>
        <v>1322.3852429443941</v>
      </c>
      <c r="H41" s="21">
        <f t="shared" si="10"/>
        <v>1387.1752150195443</v>
      </c>
      <c r="I41" s="21">
        <f t="shared" si="10"/>
        <v>1457.0686620013735</v>
      </c>
      <c r="J41" s="21">
        <f t="shared" si="10"/>
        <v>1534.2650809683623</v>
      </c>
      <c r="K41" s="567"/>
      <c r="L41" s="406"/>
      <c r="M41" s="567"/>
      <c r="N41" s="567"/>
    </row>
    <row r="42" spans="1:14" s="292" customFormat="1">
      <c r="A42" s="101"/>
      <c r="B42" s="101"/>
      <c r="C42" s="101"/>
      <c r="D42" s="101"/>
      <c r="E42" s="567"/>
      <c r="F42" s="567"/>
      <c r="G42" s="567"/>
      <c r="H42" s="567"/>
      <c r="I42" s="567"/>
      <c r="J42" s="567"/>
      <c r="K42" s="567"/>
      <c r="L42" s="406"/>
      <c r="M42" s="567"/>
      <c r="N42" s="567"/>
    </row>
    <row r="43" spans="1:14" s="292" customFormat="1">
      <c r="A43" s="101"/>
      <c r="B43" s="77" t="s">
        <v>842</v>
      </c>
      <c r="C43" s="77"/>
      <c r="D43" s="77"/>
      <c r="E43" s="567" t="str">
        <f>Data!$C$9</f>
        <v>£m 20/21</v>
      </c>
      <c r="F43" s="137">
        <f>F34*F39</f>
        <v>23.742024707721985</v>
      </c>
      <c r="G43" s="138">
        <f t="shared" ref="G43:J44" si="11">G34*G39</f>
        <v>25.151767320802374</v>
      </c>
      <c r="H43" s="138">
        <f t="shared" si="11"/>
        <v>26.550533615474073</v>
      </c>
      <c r="I43" s="138">
        <f t="shared" si="11"/>
        <v>27.975718310426373</v>
      </c>
      <c r="J43" s="138">
        <f t="shared" si="11"/>
        <v>29.457889554592555</v>
      </c>
      <c r="K43" s="567"/>
      <c r="L43" s="406"/>
      <c r="M43" s="567"/>
      <c r="N43" s="567"/>
    </row>
    <row r="44" spans="1:14">
      <c r="B44" s="77" t="s">
        <v>843</v>
      </c>
      <c r="C44" s="77"/>
      <c r="D44" s="77"/>
      <c r="E44" s="567" t="str">
        <f>Data!$C$9</f>
        <v>£m 20/21</v>
      </c>
      <c r="F44" s="15">
        <f>F35*F40</f>
        <v>26.976017287191393</v>
      </c>
      <c r="G44" s="16">
        <f t="shared" si="11"/>
        <v>29.555552440783721</v>
      </c>
      <c r="H44" s="16">
        <f t="shared" si="11"/>
        <v>30.226767663829936</v>
      </c>
      <c r="I44" s="16">
        <f t="shared" si="11"/>
        <v>33.03002431241265</v>
      </c>
      <c r="J44" s="16">
        <f t="shared" si="11"/>
        <v>33.920749389110782</v>
      </c>
      <c r="K44" s="567"/>
      <c r="L44" s="406"/>
      <c r="M44" s="567"/>
      <c r="N44" s="567"/>
    </row>
    <row r="45" spans="1:14">
      <c r="B45" s="101" t="s">
        <v>844</v>
      </c>
      <c r="E45" s="567" t="str">
        <f>Data!$C$9</f>
        <v>£m 20/21</v>
      </c>
      <c r="F45" s="21">
        <f>SUM(F43:F44)</f>
        <v>50.718041994913378</v>
      </c>
      <c r="G45" s="22">
        <f t="shared" ref="G45:J45" si="12">SUM(G43:G44)</f>
        <v>54.707319761586092</v>
      </c>
      <c r="H45" s="22">
        <f t="shared" si="12"/>
        <v>56.777301279304012</v>
      </c>
      <c r="I45" s="22">
        <f t="shared" si="12"/>
        <v>61.005742622839023</v>
      </c>
      <c r="J45" s="22">
        <f t="shared" si="12"/>
        <v>63.378638943703336</v>
      </c>
      <c r="K45" s="567"/>
      <c r="L45" s="406"/>
      <c r="M45" s="567"/>
      <c r="N45" s="567"/>
    </row>
    <row r="46" spans="1:14">
      <c r="K46" s="567"/>
      <c r="L46" s="406"/>
      <c r="M46" s="567"/>
      <c r="N46" s="567"/>
    </row>
    <row r="47" spans="1:14">
      <c r="B47" s="77"/>
      <c r="C47" s="77"/>
      <c r="D47" s="77"/>
      <c r="E47" s="29"/>
      <c r="F47" s="506"/>
      <c r="G47" s="506"/>
      <c r="H47" s="506"/>
      <c r="I47" s="506"/>
      <c r="J47" s="506"/>
      <c r="K47" s="567"/>
      <c r="L47" s="406"/>
      <c r="M47" s="567"/>
      <c r="N47" s="567"/>
    </row>
    <row r="48" spans="1:14">
      <c r="B48" s="77"/>
      <c r="C48" s="77"/>
      <c r="D48" s="77"/>
      <c r="E48" s="29"/>
      <c r="F48" s="506"/>
      <c r="G48" s="506"/>
      <c r="H48" s="506"/>
      <c r="I48" s="506"/>
      <c r="J48" s="506"/>
      <c r="K48" s="567"/>
      <c r="L48" s="406"/>
      <c r="M48" s="567"/>
      <c r="N48" s="567"/>
    </row>
    <row r="49" spans="2:14">
      <c r="E49" s="29"/>
      <c r="F49" s="585"/>
      <c r="G49" s="585"/>
      <c r="H49" s="585"/>
      <c r="I49" s="585"/>
      <c r="J49" s="585"/>
      <c r="K49" s="567"/>
      <c r="L49" s="406"/>
      <c r="M49" s="567"/>
      <c r="N49" s="567"/>
    </row>
    <row r="50" spans="2:14">
      <c r="E50" s="567"/>
      <c r="F50" s="567"/>
      <c r="G50" s="567"/>
      <c r="H50" s="567"/>
      <c r="I50" s="567"/>
      <c r="J50" s="567"/>
      <c r="K50" s="567"/>
      <c r="L50" s="406"/>
      <c r="M50" s="567"/>
      <c r="N50" s="567"/>
    </row>
    <row r="54" spans="2:14">
      <c r="E54" s="101"/>
      <c r="M54" s="101"/>
    </row>
    <row r="55" spans="2:14">
      <c r="E55" s="101"/>
      <c r="M55" s="101"/>
    </row>
    <row r="56" spans="2:14">
      <c r="B56" s="77"/>
      <c r="C56" s="77"/>
      <c r="D56" s="77"/>
      <c r="E56" s="29"/>
      <c r="F56" s="506"/>
      <c r="G56" s="506"/>
      <c r="H56" s="506"/>
      <c r="I56" s="506"/>
      <c r="J56" s="506"/>
      <c r="K56" s="371"/>
    </row>
    <row r="57" spans="2:14">
      <c r="B57" s="77"/>
      <c r="C57" s="77"/>
      <c r="D57" s="77"/>
      <c r="E57" s="29"/>
      <c r="F57" s="585"/>
      <c r="G57" s="585"/>
      <c r="H57" s="585"/>
      <c r="I57" s="585"/>
      <c r="J57" s="585"/>
    </row>
    <row r="58" spans="2:14">
      <c r="E58" s="29"/>
      <c r="F58" s="506"/>
      <c r="G58" s="506"/>
      <c r="H58" s="506"/>
      <c r="I58" s="506"/>
      <c r="J58" s="506"/>
    </row>
    <row r="59" spans="2:14">
      <c r="B59" s="371"/>
      <c r="C59" s="371"/>
      <c r="D59" s="371"/>
      <c r="E59" s="40"/>
      <c r="F59" s="40"/>
      <c r="G59" s="40"/>
      <c r="H59" s="40"/>
      <c r="I59" s="40"/>
      <c r="J59" s="40"/>
    </row>
    <row r="60" spans="2:14">
      <c r="B60" s="371"/>
      <c r="C60" s="371"/>
      <c r="D60" s="371"/>
      <c r="E60" s="40"/>
      <c r="F60" s="40"/>
      <c r="G60" s="40"/>
      <c r="H60" s="40"/>
      <c r="I60" s="40"/>
      <c r="J60" s="40"/>
    </row>
    <row r="61" spans="2:14">
      <c r="B61" s="371"/>
      <c r="C61" s="371"/>
      <c r="D61" s="371"/>
      <c r="E61" s="40"/>
      <c r="F61" s="40"/>
      <c r="G61" s="40"/>
      <c r="H61" s="40"/>
      <c r="I61" s="40"/>
      <c r="J61" s="40"/>
    </row>
    <row r="64" spans="2:14">
      <c r="B64" s="371"/>
      <c r="C64" s="371"/>
      <c r="D64" s="371"/>
      <c r="E64" s="40"/>
      <c r="F64" s="40"/>
      <c r="G64" s="40"/>
      <c r="H64" s="40"/>
      <c r="I64" s="40"/>
      <c r="J64" s="40"/>
    </row>
  </sheetData>
  <sheetProtection insertRows="0" sort="0" autoFilter="0" pivotTables="0"/>
  <conditionalFormatting sqref="F5:J5 F6:I6">
    <cfRule type="expression" dxfId="24" priority="15">
      <formula>AND(F$5="Actuals",G$5="Forecast")</formula>
    </cfRule>
  </conditionalFormatting>
  <conditionalFormatting sqref="F7:J7">
    <cfRule type="expression" dxfId="23" priority="1">
      <formula>AND(F$5="Actuals",G$5="Forecast")</formula>
    </cfRule>
  </conditionalFormatting>
  <conditionalFormatting sqref="J6">
    <cfRule type="expression" dxfId="22"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zoomScale="80" zoomScaleNormal="80" workbookViewId="0">
      <selection activeCell="E35" sqref="E35:I35"/>
    </sheetView>
  </sheetViews>
  <sheetFormatPr defaultColWidth="9" defaultRowHeight="12.75"/>
  <cols>
    <col min="1" max="1" width="8.375" style="101" customWidth="1"/>
    <col min="2" max="2" width="54.75" style="101" customWidth="1"/>
    <col min="3" max="3" width="1.75" style="101" customWidth="1"/>
    <col min="4" max="4" width="14.125" style="101" customWidth="1"/>
    <col min="5" max="9" width="11.125" style="101" customWidth="1"/>
    <col min="10" max="10" width="7.75" style="101" customWidth="1"/>
    <col min="11" max="16384" width="9" style="101"/>
  </cols>
  <sheetData>
    <row r="1" spans="1:20" ht="20.25">
      <c r="A1" s="826" t="s">
        <v>271</v>
      </c>
      <c r="B1" s="867"/>
      <c r="C1" s="867"/>
      <c r="D1" s="862"/>
      <c r="E1" s="862"/>
      <c r="F1" s="862"/>
      <c r="G1" s="862"/>
      <c r="H1" s="862"/>
      <c r="I1" s="862"/>
      <c r="J1" s="396"/>
    </row>
    <row r="2" spans="1:20" ht="20.25">
      <c r="A2" s="827" t="str">
        <f>Licensee</f>
        <v>NGED-SWALES</v>
      </c>
      <c r="B2" s="285"/>
      <c r="C2" s="285"/>
      <c r="D2" s="285"/>
      <c r="E2" s="285"/>
      <c r="F2" s="285"/>
      <c r="G2" s="285"/>
      <c r="H2" s="285"/>
      <c r="I2" s="285"/>
      <c r="J2" s="287"/>
    </row>
    <row r="3" spans="1:20" ht="20.25">
      <c r="A3" s="828">
        <f>Reporting_Year</f>
        <v>2026</v>
      </c>
      <c r="B3" s="288"/>
      <c r="C3" s="288"/>
      <c r="D3" s="288"/>
      <c r="E3" s="603"/>
      <c r="F3" s="603"/>
      <c r="G3" s="603"/>
      <c r="H3" s="603"/>
      <c r="I3" s="603"/>
      <c r="J3" s="290"/>
    </row>
    <row r="4" spans="1:20" ht="12.75" customHeight="1">
      <c r="A4" s="604"/>
      <c r="B4" s="605"/>
      <c r="C4" s="605"/>
      <c r="D4" s="604"/>
      <c r="E4" s="604"/>
      <c r="F4" s="604"/>
      <c r="G4" s="604"/>
      <c r="H4" s="604"/>
      <c r="I4" s="604"/>
      <c r="J4" s="604"/>
      <c r="K4" s="605"/>
    </row>
    <row r="5" spans="1:20" s="292" customFormat="1">
      <c r="B5" s="419"/>
      <c r="C5" s="419"/>
      <c r="D5" s="419"/>
      <c r="E5" s="291" t="str">
        <f>IF(E6+1&lt;=Reporting_Year,"Actuals","Forecast")</f>
        <v>Actuals</v>
      </c>
      <c r="F5" s="291" t="str">
        <f>IF(F6+1&lt;=Reporting_Year,"Actuals","Forecast")</f>
        <v>Actuals</v>
      </c>
      <c r="G5" s="291" t="str">
        <f>IF(G6+1&lt;=Reporting_Year,"Actuals","Forecast")</f>
        <v>Forecast</v>
      </c>
      <c r="H5" s="291" t="str">
        <f>IF(H6+1&lt;=Reporting_Year,"Actuals","Forecast")</f>
        <v>Forecast</v>
      </c>
      <c r="I5" s="291" t="str">
        <f>IF(I6+1&lt;=Reporting_Year,"Actuals","Forecast")</f>
        <v>Forecast</v>
      </c>
    </row>
    <row r="6" spans="1:20" s="292" customFormat="1">
      <c r="E6" s="397">
        <f>'RFPR cover'!$C$6</f>
        <v>2024</v>
      </c>
      <c r="F6" s="398">
        <f>E6+1</f>
        <v>2025</v>
      </c>
      <c r="G6" s="398">
        <f t="shared" ref="G6:I6" si="0">F6+1</f>
        <v>2026</v>
      </c>
      <c r="H6" s="398">
        <f t="shared" si="0"/>
        <v>2027</v>
      </c>
      <c r="I6" s="398">
        <f t="shared" si="0"/>
        <v>2028</v>
      </c>
    </row>
    <row r="7" spans="1:20" s="292" customFormat="1">
      <c r="E7" s="397" t="str">
        <f>RIIO_2_start_date-1&amp;"/"&amp;RIGHT(RIIO_2_start_date,2)</f>
        <v>2023/24</v>
      </c>
      <c r="F7" s="397" t="str">
        <f>RIIO_2_start_date&amp;"/"&amp;RIGHT(RIIO_2_start_date+1,2)</f>
        <v>2024/25</v>
      </c>
      <c r="G7" s="397" t="str">
        <f>RIIO_2_start_date+1&amp;"/"&amp;RIGHT(RIIO_2_start_date+2,2)</f>
        <v>2025/26</v>
      </c>
      <c r="H7" s="397" t="str">
        <f>RIIO_2_start_date+2&amp;"/"&amp;RIGHT(RIIO_2_start_date+3,2)</f>
        <v>2026/27</v>
      </c>
      <c r="I7" s="495" t="str">
        <f>RIIO_2_start_date+3&amp;"/"&amp;RIGHT(RIIO_2_start_date+4,2)</f>
        <v>2027/28</v>
      </c>
    </row>
    <row r="8" spans="1:20" s="292" customFormat="1">
      <c r="B8" s="606" t="s">
        <v>845</v>
      </c>
      <c r="C8" s="514"/>
      <c r="D8" s="515"/>
      <c r="E8" s="515"/>
      <c r="F8" s="515"/>
      <c r="G8" s="515"/>
      <c r="H8" s="515"/>
      <c r="I8" s="515"/>
    </row>
    <row r="9" spans="1:20" s="292" customFormat="1" ht="34.5" customHeight="1">
      <c r="B9" s="846" t="s">
        <v>846</v>
      </c>
      <c r="C9" s="846"/>
      <c r="D9" s="846"/>
      <c r="E9" s="846"/>
      <c r="F9" s="846"/>
      <c r="G9" s="846"/>
      <c r="H9" s="846"/>
      <c r="I9" s="846"/>
    </row>
    <row r="10" spans="1:20" s="292" customFormat="1">
      <c r="B10" s="566"/>
      <c r="C10" s="566"/>
    </row>
    <row r="11" spans="1:20" s="292" customFormat="1" ht="34.5" customHeight="1">
      <c r="B11" s="607" t="s">
        <v>847</v>
      </c>
      <c r="C11" s="371"/>
      <c r="D11" s="29" t="s">
        <v>575</v>
      </c>
      <c r="E11" s="608">
        <v>9.3591057224999936</v>
      </c>
      <c r="F11" s="608">
        <v>28.163197750000005</v>
      </c>
      <c r="G11" s="608"/>
      <c r="H11" s="608"/>
      <c r="I11" s="608"/>
      <c r="J11" s="101" t="s">
        <v>848</v>
      </c>
    </row>
    <row r="12" spans="1:20" s="292" customFormat="1">
      <c r="B12" s="371"/>
      <c r="C12" s="371"/>
      <c r="D12" s="371"/>
      <c r="E12" s="371"/>
      <c r="F12" s="371"/>
      <c r="G12" s="371"/>
      <c r="H12" s="371"/>
      <c r="I12" s="371"/>
      <c r="J12" s="371"/>
      <c r="K12" s="371"/>
      <c r="L12" s="371"/>
      <c r="M12" s="371"/>
      <c r="N12" s="371"/>
      <c r="O12" s="371"/>
      <c r="P12" s="371"/>
      <c r="Q12" s="371"/>
      <c r="R12" s="371"/>
      <c r="S12" s="371"/>
      <c r="T12" s="371"/>
    </row>
    <row r="13" spans="1:20" s="292" customFormat="1">
      <c r="B13" s="371"/>
      <c r="C13" s="371"/>
      <c r="D13" s="371"/>
      <c r="E13" s="371"/>
      <c r="F13" s="371"/>
      <c r="G13" s="371"/>
      <c r="H13" s="371"/>
      <c r="I13" s="371"/>
      <c r="J13" s="371"/>
      <c r="K13" s="371"/>
      <c r="L13" s="371"/>
      <c r="M13" s="371"/>
      <c r="N13" s="371"/>
      <c r="O13" s="371"/>
      <c r="P13" s="371"/>
      <c r="Q13" s="371"/>
      <c r="R13" s="371"/>
      <c r="S13" s="371"/>
      <c r="T13" s="371"/>
    </row>
    <row r="14" spans="1:20" s="292" customFormat="1">
      <c r="B14" s="609"/>
      <c r="C14" s="371"/>
      <c r="D14" s="29"/>
      <c r="E14" s="610"/>
      <c r="F14" s="610"/>
      <c r="G14" s="610"/>
      <c r="H14" s="610"/>
      <c r="I14" s="610"/>
      <c r="J14" s="101"/>
    </row>
    <row r="15" spans="1:20">
      <c r="B15" s="371" t="s">
        <v>849</v>
      </c>
      <c r="C15" s="371"/>
      <c r="D15" s="29"/>
      <c r="E15" s="29"/>
      <c r="F15" s="29"/>
      <c r="G15" s="29"/>
      <c r="H15" s="29"/>
      <c r="I15" s="29"/>
      <c r="M15" s="292"/>
      <c r="N15" s="292"/>
    </row>
    <row r="16" spans="1:20">
      <c r="B16" s="499" t="s">
        <v>850</v>
      </c>
      <c r="C16" s="499"/>
      <c r="D16" s="29" t="s">
        <v>575</v>
      </c>
      <c r="E16" s="608">
        <v>0</v>
      </c>
      <c r="F16" s="608">
        <v>0</v>
      </c>
      <c r="G16" s="608"/>
      <c r="H16" s="608"/>
      <c r="I16" s="608"/>
      <c r="M16" s="292"/>
      <c r="N16" s="292"/>
    </row>
    <row r="17" spans="2:38">
      <c r="B17" s="499" t="s">
        <v>851</v>
      </c>
      <c r="C17" s="499"/>
      <c r="D17" s="29" t="s">
        <v>575</v>
      </c>
      <c r="E17" s="608">
        <v>0.13792500000000002</v>
      </c>
      <c r="F17" s="608">
        <v>0.12512500000000001</v>
      </c>
      <c r="G17" s="608"/>
      <c r="H17" s="608"/>
      <c r="I17" s="608"/>
      <c r="M17" s="292"/>
      <c r="N17" s="292"/>
    </row>
    <row r="18" spans="2:38">
      <c r="B18" s="499" t="s">
        <v>852</v>
      </c>
      <c r="C18" s="499"/>
      <c r="D18" s="29" t="s">
        <v>575</v>
      </c>
      <c r="E18" s="608">
        <v>0.21879999999999994</v>
      </c>
      <c r="F18" s="608">
        <v>0.21487500000000009</v>
      </c>
      <c r="G18" s="608"/>
      <c r="H18" s="608"/>
      <c r="I18" s="608"/>
      <c r="M18" s="292"/>
      <c r="N18" s="292"/>
    </row>
    <row r="19" spans="2:38">
      <c r="B19" s="499" t="s">
        <v>853</v>
      </c>
      <c r="C19" s="499"/>
      <c r="D19" s="29" t="s">
        <v>575</v>
      </c>
      <c r="E19" s="608">
        <v>5.3169049958018633E-2</v>
      </c>
      <c r="F19" s="608">
        <v>2.1349999999999758E-2</v>
      </c>
      <c r="G19" s="608"/>
      <c r="H19" s="608"/>
      <c r="I19" s="608"/>
      <c r="M19" s="292"/>
      <c r="N19" s="292"/>
    </row>
    <row r="20" spans="2:38">
      <c r="B20" s="611" t="s">
        <v>854</v>
      </c>
      <c r="C20" s="611"/>
      <c r="D20" s="29" t="s">
        <v>575</v>
      </c>
      <c r="E20" s="488">
        <f>SUM(E17:E19)</f>
        <v>0.40989404995801859</v>
      </c>
      <c r="F20" s="451">
        <f t="shared" ref="F20:I20" si="1">SUM(F16:F19)</f>
        <v>0.36134999999999984</v>
      </c>
      <c r="G20" s="451">
        <f t="shared" si="1"/>
        <v>0</v>
      </c>
      <c r="H20" s="451">
        <f t="shared" si="1"/>
        <v>0</v>
      </c>
      <c r="I20" s="451">
        <f t="shared" si="1"/>
        <v>0</v>
      </c>
      <c r="M20" s="292"/>
      <c r="N20" s="292"/>
    </row>
    <row r="21" spans="2:38">
      <c r="B21" s="499"/>
      <c r="C21" s="499"/>
      <c r="D21" s="499"/>
      <c r="E21" s="612"/>
      <c r="F21" s="612"/>
      <c r="G21" s="612"/>
      <c r="H21" s="612"/>
      <c r="I21" s="612"/>
    </row>
    <row r="22" spans="2:38">
      <c r="B22" s="371" t="s">
        <v>754</v>
      </c>
      <c r="C22" s="371"/>
      <c r="D22" s="29"/>
      <c r="E22" s="29"/>
      <c r="F22" s="227"/>
      <c r="G22" s="227"/>
      <c r="H22" s="227"/>
      <c r="I22" s="227"/>
      <c r="K22" s="499"/>
      <c r="L22" s="499"/>
      <c r="M22" s="499"/>
      <c r="N22" s="499"/>
      <c r="O22" s="499"/>
      <c r="P22" s="499"/>
      <c r="Q22" s="499"/>
      <c r="R22" s="499"/>
      <c r="S22" s="499"/>
      <c r="T22" s="499"/>
      <c r="U22" s="499"/>
      <c r="V22" s="499"/>
      <c r="W22" s="499"/>
      <c r="X22" s="499"/>
      <c r="Y22" s="499"/>
      <c r="Z22" s="499"/>
      <c r="AA22" s="499"/>
      <c r="AB22" s="499"/>
      <c r="AC22" s="499"/>
      <c r="AD22" s="499"/>
      <c r="AE22" s="499"/>
      <c r="AF22" s="499"/>
      <c r="AG22" s="499"/>
      <c r="AH22" s="499"/>
      <c r="AI22" s="499"/>
      <c r="AJ22" s="499"/>
      <c r="AK22" s="499"/>
      <c r="AL22" s="499"/>
    </row>
    <row r="23" spans="2:38">
      <c r="B23" s="499" t="s">
        <v>855</v>
      </c>
      <c r="C23" s="613"/>
      <c r="D23" s="29" t="s">
        <v>575</v>
      </c>
      <c r="E23" s="618">
        <f>IF(E5="Actuals",('R4 - Incentives and Other Rev'!D71+'R4 - Incentives and Other Rev'!D45+'R4 - Incentives and Other Rev'!D52+'R4 - Incentives and Other Rev'!D59)/(1-INDEX(Corporate_Tax,MATCH(E$6,Data!$C$18:$N$18,0)))*INDEX(Corporate_Tax,MATCH(E$6,Data!$C$18:$N$18,0)),0)*E38</f>
        <v>1.3393333333333335E-2</v>
      </c>
      <c r="F23" s="618">
        <f>IF(F5="Actuals",('R4 - Incentives and Other Rev'!E71+'R4 - Incentives and Other Rev'!E45+'R4 - Incentives and Other Rev'!E52+'R4 - Incentives and Other Rev'!E59)/(1-INDEX(Corporate_Tax,MATCH(F$6,Data!$C$18:$N$18,0)))*INDEX(Corporate_Tax,MATCH(F$6,Data!$C$18:$N$18,0)),0)*F38</f>
        <v>5.0413294399999998E-3</v>
      </c>
      <c r="G23" s="618">
        <f>IF(G5="Actuals",('R4 - Incentives and Other Rev'!F71+'R4 - Incentives and Other Rev'!F45+'R4 - Incentives and Other Rev'!F52+'R4 - Incentives and Other Rev'!F59)/(1-INDEX(Corporate_Tax,MATCH(G$6,Data!$C$18:$N$18,0)))*INDEX(Corporate_Tax,MATCH(G$6,Data!$C$18:$N$18,0)),0)*G38</f>
        <v>0</v>
      </c>
      <c r="H23" s="618">
        <f>IF(H5="Actuals",('R4 - Incentives and Other Rev'!G71+'R4 - Incentives and Other Rev'!G45+'R4 - Incentives and Other Rev'!G52+'R4 - Incentives and Other Rev'!G59)/(1-INDEX(Corporate_Tax,MATCH(H$6,Data!$C$18:$N$18,0)))*INDEX(Corporate_Tax,MATCH(H$6,Data!$C$18:$N$18,0)),0)*H38</f>
        <v>0</v>
      </c>
      <c r="I23" s="618">
        <f>IF(I5="Actuals",('R4 - Incentives and Other Rev'!H71+'R4 - Incentives and Other Rev'!H45+'R4 - Incentives and Other Rev'!H52+'R4 - Incentives and Other Rev'!H59)/(1-INDEX(Corporate_Tax,MATCH(I$6,Data!$C$18:$N$18,0)))*INDEX(Corporate_Tax,MATCH(I$6,Data!$C$18:$N$18,0)),0)*I38</f>
        <v>0</v>
      </c>
      <c r="L23" s="499"/>
      <c r="M23" s="499"/>
      <c r="N23" s="499"/>
      <c r="O23" s="499"/>
      <c r="P23" s="499"/>
      <c r="Q23" s="499"/>
      <c r="R23" s="499"/>
      <c r="S23" s="499"/>
      <c r="T23" s="499"/>
      <c r="U23" s="499"/>
      <c r="V23" s="499"/>
      <c r="W23" s="499"/>
      <c r="X23" s="499"/>
      <c r="Y23" s="499"/>
      <c r="Z23" s="499"/>
      <c r="AA23" s="499"/>
      <c r="AB23" s="499"/>
      <c r="AC23" s="499"/>
      <c r="AD23" s="499"/>
      <c r="AE23" s="499"/>
      <c r="AF23" s="499"/>
      <c r="AG23" s="499"/>
      <c r="AH23" s="499"/>
      <c r="AI23" s="499"/>
      <c r="AJ23" s="499"/>
      <c r="AK23" s="499"/>
      <c r="AL23" s="499"/>
    </row>
    <row r="24" spans="2:38">
      <c r="B24" s="499" t="s">
        <v>856</v>
      </c>
      <c r="C24" s="499"/>
      <c r="D24" s="29" t="s">
        <v>575</v>
      </c>
      <c r="E24" s="608">
        <v>-4.6500337403406533</v>
      </c>
      <c r="F24" s="608">
        <v>5.5288729944145985</v>
      </c>
      <c r="G24" s="608"/>
      <c r="H24" s="608"/>
      <c r="I24" s="608"/>
      <c r="K24" s="499"/>
      <c r="L24" s="499"/>
      <c r="M24" s="499"/>
      <c r="N24" s="499"/>
      <c r="O24" s="499"/>
      <c r="P24" s="499"/>
      <c r="Q24" s="499"/>
      <c r="R24" s="499"/>
      <c r="S24" s="499"/>
      <c r="T24" s="499"/>
      <c r="U24" s="499"/>
      <c r="V24" s="499"/>
      <c r="W24" s="499"/>
      <c r="X24" s="499"/>
      <c r="Y24" s="499"/>
      <c r="Z24" s="499"/>
      <c r="AA24" s="499"/>
      <c r="AB24" s="499"/>
      <c r="AC24" s="499"/>
      <c r="AD24" s="499"/>
      <c r="AE24" s="499"/>
      <c r="AF24" s="499"/>
      <c r="AG24" s="499"/>
      <c r="AH24" s="499"/>
      <c r="AI24" s="499"/>
      <c r="AJ24" s="499"/>
      <c r="AK24" s="499"/>
      <c r="AL24" s="499"/>
    </row>
    <row r="25" spans="2:38">
      <c r="B25" s="499" t="s">
        <v>857</v>
      </c>
      <c r="C25" s="499"/>
      <c r="D25" s="29" t="s">
        <v>575</v>
      </c>
      <c r="E25" s="608">
        <v>-1.8903122294520442</v>
      </c>
      <c r="F25" s="608">
        <v>-1.4478650289713015</v>
      </c>
      <c r="G25" s="608"/>
      <c r="H25" s="608"/>
      <c r="I25" s="608"/>
    </row>
    <row r="26" spans="2:38">
      <c r="B26" s="499" t="s">
        <v>858</v>
      </c>
      <c r="C26" s="499"/>
      <c r="D26" s="29" t="s">
        <v>575</v>
      </c>
      <c r="E26" s="608">
        <v>0</v>
      </c>
      <c r="F26" s="608">
        <v>0</v>
      </c>
      <c r="G26" s="608"/>
      <c r="H26" s="608"/>
      <c r="I26" s="608"/>
    </row>
    <row r="27" spans="2:38">
      <c r="B27" s="499" t="s">
        <v>859</v>
      </c>
      <c r="C27" s="499"/>
      <c r="D27" s="29" t="s">
        <v>575</v>
      </c>
      <c r="E27" s="608">
        <v>0</v>
      </c>
      <c r="F27" s="608">
        <v>0</v>
      </c>
      <c r="G27" s="608"/>
      <c r="H27" s="608"/>
      <c r="I27" s="608"/>
    </row>
    <row r="28" spans="2:38">
      <c r="B28" s="499" t="s">
        <v>994</v>
      </c>
      <c r="C28" s="499"/>
      <c r="D28" s="29" t="s">
        <v>575</v>
      </c>
      <c r="E28" s="608">
        <v>1.4073235358688247</v>
      </c>
      <c r="F28" s="608">
        <v>0.35204085977229482</v>
      </c>
      <c r="G28" s="608"/>
      <c r="H28" s="608"/>
      <c r="I28" s="608"/>
    </row>
    <row r="29" spans="2:38">
      <c r="B29" s="499" t="s">
        <v>860</v>
      </c>
      <c r="C29" s="499"/>
      <c r="D29" s="29" t="s">
        <v>575</v>
      </c>
      <c r="E29" s="608"/>
      <c r="F29" s="608"/>
      <c r="G29" s="608"/>
      <c r="H29" s="608"/>
      <c r="I29" s="608"/>
    </row>
    <row r="30" spans="2:38">
      <c r="B30" s="499" t="s">
        <v>860</v>
      </c>
      <c r="C30" s="499"/>
      <c r="D30" s="29" t="s">
        <v>575</v>
      </c>
      <c r="E30" s="608"/>
      <c r="F30" s="608"/>
      <c r="G30" s="608"/>
      <c r="H30" s="608"/>
      <c r="I30" s="608"/>
    </row>
    <row r="31" spans="2:38">
      <c r="B31" s="499" t="s">
        <v>860</v>
      </c>
      <c r="C31" s="499"/>
      <c r="D31" s="29" t="s">
        <v>575</v>
      </c>
      <c r="E31" s="608"/>
      <c r="F31" s="608"/>
      <c r="G31" s="608"/>
      <c r="H31" s="608"/>
      <c r="I31" s="608"/>
    </row>
    <row r="32" spans="2:38">
      <c r="B32" s="499" t="s">
        <v>861</v>
      </c>
      <c r="C32" s="499"/>
      <c r="D32" s="29" t="s">
        <v>575</v>
      </c>
      <c r="E32" s="608"/>
      <c r="F32" s="608"/>
      <c r="G32" s="608"/>
      <c r="H32" s="608"/>
      <c r="I32" s="608"/>
    </row>
    <row r="33" spans="2:11">
      <c r="B33" s="371" t="s">
        <v>598</v>
      </c>
      <c r="C33" s="371"/>
      <c r="D33" s="29" t="s">
        <v>575</v>
      </c>
      <c r="E33" s="618">
        <f>SUM(E23:E32)</f>
        <v>-5.1196291005905401</v>
      </c>
      <c r="F33" s="619">
        <f>SUM(F23:F32)</f>
        <v>4.4380901546555922</v>
      </c>
      <c r="G33" s="619">
        <f>SUM(G23:G32)</f>
        <v>0</v>
      </c>
      <c r="H33" s="619">
        <f>SUM(H23:H32)</f>
        <v>0</v>
      </c>
      <c r="I33" s="619">
        <f>SUM(I23:I32)</f>
        <v>0</v>
      </c>
    </row>
    <row r="35" spans="2:11" ht="25.5" customHeight="1">
      <c r="B35" s="537" t="s">
        <v>862</v>
      </c>
      <c r="D35" s="29" t="s">
        <v>575</v>
      </c>
      <c r="E35" s="608">
        <v>13.455759986808717</v>
      </c>
      <c r="F35" s="608">
        <v>12.27584889445936</v>
      </c>
      <c r="G35" s="608">
        <v>9.4842030141816167</v>
      </c>
      <c r="H35" s="608">
        <v>5.2548939229068683</v>
      </c>
      <c r="I35" s="608">
        <v>5.2206381813326121</v>
      </c>
    </row>
    <row r="36" spans="2:11" ht="12.75" customHeight="1">
      <c r="B36" s="537" t="s">
        <v>863</v>
      </c>
      <c r="C36" s="537"/>
      <c r="D36" s="29" t="s">
        <v>575</v>
      </c>
      <c r="E36" s="618">
        <f>IF(ISNUMBER(E11),E11-E20-E33,E35-E20-E33)</f>
        <v>14.068840773132514</v>
      </c>
      <c r="F36" s="618">
        <f t="shared" ref="F36:I36" si="2">IF(ISNUMBER(F11),F11-F20-F33,F35-F20-F33)</f>
        <v>23.363757595344417</v>
      </c>
      <c r="G36" s="618">
        <f t="shared" si="2"/>
        <v>9.4842030141816167</v>
      </c>
      <c r="H36" s="618">
        <f t="shared" si="2"/>
        <v>5.2548939229068683</v>
      </c>
      <c r="I36" s="618">
        <f t="shared" si="2"/>
        <v>5.2206381813326121</v>
      </c>
    </row>
    <row r="37" spans="2:11" ht="12.75" customHeight="1">
      <c r="B37" s="500"/>
      <c r="C37" s="500"/>
      <c r="D37" s="29"/>
      <c r="E37" s="610"/>
      <c r="F37" s="610"/>
      <c r="G37" s="610"/>
      <c r="H37" s="610"/>
      <c r="I37" s="610"/>
    </row>
    <row r="38" spans="2:11">
      <c r="B38" s="101" t="s">
        <v>732</v>
      </c>
      <c r="D38" s="120" t="s">
        <v>733</v>
      </c>
      <c r="E38" s="620">
        <f t="shared" ref="E38:I38" si="3">INDEX(real_to_nominal_CF,MATCH(E$6,calendar_year,0))</f>
        <v>1.2806226704273584</v>
      </c>
      <c r="F38" s="620">
        <f t="shared" si="3"/>
        <v>1.321792585589326</v>
      </c>
      <c r="G38" s="620">
        <f t="shared" si="3"/>
        <v>1.3718374525227366</v>
      </c>
      <c r="H38" s="620">
        <f t="shared" si="3"/>
        <v>1.4112457723935923</v>
      </c>
      <c r="I38" s="620">
        <f t="shared" si="3"/>
        <v>1.4390680908631575</v>
      </c>
    </row>
    <row r="39" spans="2:11">
      <c r="B39" s="500"/>
      <c r="C39" s="500"/>
      <c r="D39" s="29"/>
      <c r="E39" s="29"/>
      <c r="F39" s="29"/>
      <c r="G39" s="29"/>
      <c r="H39" s="29"/>
      <c r="I39" s="29"/>
    </row>
    <row r="40" spans="2:11">
      <c r="B40" s="537" t="s">
        <v>864</v>
      </c>
      <c r="C40" s="537"/>
      <c r="D40" s="567" t="str">
        <f>Data!$C$9</f>
        <v>£m 20/21</v>
      </c>
      <c r="E40" s="618">
        <f>Adjusted_regulated_tax_liability/E38</f>
        <v>10.985937620827515</v>
      </c>
      <c r="F40" s="618">
        <f>Adjusted_regulated_tax_liability/F38</f>
        <v>17.675812264393663</v>
      </c>
      <c r="G40" s="618">
        <f>Adjusted_regulated_tax_liability/G38</f>
        <v>6.9135034888722924</v>
      </c>
      <c r="H40" s="618">
        <f>Adjusted_regulated_tax_liability/H38</f>
        <v>3.7235852363221777</v>
      </c>
      <c r="I40" s="618">
        <f>Adjusted_regulated_tax_liability/I38</f>
        <v>3.6277909394831047</v>
      </c>
    </row>
    <row r="41" spans="2:11">
      <c r="B41" s="537"/>
      <c r="C41" s="537"/>
      <c r="D41" s="537"/>
      <c r="E41" s="537"/>
      <c r="F41" s="537"/>
      <c r="G41" s="537"/>
      <c r="H41" s="537"/>
      <c r="I41" s="537"/>
    </row>
    <row r="42" spans="2:11">
      <c r="B42" s="513" t="s">
        <v>865</v>
      </c>
      <c r="C42" s="513"/>
      <c r="D42" s="567"/>
      <c r="E42" s="567"/>
      <c r="F42" s="567"/>
      <c r="G42" s="567"/>
      <c r="H42" s="567"/>
      <c r="I42" s="567"/>
    </row>
    <row r="43" spans="2:11">
      <c r="B43" s="514" t="s">
        <v>738</v>
      </c>
      <c r="C43" s="514"/>
      <c r="D43" s="537"/>
      <c r="E43" s="537"/>
      <c r="F43" s="537"/>
      <c r="G43" s="537"/>
      <c r="H43" s="537"/>
      <c r="I43" s="537"/>
      <c r="K43" s="537"/>
    </row>
    <row r="44" spans="2:11">
      <c r="K44" s="537"/>
    </row>
    <row r="45" spans="2:11" ht="12.75" customHeight="1">
      <c r="B45" s="77" t="s">
        <v>24</v>
      </c>
      <c r="C45" s="77"/>
      <c r="D45" s="407" t="s">
        <v>538</v>
      </c>
      <c r="E45" s="91">
        <f>Data!$C$8</f>
        <v>0.6</v>
      </c>
      <c r="F45" s="92">
        <f>Data!$C$8</f>
        <v>0.6</v>
      </c>
      <c r="G45" s="92">
        <f>Data!$C$8</f>
        <v>0.6</v>
      </c>
      <c r="H45" s="92">
        <f>Data!$C$8</f>
        <v>0.6</v>
      </c>
      <c r="I45" s="92">
        <f>Data!$C$8</f>
        <v>0.6</v>
      </c>
      <c r="K45" s="537"/>
    </row>
    <row r="46" spans="2:11" ht="12.75" customHeight="1">
      <c r="B46" s="77" t="s">
        <v>739</v>
      </c>
      <c r="C46" s="77"/>
      <c r="D46" s="407" t="s">
        <v>538</v>
      </c>
      <c r="E46" s="92">
        <f>'R6 - Net Debt'!D68</f>
        <v>0.53800873156504336</v>
      </c>
      <c r="F46" s="92">
        <f>'R6 - Net Debt'!E68</f>
        <v>0.54700293539852352</v>
      </c>
      <c r="G46" s="92">
        <f>'R6 - Net Debt'!F68</f>
        <v>0.55198145944430599</v>
      </c>
      <c r="H46" s="92">
        <f>'R6 - Net Debt'!G68</f>
        <v>0.59514000949788137</v>
      </c>
      <c r="I46" s="92">
        <f>'R6 - Net Debt'!H68</f>
        <v>0.61154019610114185</v>
      </c>
      <c r="K46" s="537"/>
    </row>
    <row r="47" spans="2:11" ht="12.75" customHeight="1">
      <c r="B47" s="77"/>
      <c r="C47" s="77"/>
      <c r="D47" s="407"/>
      <c r="E47" s="407"/>
      <c r="F47" s="407"/>
      <c r="G47" s="407"/>
      <c r="H47" s="407"/>
      <c r="I47" s="407"/>
      <c r="K47" s="537"/>
    </row>
    <row r="48" spans="2:11" ht="12.75" customHeight="1">
      <c r="B48" s="537" t="s">
        <v>864</v>
      </c>
      <c r="C48" s="537"/>
      <c r="D48" s="29" t="s">
        <v>575</v>
      </c>
      <c r="E48" s="618">
        <f>E36</f>
        <v>14.068840773132514</v>
      </c>
      <c r="F48" s="618">
        <f>F36</f>
        <v>23.363757595344417</v>
      </c>
      <c r="G48" s="618">
        <f>G36</f>
        <v>9.4842030141816167</v>
      </c>
      <c r="H48" s="618">
        <f>H36</f>
        <v>5.2548939229068683</v>
      </c>
      <c r="I48" s="618">
        <f>I36</f>
        <v>5.2206381813326121</v>
      </c>
      <c r="K48" s="537"/>
    </row>
    <row r="49" spans="2:11">
      <c r="B49" s="77" t="s">
        <v>866</v>
      </c>
      <c r="C49" s="77"/>
      <c r="D49" s="29" t="s">
        <v>575</v>
      </c>
      <c r="E49" s="618">
        <f>E66-E68</f>
        <v>0.85886291427831019</v>
      </c>
      <c r="F49" s="618">
        <f>F66-F68</f>
        <v>-0.14130158713154817</v>
      </c>
      <c r="G49" s="618">
        <f>G66-G68</f>
        <v>-0.10007669798441032</v>
      </c>
      <c r="H49" s="618">
        <f>H66-H68</f>
        <v>-1.9498811962610496E-2</v>
      </c>
      <c r="I49" s="618">
        <f>I66-I68</f>
        <v>0.13973469428594498</v>
      </c>
      <c r="K49" s="537"/>
    </row>
    <row r="50" spans="2:11">
      <c r="B50" s="77" t="s">
        <v>867</v>
      </c>
      <c r="C50" s="77"/>
      <c r="D50" s="29" t="s">
        <v>575</v>
      </c>
      <c r="E50" s="618">
        <f>SUM(E48:E49)</f>
        <v>14.927703687410824</v>
      </c>
      <c r="F50" s="618">
        <f>SUM(F48:F49)</f>
        <v>23.22245600821287</v>
      </c>
      <c r="G50" s="618">
        <f>SUM(G48:G49)</f>
        <v>9.3841263161972073</v>
      </c>
      <c r="H50" s="618">
        <f>SUM(H48:H49)</f>
        <v>5.2353951109442578</v>
      </c>
      <c r="I50" s="618">
        <f>SUM(I48:I49)</f>
        <v>5.3603728756185571</v>
      </c>
    </row>
    <row r="52" spans="2:11">
      <c r="B52" s="77" t="s">
        <v>867</v>
      </c>
      <c r="C52" s="77"/>
      <c r="D52" s="567" t="str">
        <f>Data!$C$9</f>
        <v>£m 20/21</v>
      </c>
      <c r="E52" s="618">
        <f>E50/E38</f>
        <v>11.656598022295887</v>
      </c>
      <c r="F52" s="618">
        <f>F50/F38</f>
        <v>17.568910781761613</v>
      </c>
      <c r="G52" s="618">
        <f>G50/G38</f>
        <v>6.8405526463359747</v>
      </c>
      <c r="H52" s="618">
        <f>H50/H38</f>
        <v>3.7097684991215845</v>
      </c>
      <c r="I52" s="618">
        <f>I50/I38</f>
        <v>3.7248917613087986</v>
      </c>
    </row>
    <row r="54" spans="2:11">
      <c r="B54" s="614" t="s">
        <v>868</v>
      </c>
      <c r="C54" s="614"/>
      <c r="D54" s="615"/>
      <c r="E54" s="615"/>
      <c r="F54" s="615"/>
      <c r="G54" s="615"/>
      <c r="H54" s="615"/>
      <c r="I54" s="615"/>
      <c r="K54" s="537"/>
    </row>
    <row r="55" spans="2:11" ht="12.75" customHeight="1">
      <c r="D55" s="567"/>
      <c r="E55" s="616"/>
      <c r="F55" s="616"/>
      <c r="G55" s="616"/>
      <c r="H55" s="616"/>
      <c r="I55" s="616"/>
    </row>
    <row r="56" spans="2:11">
      <c r="B56" s="101" t="s">
        <v>869</v>
      </c>
      <c r="D56" s="567" t="str">
        <f>Data!$C$9</f>
        <v>£m 20/21</v>
      </c>
      <c r="E56" s="576">
        <v>11.809459928647367</v>
      </c>
      <c r="F56" s="576">
        <v>9.5536091607001001</v>
      </c>
      <c r="G56" s="576">
        <v>7.3158573754247334</v>
      </c>
      <c r="H56" s="576">
        <v>3.7302637900882534</v>
      </c>
      <c r="I56" s="576">
        <v>2.8962405776508082</v>
      </c>
    </row>
    <row r="57" spans="2:11">
      <c r="D57" s="567"/>
      <c r="E57" s="567"/>
      <c r="F57" s="567"/>
      <c r="G57" s="567"/>
      <c r="H57" s="567"/>
      <c r="I57" s="567"/>
    </row>
    <row r="58" spans="2:11">
      <c r="B58" s="523" t="s">
        <v>747</v>
      </c>
      <c r="C58" s="523"/>
      <c r="D58" s="523"/>
      <c r="E58" s="523"/>
      <c r="F58" s="523"/>
      <c r="G58" s="523"/>
      <c r="H58" s="523"/>
      <c r="I58" s="523"/>
    </row>
    <row r="60" spans="2:11">
      <c r="B60" s="371" t="s">
        <v>870</v>
      </c>
      <c r="C60" s="371"/>
      <c r="D60" s="617" t="str">
        <f>Data!$C$9</f>
        <v>£m 20/21</v>
      </c>
      <c r="E60" s="450">
        <f>E$56-E40</f>
        <v>0.82352230781985192</v>
      </c>
      <c r="F60" s="450">
        <f>F$56-F40</f>
        <v>-8.1222031036935629</v>
      </c>
      <c r="G60" s="450">
        <f>G$56-G40</f>
        <v>0.40235388655244098</v>
      </c>
      <c r="H60" s="450">
        <f>H$56-H40</f>
        <v>6.6785537660756233E-3</v>
      </c>
      <c r="I60" s="450">
        <f>I$56-I40</f>
        <v>-0.73155036183229649</v>
      </c>
    </row>
    <row r="61" spans="2:11">
      <c r="B61" s="371"/>
      <c r="C61" s="371"/>
      <c r="D61" s="371"/>
      <c r="E61" s="371"/>
      <c r="F61" s="371"/>
      <c r="G61" s="371"/>
      <c r="H61" s="371"/>
      <c r="I61" s="371"/>
    </row>
    <row r="62" spans="2:11">
      <c r="B62" s="371" t="s">
        <v>871</v>
      </c>
      <c r="C62" s="371"/>
      <c r="D62" s="617" t="str">
        <f>Data!$C$9</f>
        <v>£m 20/21</v>
      </c>
      <c r="E62" s="450">
        <f>E$56-E52</f>
        <v>0.15286190635148067</v>
      </c>
      <c r="F62" s="450">
        <f>F$56-F52</f>
        <v>-8.0153016210615124</v>
      </c>
      <c r="G62" s="450">
        <f>G$56-G52</f>
        <v>0.47530472908875865</v>
      </c>
      <c r="H62" s="450">
        <f>H$56-H52</f>
        <v>2.0495290966668911E-2</v>
      </c>
      <c r="I62" s="450">
        <f>I$56-I52</f>
        <v>-0.8286511836579904</v>
      </c>
    </row>
    <row r="64" spans="2:11">
      <c r="B64" s="371" t="s">
        <v>872</v>
      </c>
      <c r="C64" s="371"/>
      <c r="D64" s="617" t="str">
        <f>Data!$C$9</f>
        <v>£m 20/21</v>
      </c>
      <c r="E64" s="450">
        <f>E60-E62</f>
        <v>0.67066040146837125</v>
      </c>
      <c r="F64" s="487">
        <f>F60-F62</f>
        <v>-0.10690148263205046</v>
      </c>
      <c r="G64" s="487">
        <f>G60-G62</f>
        <v>-7.2950842536317673E-2</v>
      </c>
      <c r="H64" s="487">
        <f>H60-H62</f>
        <v>-1.3816737200593288E-2</v>
      </c>
      <c r="I64" s="487">
        <f>I60-I62</f>
        <v>9.7100821825693906E-2</v>
      </c>
    </row>
    <row r="66" spans="2:10">
      <c r="B66" s="101" t="s">
        <v>873</v>
      </c>
      <c r="D66" s="29" t="s">
        <v>575</v>
      </c>
      <c r="E66" s="621">
        <f>-('R5 - Financing'!D83*INDEX(Corporate_Tax,MATCH(E$6,Data!$C$18:$N$18,0))*'R8 - Tax'!E$38)</f>
        <v>-15.05502814443502</v>
      </c>
      <c r="F66" s="621">
        <f>-('R5 - Financing'!E83*INDEX(Corporate_Tax,MATCH(F$6,Data!$C$18:$N$18,0))*'R8 - Tax'!F$38)</f>
        <v>-6.8529272670644694</v>
      </c>
      <c r="G66" s="621">
        <f>-('R5 - Financing'!F83*INDEX(Corporate_Tax,MATCH(G$6,Data!$C$18:$N$18,0))*'R8 - Tax'!G$38)</f>
        <v>-7.9553550834433615</v>
      </c>
      <c r="H66" s="621">
        <f>-('R5 - Financing'!G83*INDEX(Corporate_Tax,MATCH(H$6,Data!$C$18:$N$18,0))*'R8 - Tax'!H$38)</f>
        <v>-7.4823869201431252</v>
      </c>
      <c r="I66" s="621">
        <f>-('R5 - Financing'!H83*INDEX(Corporate_Tax,MATCH(I$6,Data!$C$18:$N$18,0))*'R8 - Tax'!I$38)</f>
        <v>-3.1931305787024811</v>
      </c>
      <c r="J66" s="101" t="s">
        <v>874</v>
      </c>
    </row>
    <row r="67" spans="2:10">
      <c r="B67" s="101" t="s">
        <v>873</v>
      </c>
      <c r="D67" s="567" t="str">
        <f>Data!$C$9</f>
        <v>£m 20/21</v>
      </c>
      <c r="E67" s="618">
        <f>E66/E$38</f>
        <v>-11.756021888485689</v>
      </c>
      <c r="F67" s="618">
        <f>F66/F$38</f>
        <v>-5.1845708182793802</v>
      </c>
      <c r="G67" s="618">
        <f>G66/G$38</f>
        <v>-5.7990508050453675</v>
      </c>
      <c r="H67" s="618">
        <f>H66/H$38</f>
        <v>-5.3019729564556028</v>
      </c>
      <c r="I67" s="618">
        <f>I66/I$38</f>
        <v>-2.2188877642247156</v>
      </c>
    </row>
    <row r="68" spans="2:10">
      <c r="B68" s="101" t="s">
        <v>875</v>
      </c>
      <c r="D68" s="29" t="s">
        <v>575</v>
      </c>
      <c r="E68" s="621">
        <f>-('R5 - Financing'!D85*INDEX(Corporate_Tax,MATCH(E$6,Data!$C$18:$N$18,0))*'R8 - Tax'!E$38)</f>
        <v>-15.913891058713331</v>
      </c>
      <c r="F68" s="621">
        <f>-('R5 - Financing'!E85*INDEX(Corporate_Tax,MATCH(F$6,Data!$C$18:$N$18,0))*'R8 - Tax'!F$38)</f>
        <v>-6.7116256799329213</v>
      </c>
      <c r="G68" s="621">
        <f>-('R5 - Financing'!F85*INDEX(Corporate_Tax,MATCH(G$6,Data!$C$18:$N$18,0))*'R8 - Tax'!G$38)</f>
        <v>-7.8552783854589512</v>
      </c>
      <c r="H68" s="621">
        <f>-('R5 - Financing'!G85*INDEX(Corporate_Tax,MATCH(H$6,Data!$C$18:$N$18,0))*'R8 - Tax'!H$38)</f>
        <v>-7.4628881081805147</v>
      </c>
      <c r="I68" s="621">
        <f>-('R5 - Financing'!H85*INDEX(Corporate_Tax,MATCH(I$6,Data!$C$18:$N$18,0))*'R8 - Tax'!I$38)</f>
        <v>-3.3328652729884261</v>
      </c>
      <c r="J68" s="101" t="s">
        <v>874</v>
      </c>
    </row>
    <row r="69" spans="2:10">
      <c r="B69" s="101" t="s">
        <v>875</v>
      </c>
      <c r="D69" s="567" t="str">
        <f>Data!$C$9</f>
        <v>£m 20/21</v>
      </c>
      <c r="E69" s="618">
        <f>E68/E$38</f>
        <v>-12.42668228995406</v>
      </c>
      <c r="F69" s="618">
        <f>F68/F$38</f>
        <v>-5.0776693356473315</v>
      </c>
      <c r="G69" s="618">
        <f>G68/G$38</f>
        <v>-5.726099962509049</v>
      </c>
      <c r="H69" s="618">
        <f>H68/H$38</f>
        <v>-5.2881562192550096</v>
      </c>
      <c r="I69" s="618">
        <f>I68/I$38</f>
        <v>-2.3159885860504095</v>
      </c>
    </row>
    <row r="70" spans="2:10">
      <c r="B70" s="101" t="s">
        <v>876</v>
      </c>
      <c r="D70" s="567" t="str">
        <f>Data!$C$9</f>
        <v>£m 20/21</v>
      </c>
      <c r="E70" s="618">
        <f>E67-E69</f>
        <v>0.67066040146837125</v>
      </c>
      <c r="F70" s="618">
        <f>F67-F69</f>
        <v>-0.10690148263204868</v>
      </c>
      <c r="G70" s="618">
        <f>G67-G69</f>
        <v>-7.2950842536318561E-2</v>
      </c>
      <c r="H70" s="618">
        <f>H67-H69</f>
        <v>-1.3816737200593288E-2</v>
      </c>
      <c r="I70" s="618">
        <f>I67-I69</f>
        <v>9.7100821825693906E-2</v>
      </c>
    </row>
  </sheetData>
  <sheetProtection insertRows="0" sort="0" autoFilter="0" pivotTables="0"/>
  <phoneticPr fontId="250" type="noConversion"/>
  <conditionalFormatting sqref="E7:I7">
    <cfRule type="expression" dxfId="21" priority="15">
      <formula>AND(E$5="Actuals",F$5="Forecast")</formula>
    </cfRule>
  </conditionalFormatting>
  <conditionalFormatting sqref="E11:I11 E16:I19">
    <cfRule type="expression" dxfId="20" priority="10">
      <formula>E$5="Forecast"</formula>
    </cfRule>
  </conditionalFormatting>
  <conditionalFormatting sqref="E23:I32">
    <cfRule type="expression" dxfId="19" priority="13">
      <formula>E$5="Forecast"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ignoredErrors>
    <ignoredError sqref="F46:I46" evalError="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2"/>
  <sheetViews>
    <sheetView zoomScale="80" zoomScaleNormal="80" workbookViewId="0">
      <selection activeCell="D49" sqref="D49:I62"/>
    </sheetView>
  </sheetViews>
  <sheetFormatPr defaultColWidth="9" defaultRowHeight="12.75"/>
  <cols>
    <col min="1" max="1" width="8.375" style="101" customWidth="1"/>
    <col min="2" max="2" width="83" style="101" customWidth="1"/>
    <col min="3" max="3" width="15.125" style="101" customWidth="1"/>
    <col min="4" max="4" width="14.75" style="101" customWidth="1"/>
    <col min="5" max="5" width="14.875" style="101" customWidth="1"/>
    <col min="6" max="6" width="14.375" style="101" customWidth="1"/>
    <col min="7" max="8" width="11.125" style="101" customWidth="1"/>
    <col min="9" max="9" width="9.125" style="101" bestFit="1" customWidth="1"/>
    <col min="10" max="13" width="9" style="101"/>
    <col min="14" max="14" width="13.125" style="101" customWidth="1"/>
    <col min="15" max="16384" width="9" style="101"/>
  </cols>
  <sheetData>
    <row r="1" spans="1:15" ht="20.25">
      <c r="A1" s="826" t="s">
        <v>273</v>
      </c>
      <c r="B1" s="867"/>
      <c r="C1" s="862"/>
      <c r="D1" s="862"/>
      <c r="E1" s="862"/>
      <c r="F1" s="862"/>
      <c r="G1" s="862"/>
      <c r="H1" s="862"/>
      <c r="I1" s="396"/>
    </row>
    <row r="2" spans="1:15" ht="20.25">
      <c r="A2" s="827" t="str">
        <f>Licensee</f>
        <v>NGED-SWALES</v>
      </c>
      <c r="B2" s="284"/>
      <c r="C2" s="285"/>
      <c r="D2" s="285"/>
      <c r="E2" s="285"/>
      <c r="F2" s="285"/>
      <c r="G2" s="285"/>
      <c r="H2" s="285"/>
      <c r="I2" s="287"/>
    </row>
    <row r="3" spans="1:15" ht="20.25">
      <c r="A3" s="828">
        <f>Reporting_Year</f>
        <v>2026</v>
      </c>
      <c r="B3" s="288"/>
      <c r="C3" s="288"/>
      <c r="D3" s="288"/>
      <c r="E3" s="288"/>
      <c r="F3" s="288"/>
      <c r="G3" s="288"/>
      <c r="H3" s="288"/>
      <c r="I3" s="290"/>
    </row>
    <row r="4" spans="1:15" s="292" customFormat="1" ht="12.75" customHeight="1"/>
    <row r="5" spans="1:15" s="292" customFormat="1">
      <c r="B5" s="419"/>
      <c r="C5" s="419"/>
      <c r="D5" s="291" t="str">
        <f t="shared" ref="D5:H5" si="0">IF(D6&lt;=Reporting_Year,"Actuals","Forecast")</f>
        <v>Actuals</v>
      </c>
      <c r="E5" s="291" t="str">
        <f t="shared" si="0"/>
        <v>Actuals</v>
      </c>
      <c r="F5" s="291" t="str">
        <f t="shared" si="0"/>
        <v>Actuals</v>
      </c>
      <c r="G5" s="291" t="str">
        <f t="shared" si="0"/>
        <v>Forecast</v>
      </c>
      <c r="H5" s="291" t="str">
        <f t="shared" si="0"/>
        <v>Forecast</v>
      </c>
    </row>
    <row r="6" spans="1:15" s="292" customFormat="1">
      <c r="D6" s="397">
        <f>'RFPR cover'!$C$6</f>
        <v>2024</v>
      </c>
      <c r="E6" s="398">
        <f>D6+1</f>
        <v>2025</v>
      </c>
      <c r="F6" s="398">
        <f t="shared" ref="F6:H6" si="1">E6+1</f>
        <v>2026</v>
      </c>
      <c r="G6" s="398">
        <f t="shared" si="1"/>
        <v>2027</v>
      </c>
      <c r="H6" s="398">
        <f t="shared" si="1"/>
        <v>2028</v>
      </c>
    </row>
    <row r="7" spans="1:15" s="292" customFormat="1">
      <c r="D7" s="397" t="str">
        <f>RIIO_2_start_date-1&amp;"/"&amp;RIGHT(RIIO_2_start_date,2)</f>
        <v>2023/24</v>
      </c>
      <c r="E7" s="397" t="str">
        <f>RIIO_2_start_date&amp;"/"&amp;RIGHT(RIIO_2_start_date+1,2)</f>
        <v>2024/25</v>
      </c>
      <c r="F7" s="397" t="str">
        <f>RIIO_2_start_date+1&amp;"/"&amp;RIGHT(RIIO_2_start_date+2,2)</f>
        <v>2025/26</v>
      </c>
      <c r="G7" s="397" t="str">
        <f>RIIO_2_start_date+2&amp;"/"&amp;RIGHT(RIIO_2_start_date+3,2)</f>
        <v>2026/27</v>
      </c>
      <c r="H7" s="495" t="str">
        <f>RIIO_2_start_date+3&amp;"/"&amp;RIGHT(RIIO_2_start_date+4,2)</f>
        <v>2027/28</v>
      </c>
    </row>
    <row r="8" spans="1:15" s="292" customFormat="1"/>
    <row r="9" spans="1:15" s="292" customFormat="1">
      <c r="A9" s="622" t="s">
        <v>878</v>
      </c>
      <c r="B9" s="623"/>
      <c r="C9" s="297"/>
      <c r="D9" s="297"/>
      <c r="E9" s="297"/>
      <c r="F9" s="297"/>
      <c r="G9" s="297"/>
      <c r="H9" s="297"/>
    </row>
    <row r="10" spans="1:15" s="292" customFormat="1"/>
    <row r="11" spans="1:15">
      <c r="B11" s="371" t="s">
        <v>879</v>
      </c>
      <c r="C11" s="29" t="s">
        <v>575</v>
      </c>
      <c r="D11" s="608">
        <v>60</v>
      </c>
      <c r="E11" s="608">
        <v>55</v>
      </c>
      <c r="F11" s="608">
        <v>35</v>
      </c>
      <c r="G11" s="608"/>
      <c r="H11" s="608"/>
      <c r="J11" s="292"/>
    </row>
    <row r="12" spans="1:15">
      <c r="B12" s="357" t="s">
        <v>880</v>
      </c>
      <c r="C12" s="371"/>
      <c r="D12" s="585"/>
      <c r="E12" s="585"/>
      <c r="F12" s="585"/>
      <c r="G12" s="585"/>
      <c r="H12" s="585"/>
      <c r="J12" s="292"/>
    </row>
    <row r="13" spans="1:15">
      <c r="B13" s="499" t="s">
        <v>986</v>
      </c>
      <c r="C13" s="29" t="s">
        <v>575</v>
      </c>
      <c r="D13" s="608">
        <v>2.2982819540275932</v>
      </c>
      <c r="E13" s="608">
        <v>1.2487550959579377</v>
      </c>
      <c r="F13" s="608">
        <v>0.50766770100968672</v>
      </c>
      <c r="G13" s="608"/>
      <c r="H13" s="608"/>
      <c r="J13" s="292"/>
    </row>
    <row r="14" spans="1:15">
      <c r="B14" s="499" t="s">
        <v>860</v>
      </c>
      <c r="C14" s="29" t="s">
        <v>575</v>
      </c>
      <c r="D14" s="608">
        <v>0</v>
      </c>
      <c r="E14" s="608">
        <v>0</v>
      </c>
      <c r="F14" s="608">
        <v>0</v>
      </c>
      <c r="G14" s="608"/>
      <c r="H14" s="608"/>
      <c r="J14" s="292"/>
    </row>
    <row r="15" spans="1:15">
      <c r="B15" s="499" t="s">
        <v>861</v>
      </c>
      <c r="C15" s="29" t="s">
        <v>575</v>
      </c>
      <c r="D15" s="608">
        <v>0</v>
      </c>
      <c r="E15" s="608">
        <v>0</v>
      </c>
      <c r="F15" s="608">
        <v>0</v>
      </c>
      <c r="G15" s="608"/>
      <c r="H15" s="608"/>
      <c r="J15" s="292"/>
      <c r="N15" s="624"/>
    </row>
    <row r="16" spans="1:15">
      <c r="B16" s="371" t="s">
        <v>881</v>
      </c>
      <c r="C16" s="29" t="s">
        <v>575</v>
      </c>
      <c r="D16" s="618">
        <f>D11-SUM(D13:D15)</f>
        <v>57.701718045972406</v>
      </c>
      <c r="E16" s="618">
        <f t="shared" ref="E16:H16" si="2">E11-SUM(E13:E15)</f>
        <v>53.751244904042061</v>
      </c>
      <c r="F16" s="618">
        <f t="shared" si="2"/>
        <v>34.492332298990313</v>
      </c>
      <c r="G16" s="618">
        <f t="shared" si="2"/>
        <v>0</v>
      </c>
      <c r="H16" s="618">
        <f t="shared" si="2"/>
        <v>0</v>
      </c>
      <c r="J16" s="292"/>
      <c r="O16" s="625"/>
    </row>
    <row r="17" spans="1:14">
      <c r="C17" s="371"/>
      <c r="J17" s="292"/>
      <c r="N17" s="624"/>
    </row>
    <row r="18" spans="1:14">
      <c r="B18" s="371" t="s">
        <v>882</v>
      </c>
      <c r="C18" s="29" t="s">
        <v>575</v>
      </c>
      <c r="D18" s="608">
        <v>0</v>
      </c>
      <c r="E18" s="608">
        <v>0</v>
      </c>
      <c r="F18" s="608"/>
      <c r="G18" s="608"/>
      <c r="H18" s="608"/>
      <c r="J18" s="292"/>
    </row>
    <row r="19" spans="1:14">
      <c r="J19" s="292"/>
    </row>
    <row r="22" spans="1:14">
      <c r="A22" s="622" t="s">
        <v>883</v>
      </c>
      <c r="B22" s="626"/>
      <c r="C22" s="297"/>
      <c r="D22" s="297"/>
      <c r="E22" s="297"/>
      <c r="F22" s="297"/>
      <c r="G22" s="297"/>
      <c r="H22" s="297"/>
    </row>
    <row r="23" spans="1:14">
      <c r="D23" s="939" t="str">
        <f>Reporting_Year&amp;" "&amp;"- Actuals"</f>
        <v>2026 - Actuals</v>
      </c>
      <c r="E23" s="940"/>
      <c r="F23" s="940"/>
      <c r="G23" s="940"/>
      <c r="H23" s="941"/>
    </row>
    <row r="24" spans="1:14">
      <c r="D24" s="627" t="s">
        <v>884</v>
      </c>
      <c r="E24" s="627" t="s">
        <v>885</v>
      </c>
      <c r="F24" s="627" t="s">
        <v>886</v>
      </c>
      <c r="G24" s="627" t="s">
        <v>887</v>
      </c>
      <c r="H24" s="627" t="s">
        <v>888</v>
      </c>
      <c r="I24" s="627" t="s">
        <v>1026</v>
      </c>
    </row>
    <row r="25" spans="1:14" ht="35.25" customHeight="1">
      <c r="C25" s="101" t="s">
        <v>889</v>
      </c>
      <c r="D25" s="628" t="s">
        <v>1027</v>
      </c>
      <c r="E25" s="628" t="s">
        <v>1028</v>
      </c>
      <c r="F25" s="628" t="s">
        <v>1029</v>
      </c>
      <c r="G25" s="628" t="s">
        <v>1030</v>
      </c>
      <c r="H25" s="628" t="s">
        <v>1031</v>
      </c>
      <c r="I25" s="628" t="s">
        <v>1032</v>
      </c>
    </row>
    <row r="26" spans="1:14" ht="44.65" customHeight="1">
      <c r="B26" s="371" t="s">
        <v>890</v>
      </c>
    </row>
    <row r="27" spans="1:14">
      <c r="B27" s="101" t="s">
        <v>891</v>
      </c>
      <c r="C27" s="29" t="s">
        <v>575</v>
      </c>
      <c r="D27" s="629">
        <v>7.3366834499999992E-2</v>
      </c>
      <c r="E27" s="630">
        <v>3.5519544E-2</v>
      </c>
      <c r="F27" s="630">
        <v>3.6326813999999999E-2</v>
      </c>
      <c r="G27" s="630">
        <v>1.0962164500000003E-2</v>
      </c>
      <c r="H27" s="630">
        <v>4.4191698312499944E-2</v>
      </c>
      <c r="I27" s="630">
        <v>2.6345357999999999E-2</v>
      </c>
    </row>
    <row r="28" spans="1:14">
      <c r="B28" s="101" t="s">
        <v>892</v>
      </c>
      <c r="C28" s="29" t="s">
        <v>575</v>
      </c>
      <c r="D28" s="631">
        <v>9.3973949999999987E-2</v>
      </c>
      <c r="E28" s="632">
        <v>3.9698549999999992E-2</v>
      </c>
      <c r="F28" s="632">
        <v>2.4893249999999999E-2</v>
      </c>
      <c r="G28" s="632">
        <v>7.7037E-3</v>
      </c>
      <c r="H28" s="632">
        <v>2.2763849999999999E-2</v>
      </c>
      <c r="I28" s="632">
        <v>1.4792549999999998E-2</v>
      </c>
    </row>
    <row r="29" spans="1:14">
      <c r="B29" s="499" t="s">
        <v>861</v>
      </c>
      <c r="C29" s="29" t="s">
        <v>575</v>
      </c>
      <c r="D29" s="631"/>
      <c r="E29" s="632"/>
      <c r="F29" s="632"/>
      <c r="G29" s="632">
        <v>1.3445999999999998E-3</v>
      </c>
      <c r="H29" s="632"/>
      <c r="I29" s="632"/>
    </row>
    <row r="30" spans="1:14">
      <c r="B30" s="101" t="s">
        <v>893</v>
      </c>
      <c r="C30" s="29" t="s">
        <v>575</v>
      </c>
      <c r="D30" s="633">
        <v>1.6361999999999998E-3</v>
      </c>
      <c r="E30" s="634">
        <v>1.10655E-3</v>
      </c>
      <c r="F30" s="634">
        <v>4.1954999999999998E-4</v>
      </c>
      <c r="G30" s="634">
        <v>1.6754999999999998E-4</v>
      </c>
      <c r="H30" s="634">
        <v>3.1807799999999997E-2</v>
      </c>
      <c r="I30" s="634">
        <v>2.0064000000000002E-3</v>
      </c>
    </row>
    <row r="31" spans="1:14">
      <c r="B31" s="499" t="s">
        <v>861</v>
      </c>
      <c r="C31" s="29" t="s">
        <v>575</v>
      </c>
      <c r="D31" s="635"/>
      <c r="E31" s="636"/>
      <c r="F31" s="636"/>
      <c r="G31" s="636"/>
      <c r="H31" s="636"/>
      <c r="I31" s="636"/>
    </row>
    <row r="32" spans="1:14">
      <c r="B32" s="101" t="s">
        <v>894</v>
      </c>
      <c r="C32" s="29" t="s">
        <v>575</v>
      </c>
      <c r="D32" s="635">
        <v>8.8039499999999996E-3</v>
      </c>
      <c r="E32" s="636"/>
      <c r="F32" s="636"/>
      <c r="G32" s="636"/>
      <c r="H32" s="636">
        <v>1.5530550000000001E-2</v>
      </c>
      <c r="I32" s="636"/>
    </row>
    <row r="33" spans="2:9">
      <c r="B33" s="499" t="s">
        <v>861</v>
      </c>
      <c r="C33" s="29" t="s">
        <v>575</v>
      </c>
      <c r="D33" s="629"/>
      <c r="E33" s="630"/>
      <c r="F33" s="630"/>
      <c r="G33" s="630"/>
      <c r="H33" s="630"/>
      <c r="I33" s="630"/>
    </row>
    <row r="34" spans="2:9">
      <c r="B34" s="371" t="s">
        <v>895</v>
      </c>
      <c r="C34" s="29" t="s">
        <v>575</v>
      </c>
      <c r="D34" s="646">
        <f t="shared" ref="D34:I34" si="3">SUM(D27:D33)</f>
        <v>0.17778093449999999</v>
      </c>
      <c r="E34" s="646">
        <f t="shared" si="3"/>
        <v>7.6324643999999983E-2</v>
      </c>
      <c r="F34" s="646">
        <f t="shared" si="3"/>
        <v>6.1639613999999995E-2</v>
      </c>
      <c r="G34" s="646">
        <f t="shared" si="3"/>
        <v>2.0178014500000004E-2</v>
      </c>
      <c r="H34" s="646">
        <f t="shared" si="3"/>
        <v>0.11429389831249995</v>
      </c>
      <c r="I34" s="646">
        <f t="shared" si="3"/>
        <v>4.3144307999999999E-2</v>
      </c>
    </row>
    <row r="35" spans="2:9">
      <c r="B35" s="371" t="s">
        <v>896</v>
      </c>
      <c r="C35" s="29" t="s">
        <v>575</v>
      </c>
      <c r="D35" s="637">
        <v>0.17778093449999999</v>
      </c>
      <c r="E35" s="637">
        <v>7.6324643999999983E-2</v>
      </c>
      <c r="F35" s="637">
        <v>6.1639613999999995E-2</v>
      </c>
      <c r="G35" s="637">
        <v>2.0178014500000004E-2</v>
      </c>
      <c r="H35" s="637">
        <v>0.11429389831249995</v>
      </c>
      <c r="I35" s="637">
        <v>4.3144307999999999E-2</v>
      </c>
    </row>
    <row r="36" spans="2:9">
      <c r="B36" s="499"/>
      <c r="D36" s="638"/>
      <c r="E36" s="638"/>
      <c r="F36" s="638"/>
      <c r="G36" s="638"/>
      <c r="H36" s="638"/>
      <c r="I36" s="638"/>
    </row>
    <row r="37" spans="2:9">
      <c r="B37" s="371" t="s">
        <v>897</v>
      </c>
      <c r="D37" s="638"/>
      <c r="E37" s="638"/>
      <c r="F37" s="638"/>
      <c r="G37" s="638"/>
      <c r="H37" s="638"/>
      <c r="I37" s="638"/>
    </row>
    <row r="38" spans="2:9">
      <c r="B38" s="101" t="s">
        <v>898</v>
      </c>
      <c r="C38" s="29" t="s">
        <v>575</v>
      </c>
      <c r="D38" s="629"/>
      <c r="E38" s="630"/>
      <c r="F38" s="630"/>
      <c r="G38" s="630"/>
      <c r="H38" s="630"/>
      <c r="I38" s="630"/>
    </row>
    <row r="39" spans="2:9">
      <c r="B39" s="499" t="s">
        <v>861</v>
      </c>
      <c r="C39" s="29" t="s">
        <v>575</v>
      </c>
      <c r="D39" s="635"/>
      <c r="E39" s="636"/>
      <c r="F39" s="636"/>
      <c r="G39" s="636"/>
      <c r="H39" s="636"/>
      <c r="I39" s="636"/>
    </row>
    <row r="40" spans="2:9">
      <c r="B40" s="101" t="s">
        <v>899</v>
      </c>
      <c r="C40" s="29" t="s">
        <v>575</v>
      </c>
      <c r="D40" s="633">
        <v>0.20420370000000002</v>
      </c>
      <c r="E40" s="634">
        <v>3.5644950000000002E-2</v>
      </c>
      <c r="F40" s="634">
        <v>2.5546799999999998E-2</v>
      </c>
      <c r="G40" s="634">
        <v>1.390665E-2</v>
      </c>
      <c r="H40" s="634">
        <v>2.2277700000000001E-2</v>
      </c>
      <c r="I40" s="634">
        <v>7.2741000000000004E-3</v>
      </c>
    </row>
    <row r="41" spans="2:9">
      <c r="B41" s="499" t="s">
        <v>861</v>
      </c>
      <c r="C41" s="29" t="s">
        <v>575</v>
      </c>
      <c r="D41" s="635"/>
      <c r="E41" s="636"/>
      <c r="F41" s="636"/>
      <c r="G41" s="636"/>
      <c r="H41" s="636"/>
      <c r="I41" s="636"/>
    </row>
    <row r="42" spans="2:9">
      <c r="B42" s="371" t="s">
        <v>900</v>
      </c>
      <c r="C42" s="29" t="s">
        <v>575</v>
      </c>
      <c r="D42" s="647">
        <f t="shared" ref="D42:H42" si="4">SUM(D38:D41)</f>
        <v>0.20420370000000002</v>
      </c>
      <c r="E42" s="647">
        <f t="shared" si="4"/>
        <v>3.5644950000000002E-2</v>
      </c>
      <c r="F42" s="647">
        <f t="shared" si="4"/>
        <v>2.5546799999999998E-2</v>
      </c>
      <c r="G42" s="647">
        <f t="shared" si="4"/>
        <v>1.390665E-2</v>
      </c>
      <c r="H42" s="647">
        <f t="shared" si="4"/>
        <v>2.2277700000000001E-2</v>
      </c>
      <c r="I42" s="647">
        <f t="shared" ref="I42" si="5">SUM(I38:I41)</f>
        <v>7.2741000000000004E-3</v>
      </c>
    </row>
    <row r="43" spans="2:9">
      <c r="B43" s="371" t="s">
        <v>896</v>
      </c>
      <c r="C43" s="29" t="s">
        <v>575</v>
      </c>
      <c r="D43" s="637">
        <v>0.20420370000000002</v>
      </c>
      <c r="E43" s="637">
        <v>3.5644950000000002E-2</v>
      </c>
      <c r="F43" s="637">
        <v>2.5546799999999998E-2</v>
      </c>
      <c r="G43" s="637">
        <v>1.390665E-2</v>
      </c>
      <c r="H43" s="637">
        <v>2.2277700000000001E-2</v>
      </c>
      <c r="I43" s="637">
        <v>7.2741000000000004E-3</v>
      </c>
    </row>
    <row r="44" spans="2:9">
      <c r="D44" s="638"/>
      <c r="E44" s="638"/>
      <c r="F44" s="638"/>
      <c r="G44" s="638"/>
      <c r="H44" s="638"/>
      <c r="I44" s="638"/>
    </row>
    <row r="45" spans="2:9">
      <c r="B45" s="371" t="s">
        <v>901</v>
      </c>
      <c r="C45" s="29" t="s">
        <v>575</v>
      </c>
      <c r="D45" s="647">
        <f t="shared" ref="D45:H45" si="6">SUM(D34,D42)</f>
        <v>0.38198463449999998</v>
      </c>
      <c r="E45" s="647">
        <f t="shared" si="6"/>
        <v>0.11196959399999998</v>
      </c>
      <c r="F45" s="647">
        <f t="shared" si="6"/>
        <v>8.718641399999999E-2</v>
      </c>
      <c r="G45" s="647">
        <f t="shared" si="6"/>
        <v>3.40846645E-2</v>
      </c>
      <c r="H45" s="647">
        <f t="shared" si="6"/>
        <v>0.13657159831249996</v>
      </c>
      <c r="I45" s="647">
        <f t="shared" ref="I45" si="7">SUM(I34,I42)</f>
        <v>5.0418407999999998E-2</v>
      </c>
    </row>
    <row r="46" spans="2:9">
      <c r="B46" s="371" t="s">
        <v>902</v>
      </c>
      <c r="C46" s="29" t="s">
        <v>575</v>
      </c>
      <c r="D46" s="647">
        <f>D35+D43</f>
        <v>0.38198463449999998</v>
      </c>
      <c r="E46" s="647">
        <f t="shared" ref="E46:H46" si="8">E35+E43</f>
        <v>0.11196959399999998</v>
      </c>
      <c r="F46" s="647">
        <f t="shared" si="8"/>
        <v>8.718641399999999E-2</v>
      </c>
      <c r="G46" s="647">
        <f t="shared" si="8"/>
        <v>3.40846645E-2</v>
      </c>
      <c r="H46" s="647">
        <f t="shared" si="8"/>
        <v>0.13657159831249996</v>
      </c>
      <c r="I46" s="647">
        <f t="shared" ref="I46" si="9">I35+I43</f>
        <v>5.0418407999999998E-2</v>
      </c>
    </row>
    <row r="47" spans="2:9">
      <c r="D47" s="638"/>
      <c r="E47" s="638"/>
      <c r="F47" s="638"/>
      <c r="G47" s="638"/>
      <c r="H47" s="638"/>
      <c r="I47" s="638"/>
    </row>
    <row r="48" spans="2:9">
      <c r="B48" s="371" t="s">
        <v>903</v>
      </c>
      <c r="D48" s="638"/>
      <c r="E48" s="638"/>
      <c r="F48" s="638"/>
      <c r="G48" s="638"/>
      <c r="H48" s="638"/>
      <c r="I48" s="638"/>
    </row>
    <row r="49" spans="2:14">
      <c r="B49" s="101" t="s">
        <v>904</v>
      </c>
      <c r="C49" s="29" t="s">
        <v>905</v>
      </c>
      <c r="D49" s="629">
        <v>0</v>
      </c>
      <c r="E49" s="630">
        <v>0</v>
      </c>
      <c r="F49" s="630">
        <v>0</v>
      </c>
      <c r="G49" s="630">
        <v>0</v>
      </c>
      <c r="H49" s="630">
        <v>0</v>
      </c>
      <c r="I49" s="630">
        <v>0</v>
      </c>
    </row>
    <row r="50" spans="2:14">
      <c r="B50" s="499" t="s">
        <v>861</v>
      </c>
      <c r="C50" s="29"/>
      <c r="D50" s="629"/>
      <c r="E50" s="630"/>
      <c r="F50" s="630"/>
      <c r="G50" s="630"/>
      <c r="H50" s="630"/>
      <c r="I50" s="630"/>
    </row>
    <row r="51" spans="2:14">
      <c r="B51" s="101" t="s">
        <v>906</v>
      </c>
      <c r="C51" s="29" t="s">
        <v>538</v>
      </c>
      <c r="D51" s="629">
        <v>0</v>
      </c>
      <c r="E51" s="630">
        <v>0</v>
      </c>
      <c r="F51" s="630">
        <v>0</v>
      </c>
      <c r="G51" s="630">
        <v>0</v>
      </c>
      <c r="H51" s="630">
        <v>0</v>
      </c>
      <c r="I51" s="630">
        <v>0</v>
      </c>
    </row>
    <row r="52" spans="2:14">
      <c r="B52" s="184" t="s">
        <v>907</v>
      </c>
      <c r="C52" s="29" t="s">
        <v>538</v>
      </c>
      <c r="D52" s="629">
        <v>0</v>
      </c>
      <c r="E52" s="630">
        <v>0</v>
      </c>
      <c r="F52" s="630">
        <v>0</v>
      </c>
      <c r="G52" s="630">
        <v>0</v>
      </c>
      <c r="H52" s="630">
        <v>0</v>
      </c>
      <c r="I52" s="630">
        <v>0</v>
      </c>
    </row>
    <row r="53" spans="2:14">
      <c r="B53" s="371" t="s">
        <v>908</v>
      </c>
      <c r="C53" s="29" t="s">
        <v>575</v>
      </c>
      <c r="D53" s="629">
        <v>0</v>
      </c>
      <c r="E53" s="630">
        <v>0</v>
      </c>
      <c r="F53" s="630">
        <v>0</v>
      </c>
      <c r="G53" s="630">
        <v>0</v>
      </c>
      <c r="H53" s="630">
        <v>0</v>
      </c>
      <c r="I53" s="630">
        <v>0</v>
      </c>
    </row>
    <row r="54" spans="2:14">
      <c r="B54" s="184" t="s">
        <v>909</v>
      </c>
      <c r="C54" s="29" t="s">
        <v>910</v>
      </c>
      <c r="D54" s="629">
        <v>0</v>
      </c>
      <c r="E54" s="630">
        <v>0</v>
      </c>
      <c r="F54" s="630">
        <v>0</v>
      </c>
      <c r="G54" s="630">
        <v>0</v>
      </c>
      <c r="H54" s="630">
        <v>0</v>
      </c>
      <c r="I54" s="630">
        <v>0</v>
      </c>
    </row>
    <row r="55" spans="2:14">
      <c r="B55" s="184" t="s">
        <v>911</v>
      </c>
      <c r="C55" s="29" t="s">
        <v>912</v>
      </c>
      <c r="D55" s="629">
        <v>0</v>
      </c>
      <c r="E55" s="630">
        <v>0</v>
      </c>
      <c r="F55" s="630">
        <v>0</v>
      </c>
      <c r="G55" s="630">
        <v>0</v>
      </c>
      <c r="H55" s="630">
        <v>0</v>
      </c>
      <c r="I55" s="630">
        <v>0</v>
      </c>
    </row>
    <row r="56" spans="2:14">
      <c r="B56" s="184" t="s">
        <v>913</v>
      </c>
      <c r="C56" s="29" t="s">
        <v>910</v>
      </c>
      <c r="D56" s="629">
        <v>0</v>
      </c>
      <c r="E56" s="630">
        <v>0</v>
      </c>
      <c r="F56" s="630">
        <v>0</v>
      </c>
      <c r="G56" s="630">
        <v>0</v>
      </c>
      <c r="H56" s="630">
        <v>0</v>
      </c>
      <c r="I56" s="630">
        <v>0</v>
      </c>
    </row>
    <row r="57" spans="2:14">
      <c r="B57" s="371" t="s">
        <v>914</v>
      </c>
      <c r="C57" s="29" t="s">
        <v>575</v>
      </c>
      <c r="D57" s="648">
        <v>0</v>
      </c>
      <c r="E57" s="648">
        <v>0</v>
      </c>
      <c r="F57" s="648">
        <v>0</v>
      </c>
      <c r="G57" s="648">
        <v>0</v>
      </c>
      <c r="H57" s="648">
        <v>0</v>
      </c>
      <c r="I57" s="648">
        <v>0</v>
      </c>
    </row>
    <row r="58" spans="2:14">
      <c r="C58" s="29"/>
      <c r="D58" s="638"/>
      <c r="E58" s="638"/>
      <c r="F58" s="638"/>
      <c r="G58" s="638"/>
      <c r="H58" s="638"/>
      <c r="I58" s="638"/>
    </row>
    <row r="59" spans="2:14">
      <c r="B59" s="371" t="s">
        <v>915</v>
      </c>
      <c r="C59" s="29" t="s">
        <v>575</v>
      </c>
      <c r="D59" s="629">
        <v>0</v>
      </c>
      <c r="E59" s="630">
        <v>0</v>
      </c>
      <c r="F59" s="630">
        <v>0</v>
      </c>
      <c r="G59" s="630">
        <v>0</v>
      </c>
      <c r="H59" s="630">
        <v>0</v>
      </c>
      <c r="I59" s="630">
        <v>0</v>
      </c>
    </row>
    <row r="60" spans="2:14">
      <c r="B60" s="371"/>
      <c r="C60" s="371"/>
      <c r="D60" s="639"/>
      <c r="E60" s="639"/>
      <c r="F60" s="639"/>
      <c r="G60" s="639"/>
      <c r="H60" s="639"/>
      <c r="I60" s="639"/>
      <c r="J60" s="371"/>
      <c r="K60" s="371"/>
      <c r="L60" s="371"/>
      <c r="M60" s="371"/>
      <c r="N60" s="371"/>
    </row>
    <row r="61" spans="2:14">
      <c r="B61" s="371" t="s">
        <v>916</v>
      </c>
      <c r="C61" s="29"/>
      <c r="D61" s="648">
        <v>0</v>
      </c>
      <c r="E61" s="648">
        <v>0</v>
      </c>
      <c r="F61" s="648">
        <v>0</v>
      </c>
      <c r="G61" s="648">
        <v>0</v>
      </c>
      <c r="H61" s="648">
        <v>0</v>
      </c>
      <c r="I61" s="648">
        <v>0</v>
      </c>
    </row>
    <row r="62" spans="2:14">
      <c r="B62" s="371" t="s">
        <v>896</v>
      </c>
      <c r="C62" s="29" t="s">
        <v>575</v>
      </c>
      <c r="D62" s="629">
        <v>0</v>
      </c>
      <c r="E62" s="630">
        <v>0</v>
      </c>
      <c r="F62" s="630">
        <v>0</v>
      </c>
      <c r="G62" s="630">
        <v>0</v>
      </c>
      <c r="H62" s="630">
        <v>0</v>
      </c>
      <c r="I62" s="630">
        <v>0</v>
      </c>
    </row>
    <row r="63" spans="2:14">
      <c r="B63" s="371"/>
      <c r="C63" s="29"/>
      <c r="D63" s="639"/>
      <c r="E63" s="639"/>
      <c r="F63" s="639"/>
      <c r="G63" s="639"/>
      <c r="H63" s="639"/>
      <c r="I63" s="639"/>
      <c r="J63" s="371"/>
      <c r="K63" s="371"/>
    </row>
    <row r="64" spans="2:14">
      <c r="B64" s="371" t="s">
        <v>917</v>
      </c>
      <c r="C64" s="29" t="s">
        <v>575</v>
      </c>
      <c r="D64" s="648">
        <f>D45+D61</f>
        <v>0.38198463449999998</v>
      </c>
      <c r="E64" s="648">
        <f t="shared" ref="E64:H64" si="10">E45+E61</f>
        <v>0.11196959399999998</v>
      </c>
      <c r="F64" s="648">
        <f t="shared" si="10"/>
        <v>8.718641399999999E-2</v>
      </c>
      <c r="G64" s="648">
        <f t="shared" si="10"/>
        <v>3.40846645E-2</v>
      </c>
      <c r="H64" s="648">
        <f t="shared" si="10"/>
        <v>0.13657159831249996</v>
      </c>
      <c r="I64" s="648">
        <f t="shared" ref="I64" si="11">I45+I61</f>
        <v>5.0418407999999998E-2</v>
      </c>
    </row>
    <row r="65" spans="1:12">
      <c r="B65" s="371" t="s">
        <v>918</v>
      </c>
      <c r="C65" s="29" t="s">
        <v>575</v>
      </c>
      <c r="D65" s="648">
        <f>D46+D62</f>
        <v>0.38198463449999998</v>
      </c>
      <c r="E65" s="648">
        <f t="shared" ref="E65:H65" si="12">E46+E62</f>
        <v>0.11196959399999998</v>
      </c>
      <c r="F65" s="648">
        <f t="shared" si="12"/>
        <v>8.718641399999999E-2</v>
      </c>
      <c r="G65" s="648">
        <f t="shared" si="12"/>
        <v>3.40846645E-2</v>
      </c>
      <c r="H65" s="648">
        <f t="shared" si="12"/>
        <v>0.13657159831249996</v>
      </c>
      <c r="I65" s="648">
        <f t="shared" ref="I65" si="13">I46+I62</f>
        <v>5.0418407999999998E-2</v>
      </c>
      <c r="J65" s="371"/>
    </row>
    <row r="66" spans="1:12">
      <c r="B66" s="371"/>
      <c r="C66" s="29"/>
      <c r="D66" s="481"/>
      <c r="E66" s="481"/>
      <c r="F66" s="481"/>
      <c r="G66" s="481"/>
      <c r="H66" s="481"/>
      <c r="J66" s="371"/>
    </row>
    <row r="67" spans="1:12">
      <c r="B67" s="371" t="s">
        <v>919</v>
      </c>
      <c r="C67" s="29"/>
      <c r="D67" s="481"/>
      <c r="E67" s="481"/>
      <c r="F67" s="481"/>
      <c r="G67" s="481"/>
      <c r="H67" s="481"/>
      <c r="I67" s="481"/>
      <c r="J67" s="481"/>
      <c r="K67" s="481"/>
    </row>
    <row r="68" spans="1:12">
      <c r="B68" s="101" t="s">
        <v>920</v>
      </c>
      <c r="C68" s="29"/>
      <c r="D68" s="435">
        <v>8.3252431635453021</v>
      </c>
      <c r="E68" s="481"/>
      <c r="F68" s="481"/>
      <c r="G68" s="481"/>
      <c r="H68" s="481"/>
      <c r="I68" s="481"/>
      <c r="J68" s="481"/>
      <c r="K68" s="481"/>
    </row>
    <row r="69" spans="1:12">
      <c r="B69" s="101" t="s">
        <v>921</v>
      </c>
      <c r="C69" s="29"/>
      <c r="D69" s="435">
        <v>6.4421661541959079</v>
      </c>
      <c r="E69" s="481"/>
      <c r="F69" s="481"/>
      <c r="G69" s="481"/>
      <c r="H69" s="481"/>
      <c r="I69" s="481"/>
      <c r="J69" s="481"/>
      <c r="K69" s="481"/>
    </row>
    <row r="70" spans="1:12">
      <c r="B70" s="101" t="s">
        <v>922</v>
      </c>
      <c r="C70" s="29"/>
      <c r="D70" s="435">
        <v>4.9679558445409464</v>
      </c>
      <c r="E70" s="481"/>
      <c r="F70" s="481"/>
      <c r="G70" s="481"/>
      <c r="H70" s="481"/>
      <c r="I70" s="481"/>
      <c r="J70" s="481"/>
      <c r="K70" s="481"/>
    </row>
    <row r="71" spans="1:12">
      <c r="B71" s="371"/>
      <c r="C71" s="29"/>
      <c r="D71" s="481"/>
      <c r="E71" s="481"/>
      <c r="F71" s="481"/>
      <c r="G71" s="481"/>
      <c r="H71" s="481"/>
      <c r="I71" s="481"/>
      <c r="J71" s="481"/>
      <c r="K71" s="481"/>
    </row>
    <row r="72" spans="1:12">
      <c r="A72" s="370" t="s">
        <v>923</v>
      </c>
      <c r="B72" s="371"/>
      <c r="C72" s="29"/>
      <c r="D72" s="29"/>
      <c r="E72" s="481"/>
      <c r="F72" s="481"/>
      <c r="G72" s="481"/>
      <c r="H72" s="481"/>
      <c r="I72" s="481"/>
      <c r="J72" s="481"/>
      <c r="K72" s="481"/>
      <c r="L72" s="29"/>
    </row>
    <row r="73" spans="1:12">
      <c r="A73" s="370" t="s">
        <v>924</v>
      </c>
      <c r="B73" s="371"/>
      <c r="C73" s="371"/>
      <c r="D73" s="371"/>
      <c r="E73" s="481"/>
      <c r="F73" s="371"/>
      <c r="G73" s="371"/>
      <c r="H73" s="371"/>
      <c r="I73" s="371"/>
      <c r="J73" s="371"/>
    </row>
    <row r="74" spans="1:12">
      <c r="A74" s="370"/>
      <c r="B74" s="371"/>
      <c r="C74" s="371"/>
      <c r="D74" s="371"/>
      <c r="E74" s="371"/>
      <c r="F74" s="371"/>
      <c r="G74" s="371"/>
      <c r="H74" s="371"/>
      <c r="I74" s="371"/>
      <c r="J74" s="371"/>
    </row>
    <row r="75" spans="1:12">
      <c r="B75" s="371" t="s">
        <v>925</v>
      </c>
    </row>
    <row r="76" spans="1:12">
      <c r="B76" s="371"/>
    </row>
    <row r="77" spans="1:12">
      <c r="B77" s="640"/>
      <c r="C77" s="869"/>
      <c r="D77" s="869"/>
      <c r="E77" s="869"/>
      <c r="F77" s="869"/>
      <c r="G77" s="858"/>
      <c r="H77" s="641"/>
    </row>
    <row r="78" spans="1:12">
      <c r="B78" s="642"/>
      <c r="C78" s="643"/>
      <c r="D78" s="375"/>
      <c r="E78" s="376"/>
      <c r="F78" s="376"/>
      <c r="G78" s="376"/>
      <c r="H78" s="377"/>
    </row>
    <row r="79" spans="1:12">
      <c r="B79" s="642"/>
      <c r="C79" s="643"/>
      <c r="D79" s="375"/>
      <c r="E79" s="376"/>
      <c r="F79" s="376"/>
      <c r="G79" s="376"/>
      <c r="H79" s="377"/>
    </row>
    <row r="80" spans="1:12">
      <c r="B80" s="642"/>
      <c r="C80" s="643"/>
      <c r="D80" s="375"/>
      <c r="E80" s="376"/>
      <c r="F80" s="376"/>
      <c r="G80" s="376"/>
      <c r="H80" s="377"/>
    </row>
    <row r="81" spans="2:8">
      <c r="B81" s="642"/>
      <c r="C81" s="643"/>
      <c r="D81" s="375"/>
      <c r="E81" s="376"/>
      <c r="F81" s="376"/>
      <c r="G81" s="376"/>
      <c r="H81" s="377"/>
    </row>
    <row r="82" spans="2:8">
      <c r="B82" s="644"/>
      <c r="C82" s="645"/>
      <c r="D82" s="380"/>
      <c r="E82" s="381"/>
      <c r="F82" s="381"/>
      <c r="G82" s="381"/>
      <c r="H82" s="382"/>
    </row>
  </sheetData>
  <sheetProtection insertRows="0" sort="0" autoFilter="0" pivotTables="0"/>
  <mergeCells count="1">
    <mergeCell ref="D23:H23"/>
  </mergeCells>
  <phoneticPr fontId="250" type="noConversion"/>
  <conditionalFormatting sqref="D5:G6">
    <cfRule type="expression" dxfId="18" priority="36">
      <formula>AND(D$5="Actuals",E$5="N/A")</formula>
    </cfRule>
  </conditionalFormatting>
  <conditionalFormatting sqref="D5:H6 D64:H66 D67:K67 D68:D71 F68:K72 E68:E73 D27:I35 D43:I43 D49:I57 I64:I65">
    <cfRule type="expression" dxfId="17" priority="28">
      <formula>D$5="N/A"</formula>
    </cfRule>
  </conditionalFormatting>
  <conditionalFormatting sqref="D7:H7">
    <cfRule type="expression" dxfId="16" priority="11">
      <formula>AND(D$5="Actuals",E$5="Forecast")</formula>
    </cfRule>
  </conditionalFormatting>
  <conditionalFormatting sqref="D11:H11">
    <cfRule type="expression" dxfId="15" priority="6">
      <formula>D$5="Forecast"</formula>
    </cfRule>
  </conditionalFormatting>
  <conditionalFormatting sqref="D16:H16 G14:H15 D13:H13">
    <cfRule type="expression" dxfId="14" priority="2">
      <formula>D$5="Forecast"</formula>
    </cfRule>
  </conditionalFormatting>
  <conditionalFormatting sqref="D18:H18">
    <cfRule type="expression" dxfId="13" priority="3">
      <formula>D$5="Forecast"</formula>
    </cfRule>
  </conditionalFormatting>
  <conditionalFormatting sqref="D20:H20">
    <cfRule type="expression" priority="22">
      <formula>D$5="N/A"</formula>
    </cfRule>
  </conditionalFormatting>
  <conditionalFormatting sqref="D38:I41">
    <cfRule type="expression" dxfId="12" priority="12">
      <formula>D$5="N/A"</formula>
    </cfRule>
  </conditionalFormatting>
  <conditionalFormatting sqref="D59:I59 D61:I62">
    <cfRule type="expression" dxfId="11" priority="14">
      <formula>D$5="N/A"</formula>
    </cfRule>
  </conditionalFormatting>
  <conditionalFormatting sqref="H5:H6">
    <cfRule type="expression" dxfId="10" priority="275">
      <formula>AND(H$5="Actuals",#REF!="N/A")</formula>
    </cfRule>
  </conditionalFormatting>
  <conditionalFormatting sqref="D14:F15">
    <cfRule type="expression" dxfId="9" priority="1">
      <formula>D$5="Forecast"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zoomScale="80" zoomScaleNormal="80" workbookViewId="0">
      <selection activeCell="C7" sqref="C7"/>
    </sheetView>
  </sheetViews>
  <sheetFormatPr defaultColWidth="9" defaultRowHeight="12.75"/>
  <cols>
    <col min="1" max="1" width="8.375" style="101" customWidth="1"/>
    <col min="2" max="2" width="77.25" style="101" bestFit="1" customWidth="1"/>
    <col min="3" max="3" width="14.125" style="101" customWidth="1"/>
    <col min="4" max="8" width="11.125" style="101" customWidth="1"/>
    <col min="9" max="9" width="6.625" style="101" bestFit="1" customWidth="1"/>
    <col min="10" max="16384" width="9" style="101"/>
  </cols>
  <sheetData>
    <row r="1" spans="1:10" ht="20.25">
      <c r="A1" s="826" t="s">
        <v>926</v>
      </c>
      <c r="B1" s="867"/>
      <c r="C1" s="862"/>
      <c r="D1" s="862"/>
      <c r="E1" s="862"/>
      <c r="F1" s="862"/>
      <c r="G1" s="862"/>
      <c r="H1" s="862"/>
      <c r="I1" s="396"/>
    </row>
    <row r="2" spans="1:10" ht="20.25">
      <c r="A2" s="827" t="str">
        <f>Licensee</f>
        <v>NGED-SWALES</v>
      </c>
      <c r="B2" s="284"/>
      <c r="C2" s="285"/>
      <c r="D2" s="285"/>
      <c r="E2" s="285"/>
      <c r="F2" s="285"/>
      <c r="G2" s="285"/>
      <c r="H2" s="285"/>
      <c r="I2" s="287"/>
    </row>
    <row r="3" spans="1:10" ht="20.25">
      <c r="A3" s="828">
        <f>Reporting_Year</f>
        <v>2026</v>
      </c>
      <c r="B3" s="489"/>
      <c r="C3" s="288"/>
      <c r="D3" s="288"/>
      <c r="E3" s="288"/>
      <c r="F3" s="288"/>
      <c r="G3" s="288"/>
      <c r="H3" s="288"/>
      <c r="I3" s="290"/>
    </row>
    <row r="4" spans="1:10" s="292" customFormat="1" ht="12.75" customHeight="1">
      <c r="B4" s="419"/>
      <c r="C4" s="101"/>
      <c r="D4" s="533"/>
      <c r="E4" s="533"/>
    </row>
    <row r="5" spans="1:10" s="292" customFormat="1" ht="12.75" customHeight="1">
      <c r="B5" s="419"/>
      <c r="C5" s="101"/>
      <c r="D5" s="649" t="str">
        <f t="shared" ref="D5:H5" si="0">IF(D6&lt;=Reporting_Year,"Actuals","Forecast")</f>
        <v>Actuals</v>
      </c>
      <c r="E5" s="649" t="str">
        <f t="shared" si="0"/>
        <v>Actuals</v>
      </c>
      <c r="F5" s="649" t="str">
        <f t="shared" si="0"/>
        <v>Actuals</v>
      </c>
      <c r="G5" s="649" t="str">
        <f t="shared" si="0"/>
        <v>Forecast</v>
      </c>
      <c r="H5" s="649" t="str">
        <f t="shared" si="0"/>
        <v>Forecast</v>
      </c>
      <c r="I5" s="406"/>
    </row>
    <row r="6" spans="1:10" s="292" customFormat="1">
      <c r="C6" s="101"/>
      <c r="D6" s="495">
        <f>'RFPR cover'!$C$6</f>
        <v>2024</v>
      </c>
      <c r="E6" s="495">
        <f>D6+1</f>
        <v>2025</v>
      </c>
      <c r="F6" s="495">
        <f t="shared" ref="F6:H6" si="1">E6+1</f>
        <v>2026</v>
      </c>
      <c r="G6" s="495">
        <f t="shared" si="1"/>
        <v>2027</v>
      </c>
      <c r="H6" s="495">
        <f t="shared" si="1"/>
        <v>2028</v>
      </c>
      <c r="I6" s="406"/>
    </row>
    <row r="7" spans="1:10" s="292" customFormat="1">
      <c r="D7" s="397" t="str">
        <f>RIIO_2_start_date-1&amp;"/"&amp;RIGHT(RIIO_2_start_date,2)</f>
        <v>2023/24</v>
      </c>
      <c r="E7" s="397" t="str">
        <f>RIIO_2_start_date&amp;"/"&amp;RIGHT(RIIO_2_start_date+1,2)</f>
        <v>2024/25</v>
      </c>
      <c r="F7" s="397" t="str">
        <f>RIIO_2_start_date+1&amp;"/"&amp;RIGHT(RIIO_2_start_date+2,2)</f>
        <v>2025/26</v>
      </c>
      <c r="G7" s="397" t="str">
        <f>RIIO_2_start_date+2&amp;"/"&amp;RIGHT(RIIO_2_start_date+3,2)</f>
        <v>2026/27</v>
      </c>
      <c r="H7" s="495" t="str">
        <f>RIIO_2_start_date+3&amp;"/"&amp;RIGHT(RIIO_2_start_date+4,2)</f>
        <v>2027/28</v>
      </c>
      <c r="I7" s="406"/>
    </row>
    <row r="8" spans="1:10" s="292" customFormat="1">
      <c r="I8" s="406"/>
    </row>
    <row r="9" spans="1:10" s="292" customFormat="1">
      <c r="B9" s="650" t="s">
        <v>927</v>
      </c>
      <c r="C9" s="338"/>
      <c r="D9" s="339"/>
      <c r="E9" s="339"/>
      <c r="F9" s="339"/>
      <c r="G9" s="339"/>
      <c r="H9" s="339"/>
      <c r="I9" s="406"/>
    </row>
    <row r="10" spans="1:10" s="292" customFormat="1">
      <c r="B10" s="421"/>
      <c r="C10" s="29"/>
      <c r="I10" s="406"/>
    </row>
    <row r="11" spans="1:10" s="292" customFormat="1">
      <c r="B11" s="421"/>
      <c r="C11" s="29"/>
      <c r="I11" s="406"/>
    </row>
    <row r="12" spans="1:10">
      <c r="B12" s="371" t="s">
        <v>928</v>
      </c>
      <c r="C12" s="29" t="s">
        <v>575</v>
      </c>
      <c r="D12" s="651">
        <v>6.1600251317432351</v>
      </c>
      <c r="E12" s="651">
        <v>4.1066834211621552</v>
      </c>
      <c r="F12" s="651">
        <v>0</v>
      </c>
      <c r="G12" s="651"/>
      <c r="H12" s="651"/>
      <c r="I12" s="406"/>
      <c r="J12" s="292"/>
    </row>
    <row r="13" spans="1:10">
      <c r="B13" s="497" t="s">
        <v>929</v>
      </c>
      <c r="D13" s="585"/>
      <c r="E13" s="585"/>
      <c r="F13" s="585"/>
      <c r="G13" s="585"/>
      <c r="H13" s="585"/>
      <c r="J13" s="292"/>
    </row>
    <row r="14" spans="1:10">
      <c r="B14" s="101" t="s">
        <v>930</v>
      </c>
      <c r="C14" s="29" t="s">
        <v>575</v>
      </c>
      <c r="D14" s="651">
        <v>4.4919011346256053</v>
      </c>
      <c r="E14" s="651">
        <v>2.9946007564170696</v>
      </c>
      <c r="F14" s="651">
        <v>0</v>
      </c>
      <c r="G14" s="651"/>
      <c r="H14" s="651"/>
      <c r="I14" s="406"/>
      <c r="J14" s="292"/>
    </row>
    <row r="15" spans="1:10">
      <c r="B15" s="101" t="s">
        <v>931</v>
      </c>
      <c r="C15" s="29" t="s">
        <v>575</v>
      </c>
      <c r="D15" s="651">
        <v>0.25598212943104703</v>
      </c>
      <c r="E15" s="651">
        <v>0.17065475295403135</v>
      </c>
      <c r="F15" s="651">
        <v>0</v>
      </c>
      <c r="G15" s="651"/>
      <c r="H15" s="651"/>
      <c r="I15" s="406"/>
      <c r="J15" s="292"/>
    </row>
    <row r="16" spans="1:10">
      <c r="D16" s="585"/>
      <c r="E16" s="585"/>
      <c r="F16" s="585"/>
      <c r="G16" s="585"/>
      <c r="H16" s="585"/>
      <c r="I16" s="406"/>
      <c r="J16" s="292"/>
    </row>
    <row r="17" spans="2:10">
      <c r="D17" s="585"/>
      <c r="E17" s="585"/>
      <c r="F17" s="585"/>
      <c r="G17" s="585"/>
      <c r="H17" s="585"/>
      <c r="I17" s="406"/>
      <c r="J17" s="292"/>
    </row>
    <row r="18" spans="2:10">
      <c r="B18" s="101" t="s">
        <v>930</v>
      </c>
      <c r="C18" s="567" t="str">
        <f>Data!$C$9</f>
        <v>£m 20/21</v>
      </c>
      <c r="D18" s="220">
        <f t="shared" ref="D18:H18" si="2">D$14/INDEX(real_to_nominal_CF,MATCH(D6,calendar_year,0))</f>
        <v>3.5075914540280677</v>
      </c>
      <c r="E18" s="220">
        <f t="shared" si="2"/>
        <v>2.2655602619240871</v>
      </c>
      <c r="F18" s="220">
        <f t="shared" si="2"/>
        <v>0</v>
      </c>
      <c r="G18" s="220">
        <f t="shared" si="2"/>
        <v>0</v>
      </c>
      <c r="H18" s="220">
        <f t="shared" si="2"/>
        <v>0</v>
      </c>
      <c r="I18" s="406"/>
      <c r="J18" s="292"/>
    </row>
    <row r="19" spans="2:10">
      <c r="D19" s="585"/>
      <c r="E19" s="585"/>
      <c r="F19" s="585"/>
      <c r="G19" s="585"/>
      <c r="H19" s="585"/>
      <c r="I19" s="406"/>
      <c r="J19" s="292"/>
    </row>
    <row r="20" spans="2:10">
      <c r="D20" s="585"/>
      <c r="E20" s="585"/>
      <c r="F20" s="585"/>
      <c r="G20" s="585"/>
      <c r="H20" s="585"/>
      <c r="I20" s="406"/>
      <c r="J20" s="292"/>
    </row>
    <row r="21" spans="2:10" s="292" customFormat="1">
      <c r="B21" s="371" t="s">
        <v>932</v>
      </c>
      <c r="C21" s="567" t="str">
        <f>Data!$C$9</f>
        <v>£m 20/21</v>
      </c>
      <c r="D21" s="576">
        <v>0</v>
      </c>
      <c r="E21" s="576">
        <v>-0.5</v>
      </c>
      <c r="F21" s="576">
        <v>-0.5</v>
      </c>
      <c r="G21" s="576">
        <v>-0.5</v>
      </c>
      <c r="H21" s="576">
        <v>-0.5</v>
      </c>
      <c r="I21" s="406"/>
    </row>
    <row r="22" spans="2:10" s="292" customFormat="1">
      <c r="B22" s="101" t="s">
        <v>933</v>
      </c>
      <c r="C22" s="567" t="str">
        <f>Data!$C$9</f>
        <v>£m 20/21</v>
      </c>
      <c r="D22" s="532"/>
      <c r="E22" s="532"/>
      <c r="F22" s="532"/>
      <c r="G22" s="532"/>
      <c r="H22" s="532"/>
      <c r="I22" s="406"/>
    </row>
    <row r="23" spans="2:10" s="292" customFormat="1">
      <c r="B23" s="371" t="s">
        <v>934</v>
      </c>
      <c r="C23" s="567" t="str">
        <f>Data!$C$9</f>
        <v>£m 20/21</v>
      </c>
      <c r="D23" s="220">
        <f>D21-D22</f>
        <v>0</v>
      </c>
      <c r="E23" s="220">
        <f t="shared" ref="E23:H23" si="3">E21-E22</f>
        <v>-0.5</v>
      </c>
      <c r="F23" s="220">
        <f t="shared" si="3"/>
        <v>-0.5</v>
      </c>
      <c r="G23" s="220">
        <f t="shared" si="3"/>
        <v>-0.5</v>
      </c>
      <c r="H23" s="220">
        <f t="shared" si="3"/>
        <v>-0.5</v>
      </c>
      <c r="I23" s="406"/>
    </row>
    <row r="24" spans="2:10" s="292" customFormat="1">
      <c r="B24" s="371"/>
      <c r="C24" s="371"/>
      <c r="D24" s="371"/>
      <c r="E24" s="371"/>
      <c r="F24" s="371"/>
      <c r="G24" s="371"/>
      <c r="H24" s="371"/>
      <c r="I24" s="406"/>
    </row>
    <row r="25" spans="2:10" s="292" customFormat="1">
      <c r="B25" s="371"/>
      <c r="C25" s="371"/>
      <c r="D25" s="942" t="s">
        <v>935</v>
      </c>
      <c r="E25" s="371"/>
      <c r="F25" s="371"/>
      <c r="G25" s="371"/>
      <c r="H25" s="371"/>
      <c r="I25" s="406"/>
    </row>
    <row r="26" spans="2:10" s="292" customFormat="1" ht="12.75" customHeight="1">
      <c r="B26" s="371"/>
      <c r="C26" s="371"/>
      <c r="D26" s="943"/>
      <c r="E26" s="371"/>
      <c r="F26" s="371"/>
      <c r="G26" s="371"/>
      <c r="H26" s="371"/>
      <c r="I26" s="406"/>
    </row>
    <row r="27" spans="2:10">
      <c r="C27" s="371"/>
      <c r="D27" s="944"/>
      <c r="E27" s="371"/>
      <c r="F27" s="371"/>
      <c r="I27" s="406"/>
    </row>
    <row r="28" spans="2:10">
      <c r="B28" s="371" t="s">
        <v>936</v>
      </c>
      <c r="C28" s="371"/>
      <c r="D28" s="652">
        <v>44651</v>
      </c>
      <c r="E28" s="371"/>
      <c r="F28" s="371"/>
      <c r="I28" s="406"/>
    </row>
    <row r="29" spans="2:10">
      <c r="B29" s="371"/>
      <c r="C29" s="371"/>
      <c r="D29" s="653"/>
      <c r="E29" s="371"/>
      <c r="F29" s="371"/>
      <c r="I29" s="406"/>
    </row>
    <row r="30" spans="2:10">
      <c r="B30" s="101" t="s">
        <v>877</v>
      </c>
      <c r="C30" s="371"/>
      <c r="D30" s="654" t="s">
        <v>987</v>
      </c>
      <c r="E30" s="371"/>
      <c r="F30" s="371"/>
      <c r="I30" s="406"/>
    </row>
    <row r="31" spans="2:10">
      <c r="C31" s="371"/>
      <c r="D31" s="371"/>
      <c r="E31" s="371"/>
      <c r="F31" s="371"/>
      <c r="H31"/>
      <c r="I31" s="406"/>
    </row>
    <row r="32" spans="2:10">
      <c r="B32" s="371"/>
      <c r="F32" s="371"/>
      <c r="I32" s="406"/>
    </row>
    <row r="33" spans="2:9">
      <c r="B33" s="101" t="s">
        <v>937</v>
      </c>
      <c r="C33" s="655" t="str">
        <f>"£m "&amp;$D$30</f>
        <v>£m 2020/21</v>
      </c>
      <c r="D33" s="532">
        <v>588.23383609999996</v>
      </c>
      <c r="E33" s="371"/>
      <c r="F33" s="371"/>
      <c r="I33" s="406"/>
    </row>
    <row r="34" spans="2:9">
      <c r="B34" s="101" t="s">
        <v>938</v>
      </c>
      <c r="C34" s="655" t="str">
        <f>"£m "&amp;$D$30</f>
        <v>£m 2020/21</v>
      </c>
      <c r="D34" s="532">
        <v>2305.5661639</v>
      </c>
      <c r="E34" s="371"/>
      <c r="F34" s="371"/>
      <c r="I34" s="406"/>
    </row>
    <row r="35" spans="2:9">
      <c r="C35" s="656"/>
      <c r="D35" s="585"/>
      <c r="E35" s="371"/>
      <c r="F35" s="371"/>
      <c r="I35" s="406"/>
    </row>
    <row r="36" spans="2:9">
      <c r="B36" s="101" t="s">
        <v>939</v>
      </c>
      <c r="C36" s="655" t="str">
        <f>"£m "&amp;$D$30</f>
        <v>£m 2020/21</v>
      </c>
      <c r="D36" s="532">
        <v>585.29999999999995</v>
      </c>
      <c r="I36" s="406"/>
    </row>
    <row r="37" spans="2:9">
      <c r="B37" s="101" t="s">
        <v>940</v>
      </c>
      <c r="C37" s="655" t="str">
        <f>"£m "&amp;$D$30</f>
        <v>£m 2020/21</v>
      </c>
      <c r="D37" s="532">
        <v>2241.6</v>
      </c>
      <c r="I37" s="406"/>
    </row>
    <row r="38" spans="2:9">
      <c r="C38" s="656"/>
      <c r="D38" s="585"/>
      <c r="I38" s="406"/>
    </row>
    <row r="39" spans="2:9">
      <c r="B39" s="508" t="s">
        <v>941</v>
      </c>
      <c r="C39" s="655" t="str">
        <f>"£m "&amp;$D$30</f>
        <v>£m 2020/21</v>
      </c>
      <c r="D39" s="220">
        <f>D33-D36</f>
        <v>2.9338361000000077</v>
      </c>
      <c r="I39" s="406"/>
    </row>
    <row r="40" spans="2:9">
      <c r="B40" s="508" t="s">
        <v>942</v>
      </c>
      <c r="C40" s="655" t="str">
        <f>"£m "&amp;$D$30</f>
        <v>£m 2020/21</v>
      </c>
      <c r="D40" s="220">
        <f>D34-D37</f>
        <v>63.966163900000083</v>
      </c>
      <c r="I40" s="406"/>
    </row>
    <row r="41" spans="2:9">
      <c r="C41" s="656"/>
      <c r="D41" s="585"/>
      <c r="I41" s="406"/>
    </row>
    <row r="42" spans="2:9">
      <c r="B42" s="101" t="s">
        <v>943</v>
      </c>
      <c r="C42" s="655" t="str">
        <f>"£m "&amp;$D$30</f>
        <v>£m 2020/21</v>
      </c>
      <c r="D42" s="532">
        <v>16.694899217025188</v>
      </c>
      <c r="I42" s="406"/>
    </row>
    <row r="43" spans="2:9">
      <c r="B43" s="101" t="s">
        <v>944</v>
      </c>
      <c r="C43" s="655" t="str">
        <f>"£m "&amp;$D$30</f>
        <v>£m 2020/21</v>
      </c>
      <c r="D43" s="532">
        <v>0.95140024771872633</v>
      </c>
      <c r="I43" s="406"/>
    </row>
    <row r="44" spans="2:9">
      <c r="I44" s="406"/>
    </row>
    <row r="45" spans="2:9">
      <c r="I45" s="406"/>
    </row>
    <row r="46" spans="2:9">
      <c r="I46" s="406"/>
    </row>
    <row r="47" spans="2:9">
      <c r="B47" s="650" t="s">
        <v>945</v>
      </c>
      <c r="C47" s="338"/>
      <c r="D47" s="339"/>
      <c r="E47" s="339"/>
      <c r="F47" s="339"/>
      <c r="G47" s="339"/>
      <c r="H47" s="339"/>
      <c r="I47" s="406"/>
    </row>
    <row r="48" spans="2:9">
      <c r="I48" s="406"/>
    </row>
    <row r="49" spans="1:9">
      <c r="I49" s="406"/>
    </row>
    <row r="50" spans="1:9">
      <c r="I50" s="406"/>
    </row>
    <row r="51" spans="1:9">
      <c r="A51" s="292"/>
      <c r="B51" s="419"/>
      <c r="C51" s="419"/>
      <c r="D51" s="649" t="str">
        <f t="shared" ref="D51:H51" si="4">IF(D52&lt;=Reporting_Year,"Actuals","Forecast")</f>
        <v>Actuals</v>
      </c>
      <c r="E51" s="649" t="str">
        <f t="shared" si="4"/>
        <v>Actuals</v>
      </c>
      <c r="F51" s="649" t="str">
        <f t="shared" si="4"/>
        <v>Actuals</v>
      </c>
      <c r="G51" s="649" t="str">
        <f t="shared" si="4"/>
        <v>Forecast</v>
      </c>
      <c r="H51" s="649" t="str">
        <f t="shared" si="4"/>
        <v>Forecast</v>
      </c>
      <c r="I51" s="406"/>
    </row>
    <row r="52" spans="1:9">
      <c r="A52" s="292"/>
      <c r="B52" s="292"/>
      <c r="C52" s="371"/>
      <c r="D52" s="495">
        <f>'RFPR cover'!$C$6</f>
        <v>2024</v>
      </c>
      <c r="E52" s="495">
        <f t="shared" ref="E52:H52" si="5">D52+1</f>
        <v>2025</v>
      </c>
      <c r="F52" s="495">
        <f t="shared" si="5"/>
        <v>2026</v>
      </c>
      <c r="G52" s="495">
        <f t="shared" si="5"/>
        <v>2027</v>
      </c>
      <c r="H52" s="495">
        <f t="shared" si="5"/>
        <v>2028</v>
      </c>
      <c r="I52" s="406"/>
    </row>
    <row r="53" spans="1:9">
      <c r="D53" s="657"/>
      <c r="E53" s="657"/>
      <c r="F53" s="657"/>
      <c r="G53" s="657"/>
      <c r="H53" s="657"/>
      <c r="I53" s="406"/>
    </row>
    <row r="54" spans="1:9">
      <c r="B54" s="421" t="s">
        <v>946</v>
      </c>
      <c r="C54" s="567" t="str">
        <f>Data!$C$9</f>
        <v>£m 20/21</v>
      </c>
      <c r="D54" s="221">
        <f>(D$62+D$67)/INDEX(real_to_nominal_CF,MATCH('R10 - Pensions &amp; Oth Activities'!D52,calendar_year,0))</f>
        <v>1.7745273861516453E-3</v>
      </c>
      <c r="E54" s="221">
        <f>(E$62+E$67)/INDEX(real_to_nominal_CF,MATCH('R10 - Pensions &amp; Oth Activities'!E52,calendar_year,0))</f>
        <v>3.2614146856316064</v>
      </c>
      <c r="F54" s="221">
        <f>(F$62+F$67)/INDEX(real_to_nominal_CF,MATCH('R10 - Pensions &amp; Oth Activities'!F52,calendar_year,0))</f>
        <v>4.816806093060419E-2</v>
      </c>
      <c r="G54" s="221">
        <f>(G$62+G$67)/INDEX(real_to_nominal_CF,MATCH('R10 - Pensions &amp; Oth Activities'!G52,calendar_year,0))</f>
        <v>0</v>
      </c>
      <c r="H54" s="221">
        <f>(H$62+H$67)/INDEX(real_to_nominal_CF,MATCH('R10 - Pensions &amp; Oth Activities'!H52,calendar_year,0))</f>
        <v>0</v>
      </c>
      <c r="I54" s="406"/>
    </row>
    <row r="55" spans="1:9">
      <c r="D55" s="657"/>
      <c r="E55" s="657"/>
      <c r="F55" s="657"/>
      <c r="G55" s="657"/>
      <c r="H55" s="657"/>
    </row>
    <row r="56" spans="1:9">
      <c r="B56" s="371" t="s">
        <v>947</v>
      </c>
      <c r="D56" s="657"/>
      <c r="E56" s="657"/>
      <c r="F56" s="657"/>
      <c r="G56" s="657"/>
      <c r="H56" s="657"/>
    </row>
    <row r="57" spans="1:9">
      <c r="B57" s="658" t="s">
        <v>948</v>
      </c>
      <c r="C57" s="29" t="s">
        <v>575</v>
      </c>
      <c r="D57" s="435">
        <v>0</v>
      </c>
      <c r="E57" s="435">
        <v>0</v>
      </c>
      <c r="F57" s="435">
        <v>0</v>
      </c>
      <c r="G57" s="435">
        <v>0</v>
      </c>
      <c r="H57" s="435">
        <v>0</v>
      </c>
    </row>
    <row r="58" spans="1:9">
      <c r="B58" s="658" t="s">
        <v>948</v>
      </c>
      <c r="C58" s="29" t="s">
        <v>575</v>
      </c>
      <c r="D58" s="435">
        <v>0</v>
      </c>
      <c r="E58" s="435">
        <v>0</v>
      </c>
      <c r="F58" s="435">
        <v>0</v>
      </c>
      <c r="G58" s="435">
        <v>0</v>
      </c>
      <c r="H58" s="435">
        <v>0</v>
      </c>
    </row>
    <row r="59" spans="1:9">
      <c r="B59" s="658" t="s">
        <v>861</v>
      </c>
      <c r="C59" s="29" t="s">
        <v>575</v>
      </c>
      <c r="D59" s="435">
        <v>0</v>
      </c>
      <c r="E59" s="435">
        <v>0</v>
      </c>
      <c r="F59" s="435">
        <v>0</v>
      </c>
      <c r="G59" s="435">
        <v>0</v>
      </c>
      <c r="H59" s="435">
        <v>0</v>
      </c>
    </row>
    <row r="60" spans="1:9">
      <c r="B60" s="371" t="s">
        <v>949</v>
      </c>
      <c r="C60" s="29" t="s">
        <v>575</v>
      </c>
      <c r="D60" s="221">
        <f t="shared" ref="D60:H60" si="6">SUM(D57:D59)</f>
        <v>0</v>
      </c>
      <c r="E60" s="221">
        <f t="shared" si="6"/>
        <v>0</v>
      </c>
      <c r="F60" s="221">
        <f t="shared" si="6"/>
        <v>0</v>
      </c>
      <c r="G60" s="221">
        <f t="shared" si="6"/>
        <v>0</v>
      </c>
      <c r="H60" s="221">
        <f t="shared" si="6"/>
        <v>0</v>
      </c>
    </row>
    <row r="61" spans="1:9">
      <c r="B61" s="292" t="s">
        <v>950</v>
      </c>
      <c r="C61" s="29" t="s">
        <v>575</v>
      </c>
      <c r="D61" s="435">
        <v>0</v>
      </c>
      <c r="E61" s="435">
        <v>0</v>
      </c>
      <c r="F61" s="435">
        <v>0</v>
      </c>
      <c r="G61" s="435">
        <v>0</v>
      </c>
      <c r="H61" s="435">
        <v>0</v>
      </c>
    </row>
    <row r="62" spans="1:9">
      <c r="B62" s="421" t="s">
        <v>951</v>
      </c>
      <c r="C62" s="29" t="s">
        <v>575</v>
      </c>
      <c r="D62" s="221">
        <f t="shared" ref="D62:H62" si="7">D60-D61</f>
        <v>0</v>
      </c>
      <c r="E62" s="221">
        <f t="shared" si="7"/>
        <v>0</v>
      </c>
      <c r="F62" s="221">
        <f t="shared" si="7"/>
        <v>0</v>
      </c>
      <c r="G62" s="221">
        <f t="shared" si="7"/>
        <v>0</v>
      </c>
      <c r="H62" s="221">
        <f t="shared" si="7"/>
        <v>0</v>
      </c>
    </row>
    <row r="64" spans="1:9">
      <c r="B64" s="371" t="s">
        <v>952</v>
      </c>
      <c r="D64" s="657"/>
      <c r="E64" s="657"/>
      <c r="F64" s="657"/>
      <c r="G64" s="657"/>
      <c r="H64" s="657"/>
    </row>
    <row r="65" spans="2:8">
      <c r="B65" s="658" t="s">
        <v>953</v>
      </c>
      <c r="C65" s="29" t="s">
        <v>575</v>
      </c>
      <c r="D65" s="435">
        <v>3.0300000000000001E-3</v>
      </c>
      <c r="E65" s="435">
        <v>5.7478850000000001</v>
      </c>
      <c r="F65" s="435">
        <v>8.8105000000000003E-2</v>
      </c>
      <c r="G65" s="435">
        <v>0</v>
      </c>
      <c r="H65" s="435">
        <v>0</v>
      </c>
    </row>
    <row r="66" spans="2:8">
      <c r="B66" s="292" t="s">
        <v>950</v>
      </c>
      <c r="C66" s="29" t="s">
        <v>575</v>
      </c>
      <c r="D66" s="435">
        <f>$D$65*25%</f>
        <v>7.5750000000000004E-4</v>
      </c>
      <c r="E66" s="435">
        <f>$E$65*25%</f>
        <v>1.43697125</v>
      </c>
      <c r="F66" s="435">
        <f>$F$65*25%</f>
        <v>2.2026250000000001E-2</v>
      </c>
      <c r="G66" s="435">
        <f>$G$65*25%</f>
        <v>0</v>
      </c>
      <c r="H66" s="435">
        <f>$H$65*25%</f>
        <v>0</v>
      </c>
    </row>
    <row r="67" spans="2:8">
      <c r="B67" s="421" t="s">
        <v>954</v>
      </c>
      <c r="C67" s="29" t="s">
        <v>575</v>
      </c>
      <c r="D67" s="221">
        <f t="shared" ref="D67:H67" si="8">D65-D66</f>
        <v>2.2725000000000002E-3</v>
      </c>
      <c r="E67" s="221">
        <f t="shared" si="8"/>
        <v>4.3109137500000001</v>
      </c>
      <c r="F67" s="221">
        <f t="shared" si="8"/>
        <v>6.6078750000000006E-2</v>
      </c>
      <c r="G67" s="221">
        <f t="shared" si="8"/>
        <v>0</v>
      </c>
      <c r="H67" s="221">
        <f t="shared" si="8"/>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4:H15 D12:H12">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AD769-905E-4256-A59C-429A67119C6D}">
  <sheetPr>
    <tabColor theme="1"/>
  </sheetPr>
  <dimension ref="A1:E9"/>
  <sheetViews>
    <sheetView zoomScale="80" zoomScaleNormal="80" workbookViewId="0"/>
  </sheetViews>
  <sheetFormatPr defaultRowHeight="12.75"/>
  <cols>
    <col min="1" max="1" width="1.625" customWidth="1"/>
  </cols>
  <sheetData>
    <row r="1" spans="1:5">
      <c r="A1" s="1" t="s">
        <v>955</v>
      </c>
    </row>
    <row r="4" spans="1:5">
      <c r="B4" s="47" t="s">
        <v>275</v>
      </c>
    </row>
    <row r="5" spans="1:5">
      <c r="B5" s="47" t="s">
        <v>276</v>
      </c>
      <c r="E5" s="47"/>
    </row>
    <row r="6" spans="1:5">
      <c r="B6" s="47" t="s">
        <v>277</v>
      </c>
    </row>
    <row r="7" spans="1:5">
      <c r="B7" s="47" t="s">
        <v>278</v>
      </c>
    </row>
    <row r="8" spans="1:5">
      <c r="B8" s="47" t="s">
        <v>279</v>
      </c>
    </row>
    <row r="9" spans="1:5">
      <c r="B9" s="47" t="s">
        <v>280</v>
      </c>
    </row>
  </sheetData>
  <hyperlinks>
    <hyperlink ref="B4" location="'F3 - Fixed Rate Debt'!A1" display="F3 - Fixed Rate Debt" xr:uid="{1D18CAE7-8D37-4918-B224-A931931223E4}"/>
    <hyperlink ref="B5" location="'F4 - Floating Rate Debt'!A1" display="F4 - Floating Rate Debt" xr:uid="{A2B28C7E-E6F5-40AF-8C0A-5DC246ED860C}"/>
    <hyperlink ref="B6" location="'F5 - Inflation Linked Debt'!A1" display="F5 - Inflation Linked Debt" xr:uid="{54E752C9-C20B-4DFD-81D5-F0E885CFE0DA}"/>
    <hyperlink ref="B7" location="'F6 - Debt Dataset'!A1" display="F6 - Debt Dataset" xr:uid="{C080F8BF-3B33-4B9B-82AA-F36815ED48B4}"/>
    <hyperlink ref="B8" location="'I1 - Universal Data'!A1" display="I1 - Universal Data" xr:uid="{9324DC15-6C37-4F65-A192-C53642FF46C9}"/>
    <hyperlink ref="B9" location="'I2 - Monthly Inflation'!A1" display="I2 - Monthly Inflation" xr:uid="{1731E8EF-63AD-4F42-99C5-F173463829B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4A33E-40F3-4C8F-88F8-90EA340CBBCC}">
  <sheetPr codeName="Sheet18">
    <tabColor rgb="FFFFFFCC"/>
    <pageSetUpPr autoPageBreaks="0"/>
  </sheetPr>
  <dimension ref="A1:AF38"/>
  <sheetViews>
    <sheetView zoomScale="80" zoomScaleNormal="80" workbookViewId="0">
      <selection activeCell="H15" sqref="H15:S17"/>
    </sheetView>
  </sheetViews>
  <sheetFormatPr defaultColWidth="0" defaultRowHeight="15" customHeight="1" zeroHeight="1"/>
  <cols>
    <col min="1" max="1" width="50.625" style="241" customWidth="1"/>
    <col min="2" max="2" width="11.375" style="241" customWidth="1"/>
    <col min="3" max="3" width="10.5" style="241" customWidth="1"/>
    <col min="4" max="4" width="9" style="241" customWidth="1"/>
    <col min="5" max="15" width="10" style="241" customWidth="1"/>
    <col min="16" max="23" width="10" style="240" customWidth="1"/>
    <col min="24" max="32" width="10" style="240" hidden="1" customWidth="1"/>
    <col min="33" max="16384" width="9" style="240" hidden="1"/>
  </cols>
  <sheetData>
    <row r="1" spans="1:29" customFormat="1" ht="19.5">
      <c r="A1" s="832" t="str">
        <f ca="1">MID(CELL("filename",A1),FIND("]",CELL("filename",A1))+1,256)</f>
        <v>I1 - Universal Data</v>
      </c>
      <c r="B1" s="246"/>
      <c r="C1" s="246"/>
      <c r="D1" s="246"/>
      <c r="E1" s="246"/>
      <c r="F1" s="246"/>
      <c r="G1" s="246"/>
      <c r="H1" s="246"/>
      <c r="I1" s="246"/>
      <c r="J1" s="246"/>
      <c r="K1" s="246"/>
      <c r="L1" s="246"/>
      <c r="M1" s="246"/>
      <c r="N1" s="246"/>
      <c r="O1" s="246"/>
      <c r="P1" s="246"/>
      <c r="Q1" s="246"/>
      <c r="R1" s="246"/>
      <c r="S1" s="246"/>
      <c r="T1" s="246"/>
      <c r="U1" s="246"/>
      <c r="V1" s="246"/>
      <c r="W1" s="248"/>
      <c r="X1" s="667"/>
      <c r="Y1" s="667"/>
      <c r="Z1" s="667"/>
      <c r="AA1" s="667"/>
      <c r="AB1" s="667"/>
    </row>
    <row r="2" spans="1:29" customFormat="1" ht="19.5">
      <c r="A2" s="832" t="str">
        <f>Licensee</f>
        <v>NGED-SWALES</v>
      </c>
      <c r="B2" s="246"/>
      <c r="C2" s="246"/>
      <c r="D2" s="246"/>
      <c r="E2" s="246"/>
      <c r="F2" s="246"/>
      <c r="G2" s="246"/>
      <c r="H2" s="246"/>
      <c r="I2" s="246"/>
      <c r="J2" s="246"/>
      <c r="K2" s="246"/>
      <c r="L2" s="246"/>
      <c r="M2" s="246"/>
      <c r="N2" s="246"/>
      <c r="O2" s="246"/>
      <c r="P2" s="246"/>
      <c r="Q2" s="246"/>
      <c r="R2" s="246"/>
      <c r="S2" s="246"/>
      <c r="T2" s="246"/>
      <c r="U2" s="246"/>
      <c r="V2" s="246"/>
      <c r="W2" s="248"/>
      <c r="X2" s="667"/>
      <c r="Y2" s="667"/>
      <c r="Z2" s="667"/>
      <c r="AA2" s="667"/>
      <c r="AB2" s="667"/>
    </row>
    <row r="3" spans="1:29" customFormat="1" ht="19.5">
      <c r="A3" s="833" t="str">
        <f>Sector</f>
        <v>ED2</v>
      </c>
      <c r="B3" s="247"/>
      <c r="C3" s="247"/>
      <c r="D3" s="247"/>
      <c r="E3" s="247"/>
      <c r="F3" s="247"/>
      <c r="G3" s="247"/>
      <c r="H3" s="247"/>
      <c r="I3" s="247"/>
      <c r="J3" s="247"/>
      <c r="K3" s="247"/>
      <c r="L3" s="247"/>
      <c r="M3" s="247"/>
      <c r="N3" s="247"/>
      <c r="O3" s="247"/>
      <c r="P3" s="247"/>
      <c r="Q3" s="247"/>
      <c r="R3" s="247"/>
      <c r="S3" s="247"/>
      <c r="T3" s="247"/>
      <c r="U3" s="247"/>
      <c r="V3" s="247"/>
      <c r="W3" s="249"/>
      <c r="X3" s="667"/>
      <c r="Y3" s="667"/>
      <c r="Z3" s="667"/>
      <c r="AA3" s="667"/>
      <c r="AB3" s="667"/>
    </row>
    <row r="4" spans="1:29">
      <c r="A4" s="668"/>
      <c r="B4" s="669"/>
      <c r="C4" s="669"/>
      <c r="D4" s="669"/>
      <c r="E4" s="669"/>
      <c r="F4" s="669"/>
      <c r="G4" s="669"/>
      <c r="H4" s="669"/>
      <c r="I4" s="669"/>
      <c r="J4" s="669"/>
      <c r="K4" s="669"/>
      <c r="L4" s="669"/>
      <c r="M4" s="669"/>
      <c r="N4" s="669"/>
      <c r="O4" s="669"/>
      <c r="P4" s="669"/>
      <c r="Q4" s="669"/>
      <c r="R4" s="669"/>
      <c r="S4" s="669"/>
      <c r="T4" s="669"/>
      <c r="U4" s="669"/>
      <c r="V4" s="669"/>
      <c r="W4" s="669"/>
      <c r="X4" s="669"/>
      <c r="Y4" s="670"/>
    </row>
    <row r="5" spans="1:29">
      <c r="A5" s="671" t="s">
        <v>956</v>
      </c>
      <c r="B5" s="672" t="s">
        <v>957</v>
      </c>
      <c r="C5" s="672" t="s">
        <v>958</v>
      </c>
      <c r="D5" s="673">
        <v>2015</v>
      </c>
      <c r="E5" s="673">
        <v>2016</v>
      </c>
      <c r="F5" s="673">
        <v>2017</v>
      </c>
      <c r="G5" s="673">
        <v>2018</v>
      </c>
      <c r="H5" s="673">
        <v>2019</v>
      </c>
      <c r="I5" s="673">
        <v>2020</v>
      </c>
      <c r="J5" s="673">
        <v>2021</v>
      </c>
      <c r="K5" s="673">
        <v>2022</v>
      </c>
      <c r="L5" s="673">
        <v>2023</v>
      </c>
      <c r="M5" s="673">
        <f>L5+1</f>
        <v>2024</v>
      </c>
      <c r="N5" s="673">
        <f>M5+1</f>
        <v>2025</v>
      </c>
      <c r="O5" s="673">
        <f>N5+1</f>
        <v>2026</v>
      </c>
      <c r="P5" s="673">
        <f>O5+1</f>
        <v>2027</v>
      </c>
      <c r="Q5" s="673">
        <f>P5+1</f>
        <v>2028</v>
      </c>
      <c r="R5" s="673">
        <f t="shared" ref="R5:V5" si="0">Q5+1</f>
        <v>2029</v>
      </c>
      <c r="S5" s="673">
        <f t="shared" si="0"/>
        <v>2030</v>
      </c>
      <c r="T5" s="673">
        <f t="shared" si="0"/>
        <v>2031</v>
      </c>
      <c r="U5" s="673">
        <f t="shared" si="0"/>
        <v>2032</v>
      </c>
      <c r="V5" s="673">
        <f t="shared" si="0"/>
        <v>2033</v>
      </c>
      <c r="W5" s="670"/>
    </row>
    <row r="6" spans="1:29">
      <c r="A6" s="674"/>
      <c r="B6" s="669"/>
      <c r="C6" s="669"/>
      <c r="D6" s="670"/>
      <c r="E6" s="670"/>
      <c r="F6" s="670"/>
      <c r="G6" s="670"/>
      <c r="H6" s="670"/>
      <c r="I6" s="670"/>
      <c r="J6" s="670"/>
      <c r="K6" s="670"/>
      <c r="L6" s="670"/>
      <c r="M6" s="670"/>
      <c r="N6" s="670"/>
      <c r="O6" s="670"/>
      <c r="P6" s="670"/>
      <c r="Q6" s="670"/>
      <c r="R6" s="670"/>
      <c r="S6" s="670"/>
      <c r="T6" s="670"/>
      <c r="U6" s="670"/>
      <c r="V6" s="670"/>
      <c r="W6" s="670"/>
      <c r="X6" s="670"/>
      <c r="Y6" s="670"/>
    </row>
    <row r="7" spans="1:29" s="241" customFormat="1" ht="12.75">
      <c r="A7" s="76" t="s">
        <v>959</v>
      </c>
      <c r="B7" s="76"/>
      <c r="C7" s="675"/>
      <c r="D7" s="676"/>
      <c r="E7" s="676"/>
      <c r="F7" s="676"/>
      <c r="G7" s="676"/>
      <c r="H7" s="676"/>
      <c r="I7" s="677"/>
      <c r="J7" s="677"/>
      <c r="K7" s="677"/>
      <c r="L7" s="677"/>
      <c r="M7" s="677"/>
      <c r="N7" s="677"/>
      <c r="O7" s="677"/>
      <c r="P7" s="677"/>
      <c r="Q7" s="677"/>
      <c r="R7" s="677"/>
      <c r="S7" s="677"/>
      <c r="T7" s="677"/>
      <c r="U7" s="677"/>
      <c r="V7" s="677"/>
    </row>
    <row r="8" spans="1:29">
      <c r="E8" s="678"/>
      <c r="F8" s="678"/>
      <c r="G8" s="678"/>
      <c r="H8" s="678"/>
      <c r="I8" s="678"/>
      <c r="J8" s="678"/>
      <c r="K8" s="678"/>
      <c r="L8" s="678"/>
      <c r="M8" s="678"/>
      <c r="N8" s="678"/>
      <c r="O8" s="678"/>
      <c r="P8" s="679"/>
      <c r="Q8" s="679"/>
      <c r="R8" s="679"/>
      <c r="S8" s="679"/>
      <c r="T8" s="679"/>
      <c r="U8" s="679"/>
      <c r="V8" s="679"/>
    </row>
    <row r="9" spans="1:29">
      <c r="A9" s="680" t="s">
        <v>960</v>
      </c>
      <c r="B9" s="241" t="s">
        <v>961</v>
      </c>
      <c r="C9" s="681">
        <f>IF(Price_basis = "£M 18/19", 2019, IF(Price_basis = "£M 20/21", 2021, "NA"))</f>
        <v>2021</v>
      </c>
      <c r="D9" s="240"/>
      <c r="E9" s="678"/>
      <c r="F9" s="678"/>
      <c r="G9" s="678"/>
      <c r="H9" s="678"/>
      <c r="I9" s="678"/>
      <c r="J9" s="678"/>
      <c r="K9" s="678"/>
      <c r="L9" s="678"/>
      <c r="M9" s="678"/>
      <c r="N9" s="678"/>
      <c r="O9" s="678"/>
      <c r="P9" s="679"/>
      <c r="Q9" s="679"/>
      <c r="R9" s="679"/>
      <c r="S9" s="679"/>
      <c r="T9" s="679"/>
      <c r="U9" s="679"/>
      <c r="V9" s="679"/>
    </row>
    <row r="10" spans="1:29" s="241" customFormat="1">
      <c r="E10" s="678"/>
      <c r="F10" s="678"/>
      <c r="G10" s="678"/>
      <c r="H10" s="678"/>
      <c r="I10" s="678"/>
      <c r="J10" s="678"/>
      <c r="K10" s="678"/>
      <c r="L10" s="678"/>
      <c r="M10" s="678"/>
      <c r="N10" s="678"/>
      <c r="O10" s="678"/>
      <c r="P10" s="679"/>
      <c r="Q10" s="678"/>
      <c r="R10" s="678"/>
      <c r="S10" s="678"/>
      <c r="T10" s="678"/>
      <c r="U10" s="678"/>
      <c r="V10" s="678"/>
    </row>
    <row r="11" spans="1:29" s="241" customFormat="1">
      <c r="A11" s="682" t="s">
        <v>962</v>
      </c>
      <c r="B11" s="683"/>
      <c r="D11" s="684"/>
      <c r="E11" s="685"/>
      <c r="F11" s="685"/>
      <c r="G11" s="685"/>
      <c r="H11" s="678"/>
      <c r="I11" s="678"/>
      <c r="J11" s="678"/>
      <c r="K11" s="678"/>
      <c r="L11" s="678"/>
      <c r="M11" s="678"/>
      <c r="N11" s="678"/>
      <c r="O11" s="678"/>
      <c r="P11" s="679"/>
      <c r="Q11" s="685"/>
      <c r="R11" s="685"/>
      <c r="S11" s="685"/>
      <c r="T11" s="685"/>
      <c r="U11" s="685"/>
      <c r="V11" s="685"/>
    </row>
    <row r="12" spans="1:29" s="241" customFormat="1" ht="12.75">
      <c r="A12" s="818" t="s">
        <v>963</v>
      </c>
      <c r="B12" s="683"/>
      <c r="D12" s="686"/>
      <c r="E12" s="685"/>
      <c r="F12" s="685"/>
      <c r="G12" s="685"/>
      <c r="H12" s="685"/>
      <c r="I12" s="685"/>
      <c r="J12" s="685"/>
      <c r="K12" s="685"/>
      <c r="L12" s="685"/>
      <c r="M12" s="685"/>
      <c r="N12" s="685"/>
      <c r="O12" s="685"/>
      <c r="P12" s="685"/>
      <c r="Q12" s="685"/>
      <c r="R12" s="685"/>
      <c r="S12" s="685"/>
      <c r="T12" s="685"/>
      <c r="U12" s="685"/>
      <c r="V12" s="685"/>
    </row>
    <row r="13" spans="1:29" s="241" customFormat="1">
      <c r="E13" s="685"/>
      <c r="F13" s="685"/>
      <c r="G13" s="685"/>
      <c r="H13" s="685"/>
      <c r="I13" s="685"/>
      <c r="J13" s="685"/>
      <c r="K13" s="685"/>
      <c r="L13" s="685"/>
      <c r="M13" s="685"/>
      <c r="N13" s="685"/>
      <c r="O13" s="685"/>
      <c r="P13" s="685"/>
      <c r="Q13" s="685"/>
      <c r="R13" s="685"/>
      <c r="S13" s="685"/>
      <c r="T13" s="685"/>
      <c r="U13" s="685"/>
      <c r="V13" s="685"/>
      <c r="W13" s="240"/>
      <c r="X13" s="240"/>
      <c r="Y13" s="240"/>
      <c r="Z13" s="240"/>
      <c r="AA13" s="240"/>
      <c r="AB13" s="240"/>
      <c r="AC13" s="240"/>
    </row>
    <row r="14" spans="1:29" s="241" customFormat="1">
      <c r="A14" s="680" t="s">
        <v>964</v>
      </c>
      <c r="B14" s="241" t="s">
        <v>965</v>
      </c>
      <c r="D14" s="687">
        <v>2015</v>
      </c>
      <c r="E14" s="687">
        <v>2016</v>
      </c>
      <c r="F14" s="687">
        <v>2017</v>
      </c>
      <c r="G14" s="687">
        <v>2018</v>
      </c>
      <c r="H14" s="687">
        <v>2019</v>
      </c>
      <c r="I14" s="687">
        <v>2020</v>
      </c>
      <c r="J14" s="687">
        <v>2021</v>
      </c>
      <c r="K14" s="687">
        <v>2022</v>
      </c>
      <c r="L14" s="687">
        <v>2023</v>
      </c>
      <c r="M14" s="687">
        <v>2024</v>
      </c>
      <c r="N14" s="687">
        <v>2025</v>
      </c>
      <c r="O14" s="687">
        <v>2026</v>
      </c>
      <c r="P14" s="687">
        <v>2027</v>
      </c>
      <c r="Q14" s="687">
        <v>2028</v>
      </c>
      <c r="R14" s="687">
        <v>2029</v>
      </c>
      <c r="S14" s="687">
        <v>2030</v>
      </c>
      <c r="T14" s="687">
        <v>2031</v>
      </c>
      <c r="U14" s="687">
        <v>2032</v>
      </c>
      <c r="V14" s="687">
        <v>2033</v>
      </c>
      <c r="W14" s="240"/>
      <c r="X14" s="240"/>
      <c r="Y14" s="240"/>
      <c r="Z14" s="240"/>
      <c r="AA14" s="240"/>
      <c r="AB14" s="240"/>
      <c r="AC14" s="240"/>
    </row>
    <row r="15" spans="1:29" s="241" customFormat="1">
      <c r="A15" s="680" t="s">
        <v>966</v>
      </c>
      <c r="B15" s="241" t="s">
        <v>538</v>
      </c>
      <c r="D15" s="688"/>
      <c r="E15" s="870"/>
      <c r="F15" s="870"/>
      <c r="G15" s="689"/>
      <c r="H15" s="792">
        <v>2.5628884588821732E-2</v>
      </c>
      <c r="I15" s="792">
        <v>1.5033471260387898E-2</v>
      </c>
      <c r="J15" s="792">
        <v>4.0452569031158125E-2</v>
      </c>
      <c r="K15" s="792">
        <v>0.11584699426229506</v>
      </c>
      <c r="L15" s="805">
        <v>9.6914789201007601E-2</v>
      </c>
      <c r="M15" s="805">
        <v>3.5849815186325129E-2</v>
      </c>
      <c r="N15" s="805">
        <v>4.1311094517713753E-2</v>
      </c>
      <c r="O15" s="805">
        <v>3.0764505475405324E-2</v>
      </c>
      <c r="P15" s="792">
        <v>2.9831866105610727E-2</v>
      </c>
      <c r="Q15" s="792">
        <v>2.7839240870369375E-2</v>
      </c>
      <c r="R15" s="792">
        <v>2.8771944181261722E-2</v>
      </c>
      <c r="S15" s="792">
        <v>2.2556534608456635E-2</v>
      </c>
      <c r="T15" s="792">
        <v>0.03</v>
      </c>
      <c r="U15" s="792">
        <v>0.03</v>
      </c>
      <c r="V15" s="792">
        <v>0.03</v>
      </c>
      <c r="W15" s="240"/>
      <c r="X15" s="240"/>
      <c r="Y15" s="240"/>
      <c r="Z15" s="240"/>
      <c r="AA15" s="240"/>
      <c r="AB15" s="240"/>
      <c r="AC15" s="240"/>
    </row>
    <row r="16" spans="1:29" s="241" customFormat="1">
      <c r="A16" s="680" t="s">
        <v>967</v>
      </c>
      <c r="B16" s="241" t="s">
        <v>538</v>
      </c>
      <c r="D16" s="872"/>
      <c r="E16" s="871"/>
      <c r="F16" s="871"/>
      <c r="G16" s="873"/>
      <c r="H16" s="792">
        <v>1.7910205867057716E-2</v>
      </c>
      <c r="I16" s="792">
        <v>8.5065402820156955E-3</v>
      </c>
      <c r="J16" s="792">
        <v>2.5882219500718229E-2</v>
      </c>
      <c r="K16" s="792">
        <v>9.0667455547039033E-2</v>
      </c>
      <c r="L16" s="805">
        <v>7.3032807433557112E-2</v>
      </c>
      <c r="M16" s="805">
        <v>2.5301927741606001E-2</v>
      </c>
      <c r="N16" s="805">
        <v>3.3730368724933735E-2</v>
      </c>
      <c r="O16" s="805">
        <v>2.301053135157205E-2</v>
      </c>
      <c r="P16" s="792">
        <v>1.9685428964515195E-2</v>
      </c>
      <c r="Q16" s="792">
        <v>1.9764681807515894E-2</v>
      </c>
      <c r="R16" s="792">
        <v>2.0201725296626893E-2</v>
      </c>
      <c r="S16" s="792">
        <v>1.9997326712768881E-2</v>
      </c>
      <c r="T16" s="792">
        <v>0.02</v>
      </c>
      <c r="U16" s="792">
        <v>0.02</v>
      </c>
      <c r="V16" s="792">
        <v>0.02</v>
      </c>
      <c r="W16" s="240"/>
      <c r="X16" s="240"/>
      <c r="Y16" s="240"/>
      <c r="Z16" s="240"/>
      <c r="AA16" s="240"/>
      <c r="AB16" s="240"/>
      <c r="AC16" s="240"/>
    </row>
    <row r="17" spans="1:29" s="241" customFormat="1">
      <c r="A17" s="680" t="s">
        <v>968</v>
      </c>
      <c r="D17" s="690"/>
      <c r="E17" s="691"/>
      <c r="F17" s="691"/>
      <c r="G17" s="692"/>
      <c r="H17" s="792">
        <v>1.7381044449375382E-2</v>
      </c>
      <c r="I17" s="792">
        <v>9.8948701528174254E-3</v>
      </c>
      <c r="J17" s="792">
        <v>2.5183711707605694E-2</v>
      </c>
      <c r="K17" s="792">
        <v>7.9220486703172499E-2</v>
      </c>
      <c r="L17" s="805">
        <v>6.7939669987546525E-2</v>
      </c>
      <c r="M17" s="805">
        <v>3.2715730780458641E-2</v>
      </c>
      <c r="N17" s="805">
        <v>3.8830687510927442E-2</v>
      </c>
      <c r="O17" s="805">
        <v>2.5462143115942082E-2</v>
      </c>
      <c r="P17" s="792">
        <v>2.1106939830908944E-2</v>
      </c>
      <c r="Q17" s="792">
        <v>2.0363958655881476E-2</v>
      </c>
      <c r="R17" s="792">
        <v>2.0944596333052568E-2</v>
      </c>
      <c r="S17" s="792">
        <v>2.1241236305741262E-2</v>
      </c>
      <c r="T17" s="792">
        <v>1.9997326712768881E-2</v>
      </c>
      <c r="U17" s="792">
        <v>1.9997326712768881E-2</v>
      </c>
      <c r="V17" s="792">
        <v>1.9997326712768881E-2</v>
      </c>
      <c r="W17" s="240"/>
      <c r="X17" s="240"/>
      <c r="Y17" s="240"/>
      <c r="Z17" s="240"/>
      <c r="AA17" s="240"/>
      <c r="AB17" s="240"/>
      <c r="AC17" s="240"/>
    </row>
    <row r="18" spans="1:29" s="241" customFormat="1">
      <c r="H18" s="781"/>
      <c r="I18" s="788"/>
      <c r="J18" s="788"/>
      <c r="K18" s="788"/>
      <c r="L18" s="788"/>
      <c r="M18" s="788"/>
      <c r="N18" s="788"/>
      <c r="O18" s="788"/>
      <c r="P18" s="781"/>
      <c r="Q18" s="781"/>
      <c r="R18" s="789"/>
      <c r="S18" s="789"/>
      <c r="T18" s="789"/>
      <c r="U18" s="789"/>
      <c r="V18" s="789"/>
      <c r="W18" s="240"/>
      <c r="X18" s="240"/>
      <c r="Y18" s="240"/>
      <c r="Z18" s="240"/>
      <c r="AA18" s="240"/>
      <c r="AB18" s="240"/>
      <c r="AC18" s="240"/>
    </row>
    <row r="19" spans="1:29" s="241" customFormat="1">
      <c r="A19" s="682" t="s">
        <v>969</v>
      </c>
      <c r="E19" s="693"/>
      <c r="F19" s="694"/>
      <c r="G19" s="694"/>
      <c r="H19" s="694"/>
      <c r="I19" s="694"/>
      <c r="J19" s="694"/>
      <c r="K19" s="694"/>
      <c r="L19" s="694"/>
      <c r="M19" s="694"/>
      <c r="N19" s="694"/>
      <c r="O19" s="694"/>
      <c r="P19" s="694"/>
      <c r="Q19" s="694"/>
      <c r="R19" s="694"/>
      <c r="S19" s="694"/>
      <c r="T19" s="694"/>
      <c r="U19" s="694"/>
      <c r="V19" s="694"/>
      <c r="W19" s="240"/>
      <c r="X19" s="240"/>
      <c r="Y19" s="240"/>
      <c r="Z19" s="240"/>
      <c r="AA19" s="240"/>
      <c r="AB19" s="240"/>
      <c r="AC19" s="240"/>
    </row>
    <row r="20" spans="1:29" s="241" customFormat="1">
      <c r="A20" s="680" t="s">
        <v>970</v>
      </c>
      <c r="B20" s="241" t="s">
        <v>971</v>
      </c>
      <c r="D20" s="695">
        <f ca="1">AVERAGEIFS('I2 - Monthly Inflation'!$J:$J,'I2 - Monthly Inflation'!$A:$A,"&gt;"&amp;DATE(D$14 - 1, 3, 31),'I2 - Monthly Inflation'!$A:$A,"&lt;"&amp;DATE(D$14, 4, 1))</f>
        <v>256.66666666666669</v>
      </c>
      <c r="E20" s="695">
        <f ca="1">AVERAGEIFS('I2 - Monthly Inflation'!$J:$J,'I2 - Monthly Inflation'!$A:$A,"&gt;"&amp;DATE(E$14 - 1, 3, 31),'I2 - Monthly Inflation'!$A:$A,"&lt;"&amp;DATE(E$14, 4, 1))</f>
        <v>259.43333333333334</v>
      </c>
      <c r="F20" s="695">
        <f ca="1">AVERAGEIFS('I2 - Monthly Inflation'!$J:$J,'I2 - Monthly Inflation'!$A:$A,"&gt;"&amp;DATE(F$14 - 1, 3, 31),'I2 - Monthly Inflation'!$A:$A,"&lt;"&amp;DATE(F$14, 4, 1))</f>
        <v>264.99166666666673</v>
      </c>
      <c r="G20" s="695">
        <f ca="1">AVERAGEIFS('I2 - Monthly Inflation'!$J:$J,'I2 - Monthly Inflation'!$A:$A,"&gt;"&amp;DATE(G$14 - 1, 3, 31),'I2 - Monthly Inflation'!$A:$A,"&lt;"&amp;DATE(G$14, 4, 1))</f>
        <v>274.90833333333336</v>
      </c>
      <c r="H20" s="695">
        <f ca="1">AVERAGEIFS('I2 - Monthly Inflation'!$J:$J,'I2 - Monthly Inflation'!$A:$A,"&gt;"&amp;DATE(H$14 - 1, 3, 31),'I2 - Monthly Inflation'!$A:$A,"&lt;"&amp;DATE(H$14, 4, 1))</f>
        <v>283.30833333333334</v>
      </c>
      <c r="I20" s="695">
        <f ca="1">AVERAGEIFS('I2 - Monthly Inflation'!$J:$J,'I2 - Monthly Inflation'!$A:$A,"&gt;"&amp;DATE(I$14 - 1, 3, 31),'I2 - Monthly Inflation'!$A:$A,"&lt;"&amp;DATE(I$14, 4, 1))</f>
        <v>290.64166666666665</v>
      </c>
      <c r="J20" s="695">
        <f ca="1">AVERAGEIFS('I2 - Monthly Inflation'!$J:$J,'I2 - Monthly Inflation'!$A:$A,"&gt;"&amp;DATE(J$14 - 1, 3, 31),'I2 - Monthly Inflation'!$A:$A,"&lt;"&amp;DATE(J$14, 4, 1))</f>
        <v>294.16666666666669</v>
      </c>
      <c r="K20" s="695">
        <f ca="1">AVERAGEIFS('I2 - Monthly Inflation'!$J:$J,'I2 - Monthly Inflation'!$A:$A,"&gt;"&amp;DATE(K$14 - 1, 3, 31),'I2 - Monthly Inflation'!$A:$A,"&lt;"&amp;DATE(K$14, 4, 1))</f>
        <v>311.1583333333333</v>
      </c>
      <c r="L20" s="695">
        <f ca="1">AVERAGEIFS('I2 - Monthly Inflation'!$J:$J,'I2 - Monthly Inflation'!$A:$A,"&gt;"&amp;DATE(L$14 - 1, 3, 31),'I2 - Monthly Inflation'!$A:$A,"&lt;"&amp;DATE(L$14, 4, 1))</f>
        <v>351.2166666666667</v>
      </c>
      <c r="M20" s="695">
        <f ca="1">AVERAGEIFS('I2 - Monthly Inflation'!$J:$J,'I2 - Monthly Inflation'!$A:$A,"&gt;"&amp;DATE(M$14 - 1, 3, 31),'I2 - Monthly Inflation'!$A:$A,"&lt;"&amp;DATE(M$14, 4, 1))</f>
        <v>377.48333333333341</v>
      </c>
      <c r="N20" s="695">
        <f ca="1">AVERAGEIFS('I2 - Monthly Inflation'!$J:$J,'I2 - Monthly Inflation'!$A:$A,"&gt;"&amp;DATE(N$14 - 1, 3, 31),'I2 - Monthly Inflation'!$A:$A,"&lt;"&amp;DATE(N$14, 4, 1))</f>
        <v>389.95</v>
      </c>
      <c r="O20" s="695">
        <f ca="1">AVERAGEIFS('I2 - Monthly Inflation'!$J:$J,'I2 - Monthly Inflation'!$A:$A,"&gt;"&amp;DATE(O$14 - 1, 3, 31),'I2 - Monthly Inflation'!$A:$A,"&lt;"&amp;DATE(O$14, 4, 1))</f>
        <v>406.42499999999995</v>
      </c>
      <c r="P20" s="695">
        <f ca="1">AVERAGEIFS('I2 - Monthly Inflation'!$J:$J,'I2 - Monthly Inflation'!$A:$A,"&gt;"&amp;DATE(P$14 - 1, 3, 31),'I2 - Monthly Inflation'!$A:$A,"&lt;"&amp;DATE(P$14, 4, 1))</f>
        <v>420.08086683091739</v>
      </c>
      <c r="Q20" s="695">
        <f ca="1">AVERAGEIFS('I2 - Monthly Inflation'!$J:$J,'I2 - Monthly Inflation'!$A:$A,"&gt;"&amp;DATE(Q$14 - 1, 3, 31),'I2 - Monthly Inflation'!$A:$A,"&lt;"&amp;DATE(Q$14, 4, 1))</f>
        <v>432.37019364972775</v>
      </c>
      <c r="R20" s="695">
        <f ca="1">AVERAGEIFS('I2 - Monthly Inflation'!$J:$J,'I2 - Monthly Inflation'!$A:$A,"&gt;"&amp;DATE(R$14 - 1, 3, 31),'I2 - Monthly Inflation'!$A:$A,"&lt;"&amp;DATE(R$14, 4, 1))</f>
        <v>444.55158842643317</v>
      </c>
      <c r="S20" s="695">
        <f ca="1">AVERAGEIFS('I2 - Monthly Inflation'!$J:$J,'I2 - Monthly Inflation'!$A:$A,"&gt;"&amp;DATE(S$14 - 1, 3, 31),'I2 - Monthly Inflation'!$A:$A,"&lt;"&amp;DATE(S$14, 4, 1))</f>
        <v>456.4631947574303</v>
      </c>
      <c r="T20" s="695">
        <f ca="1">AVERAGEIFS('I2 - Monthly Inflation'!$J:$J,'I2 - Monthly Inflation'!$A:$A,"&gt;"&amp;DATE(T$14 - 1, 3, 31),'I2 - Monthly Inflation'!$A:$A,"&lt;"&amp;DATE(T$14, 4, 1))</f>
        <v>467.88344190161905</v>
      </c>
      <c r="U20" s="695">
        <f ca="1">AVERAGEIFS('I2 - Monthly Inflation'!$J:$J,'I2 - Monthly Inflation'!$A:$A,"&gt;"&amp;DATE(U$14 - 1, 3, 31),'I2 - Monthly Inflation'!$A:$A,"&lt;"&amp;DATE(U$14, 4, 1))</f>
        <v>481.84802395636092</v>
      </c>
      <c r="V20" s="695">
        <f ca="1">AVERAGEIFS('I2 - Monthly Inflation'!$J:$J,'I2 - Monthly Inflation'!$A:$A,"&gt;"&amp;DATE(V$14 - 1, 3, 31),'I2 - Monthly Inflation'!$A:$A,"&lt;"&amp;DATE(V$14, 4, 1))</f>
        <v>496.30346467505245</v>
      </c>
      <c r="W20" s="240"/>
      <c r="X20" s="240"/>
      <c r="Y20" s="240"/>
      <c r="Z20" s="240"/>
      <c r="AA20" s="240"/>
      <c r="AB20" s="240"/>
      <c r="AC20" s="240"/>
    </row>
    <row r="21" spans="1:29" s="241" customFormat="1">
      <c r="A21" s="696" t="s">
        <v>972</v>
      </c>
      <c r="B21" s="241" t="s">
        <v>538</v>
      </c>
      <c r="D21" s="690"/>
      <c r="E21" s="697">
        <f t="shared" ref="E21:V21" ca="1" si="1">E20/D20-1</f>
        <v>1.0779220779220777E-2</v>
      </c>
      <c r="F21" s="697">
        <f t="shared" ca="1" si="1"/>
        <v>2.1424900424001248E-2</v>
      </c>
      <c r="G21" s="697">
        <f t="shared" ca="1" si="1"/>
        <v>3.7422560457875953E-2</v>
      </c>
      <c r="H21" s="697">
        <f t="shared" ca="1" si="1"/>
        <v>3.0555639758707454E-2</v>
      </c>
      <c r="I21" s="697">
        <f t="shared" ca="1" si="1"/>
        <v>2.5884636879724532E-2</v>
      </c>
      <c r="J21" s="697">
        <f t="shared" ca="1" si="1"/>
        <v>1.2128336726209277E-2</v>
      </c>
      <c r="K21" s="697">
        <f t="shared" ca="1" si="1"/>
        <v>5.7762039660056441E-2</v>
      </c>
      <c r="L21" s="697">
        <f t="shared" ca="1" si="1"/>
        <v>0.12873938777149907</v>
      </c>
      <c r="M21" s="697">
        <f t="shared" ca="1" si="1"/>
        <v>7.4787642955440825E-2</v>
      </c>
      <c r="N21" s="697">
        <f t="shared" ca="1" si="1"/>
        <v>3.3025740650801216E-2</v>
      </c>
      <c r="O21" s="697">
        <f t="shared" ca="1" si="1"/>
        <v>4.224900628285666E-2</v>
      </c>
      <c r="P21" s="697">
        <f t="shared" ca="1" si="1"/>
        <v>3.3599967597754743E-2</v>
      </c>
      <c r="Q21" s="697">
        <f t="shared" ca="1" si="1"/>
        <v>2.925466925337683E-2</v>
      </c>
      <c r="R21" s="697">
        <f t="shared" ca="1" si="1"/>
        <v>2.8173530358047261E-2</v>
      </c>
      <c r="S21" s="697">
        <f t="shared" ca="1" si="1"/>
        <v>2.6794654751229885E-2</v>
      </c>
      <c r="T21" s="697">
        <f t="shared" ca="1" si="1"/>
        <v>2.5018987895086608E-2</v>
      </c>
      <c r="U21" s="697">
        <f t="shared" ca="1" si="1"/>
        <v>2.9846283933420592E-2</v>
      </c>
      <c r="V21" s="697">
        <f t="shared" ca="1" si="1"/>
        <v>3.0000000000001359E-2</v>
      </c>
      <c r="W21" s="240"/>
      <c r="X21" s="240"/>
      <c r="Y21" s="240"/>
      <c r="Z21" s="240"/>
      <c r="AA21" s="240"/>
      <c r="AB21" s="240"/>
      <c r="AC21" s="240"/>
    </row>
    <row r="22" spans="1:29" s="241" customFormat="1">
      <c r="A22" s="680"/>
      <c r="D22" s="694"/>
      <c r="E22" s="694"/>
      <c r="F22" s="694"/>
      <c r="G22" s="694"/>
      <c r="H22" s="694"/>
      <c r="I22" s="694"/>
      <c r="J22" s="694"/>
      <c r="K22" s="694"/>
      <c r="L22" s="694"/>
      <c r="M22" s="694"/>
      <c r="N22" s="694"/>
      <c r="O22" s="694"/>
      <c r="P22" s="694"/>
      <c r="Q22" s="694"/>
      <c r="R22" s="694"/>
      <c r="S22" s="694"/>
      <c r="T22" s="694"/>
      <c r="U22" s="694"/>
      <c r="V22" s="694"/>
      <c r="W22" s="240"/>
      <c r="X22" s="240"/>
      <c r="Y22" s="240"/>
      <c r="Z22" s="240"/>
      <c r="AA22" s="240"/>
      <c r="AB22" s="240"/>
      <c r="AC22" s="240"/>
    </row>
    <row r="23" spans="1:29" s="241" customFormat="1">
      <c r="A23" s="680" t="s">
        <v>973</v>
      </c>
      <c r="B23" s="241" t="s">
        <v>971</v>
      </c>
      <c r="D23" s="695">
        <f ca="1">AVERAGEIFS('I2 - Monthly Inflation'!$I:$I,'I2 - Monthly Inflation'!$A:$A,"&gt;"&amp;DATE(D$14 - 1, 3, 31),'I2 - Monthly Inflation'!$A:$A,"&lt;"&amp;DATE(D$14, 4, 1))</f>
        <v>99.72499999999998</v>
      </c>
      <c r="E23" s="695">
        <f ca="1">AVERAGEIFS('I2 - Monthly Inflation'!$I:$I,'I2 - Monthly Inflation'!$A:$A,"&gt;"&amp;DATE(E$14 - 1, 3, 31),'I2 - Monthly Inflation'!$A:$A,"&lt;"&amp;DATE(E$14, 4, 1))</f>
        <v>100.16666666666667</v>
      </c>
      <c r="F23" s="695">
        <f ca="1">AVERAGEIFS('I2 - Monthly Inflation'!$I:$I,'I2 - Monthly Inflation'!$A:$A,"&gt;"&amp;DATE(F$14 - 1, 3, 31),'I2 - Monthly Inflation'!$A:$A,"&lt;"&amp;DATE(F$14, 4, 1))</f>
        <v>101.54166666666667</v>
      </c>
      <c r="G23" s="695">
        <f ca="1">AVERAGEIFS('I2 - Monthly Inflation'!$I:$I,'I2 - Monthly Inflation'!$A:$A,"&gt;"&amp;DATE(G$14 - 1, 3, 31),'I2 - Monthly Inflation'!$A:$A,"&lt;"&amp;DATE(G$14, 4, 1))</f>
        <v>104.21666666666665</v>
      </c>
      <c r="H23" s="695">
        <f ca="1">AVERAGEIFS('I2 - Monthly Inflation'!$I:$I,'I2 - Monthly Inflation'!$A:$A,"&gt;"&amp;DATE(H$14 - 1, 3, 31),'I2 - Monthly Inflation'!$A:$A,"&lt;"&amp;DATE(H$14, 4, 1))</f>
        <v>106.43333333333334</v>
      </c>
      <c r="I23" s="695">
        <f ca="1">AVERAGEIFS('I2 - Monthly Inflation'!$I:$I,'I2 - Monthly Inflation'!$A:$A,"&gt;"&amp;DATE(I$14 - 1, 3, 31),'I2 - Monthly Inflation'!$A:$A,"&lt;"&amp;DATE(I$14, 4, 1))</f>
        <v>108.24166666666663</v>
      </c>
      <c r="J23" s="695">
        <f ca="1">AVERAGEIFS('I2 - Monthly Inflation'!$I:$I,'I2 - Monthly Inflation'!$A:$A,"&gt;"&amp;DATE(J$14 - 1, 3, 31),'I2 - Monthly Inflation'!$A:$A,"&lt;"&amp;DATE(J$14, 4, 1))</f>
        <v>109.10833333333335</v>
      </c>
      <c r="K23" s="695">
        <f ca="1">AVERAGEIFS('I2 - Monthly Inflation'!$I:$I,'I2 - Monthly Inflation'!$A:$A,"&gt;"&amp;DATE(K$14 - 1, 3, 31),'I2 - Monthly Inflation'!$A:$A,"&lt;"&amp;DATE(K$14, 4, 1))</f>
        <v>113.11666666666667</v>
      </c>
      <c r="L23" s="695">
        <f ca="1">AVERAGEIFS('I2 - Monthly Inflation'!$I:$I,'I2 - Monthly Inflation'!$A:$A,"&gt;"&amp;DATE(L$14 - 1, 3, 31),'I2 - Monthly Inflation'!$A:$A,"&lt;"&amp;DATE(L$14, 4, 1))</f>
        <v>123.04166666666664</v>
      </c>
      <c r="M23" s="695">
        <f ca="1">AVERAGEIFS('I2 - Monthly Inflation'!$I:$I,'I2 - Monthly Inflation'!$A:$A,"&gt;"&amp;DATE(M$14 - 1, 3, 31),'I2 - Monthly Inflation'!$A:$A,"&lt;"&amp;DATE(M$14, 4, 1))</f>
        <v>129.86666666666665</v>
      </c>
      <c r="N23" s="695">
        <f ca="1">AVERAGEIFS('I2 - Monthly Inflation'!$I:$I,'I2 - Monthly Inflation'!$A:$A,"&gt;"&amp;DATE(N$14 - 1, 3, 31),'I2 - Monthly Inflation'!$A:$A,"&lt;"&amp;DATE(N$14, 4, 1))</f>
        <v>134.04166666666663</v>
      </c>
      <c r="O23" s="695">
        <f ca="1">AVERAGEIFS('I2 - Monthly Inflation'!$I:$I,'I2 - Monthly Inflation'!$A:$A,"&gt;"&amp;DATE(O$14 - 1, 3, 31),'I2 - Monthly Inflation'!$A:$A,"&lt;"&amp;DATE(O$14, 4, 1))</f>
        <v>139.11666666666667</v>
      </c>
      <c r="P23" s="695">
        <f ca="1">AVERAGEIFS('I2 - Monthly Inflation'!$I:$I,'I2 - Monthly Inflation'!$A:$A,"&gt;"&amp;DATE(P$14 - 1, 3, 31),'I2 - Monthly Inflation'!$A:$A,"&lt;"&amp;DATE(P$14, 4, 1))</f>
        <v>143.11302504665221</v>
      </c>
      <c r="Q23" s="695">
        <f ca="1">AVERAGEIFS('I2 - Monthly Inflation'!$I:$I,'I2 - Monthly Inflation'!$A:$A,"&gt;"&amp;DATE(Q$14 - 1, 3, 31),'I2 - Monthly Inflation'!$A:$A,"&lt;"&amp;DATE(Q$14, 4, 1))</f>
        <v>145.93445858989497</v>
      </c>
      <c r="R23" s="695">
        <f ca="1">AVERAGEIFS('I2 - Monthly Inflation'!$I:$I,'I2 - Monthly Inflation'!$A:$A,"&gt;"&amp;DATE(R$14 - 1, 3, 31),'I2 - Monthly Inflation'!$A:$A,"&lt;"&amp;DATE(R$14, 4, 1))</f>
        <v>148.83858902499119</v>
      </c>
      <c r="S23" s="695">
        <f ca="1">AVERAGEIFS('I2 - Monthly Inflation'!$I:$I,'I2 - Monthly Inflation'!$A:$A,"&gt;"&amp;DATE(S$14 - 1, 3, 31),'I2 - Monthly Inflation'!$A:$A,"&lt;"&amp;DATE(S$14, 4, 1))</f>
        <v>151.83448917987678</v>
      </c>
      <c r="T23" s="695">
        <f ca="1">AVERAGEIFS('I2 - Monthly Inflation'!$I:$I,'I2 - Monthly Inflation'!$A:$A,"&gt;"&amp;DATE(T$14 - 1, 3, 31),'I2 - Monthly Inflation'!$A:$A,"&lt;"&amp;DATE(T$14, 4, 1))</f>
        <v>154.87154149097572</v>
      </c>
      <c r="U23" s="695">
        <f ca="1">AVERAGEIFS('I2 - Monthly Inflation'!$I:$I,'I2 - Monthly Inflation'!$A:$A,"&gt;"&amp;DATE(U$14 - 1, 3, 31),'I2 - Monthly Inflation'!$A:$A,"&lt;"&amp;DATE(U$14, 4, 1))</f>
        <v>157.96896376881162</v>
      </c>
      <c r="V23" s="695">
        <f ca="1">AVERAGEIFS('I2 - Monthly Inflation'!$I:$I,'I2 - Monthly Inflation'!$A:$A,"&gt;"&amp;DATE(V$14 - 1, 3, 31),'I2 - Monthly Inflation'!$A:$A,"&lt;"&amp;DATE(V$14, 4, 1))</f>
        <v>161.12834304418791</v>
      </c>
      <c r="W23" s="240"/>
      <c r="X23" s="240"/>
      <c r="Y23" s="240"/>
      <c r="Z23" s="240"/>
      <c r="AA23" s="240"/>
      <c r="AB23" s="240"/>
      <c r="AC23" s="240"/>
    </row>
    <row r="24" spans="1:29" s="241" customFormat="1">
      <c r="A24" s="680" t="s">
        <v>974</v>
      </c>
      <c r="B24" s="241" t="s">
        <v>538</v>
      </c>
      <c r="D24" s="690"/>
      <c r="E24" s="697">
        <f t="shared" ref="E24:V24" ca="1" si="2">E23/D23-1</f>
        <v>4.4288459931480784E-3</v>
      </c>
      <c r="F24" s="697">
        <f t="shared" ca="1" si="2"/>
        <v>1.3727121464226277E-2</v>
      </c>
      <c r="G24" s="697">
        <f t="shared" ca="1" si="2"/>
        <v>2.6343865408288814E-2</v>
      </c>
      <c r="H24" s="697">
        <f t="shared" ca="1" si="2"/>
        <v>2.1269790500559882E-2</v>
      </c>
      <c r="I24" s="697">
        <f t="shared" ca="1" si="2"/>
        <v>1.6990291262135582E-2</v>
      </c>
      <c r="J24" s="697">
        <f t="shared" ca="1" si="2"/>
        <v>8.0067749634311625E-3</v>
      </c>
      <c r="K24" s="697">
        <f t="shared" ca="1" si="2"/>
        <v>3.6737187810280236E-2</v>
      </c>
      <c r="L24" s="697">
        <f t="shared" ca="1" si="2"/>
        <v>8.7741270075143429E-2</v>
      </c>
      <c r="M24" s="697">
        <f t="shared" ca="1" si="2"/>
        <v>5.5469014561462915E-2</v>
      </c>
      <c r="N24" s="697">
        <f t="shared" ca="1" si="2"/>
        <v>3.2148357289527585E-2</v>
      </c>
      <c r="O24" s="697">
        <f t="shared" ca="1" si="2"/>
        <v>3.7861361516941638E-2</v>
      </c>
      <c r="P24" s="697">
        <f t="shared" ca="1" si="2"/>
        <v>2.8726668599392768E-2</v>
      </c>
      <c r="Q24" s="697">
        <f t="shared" ca="1" si="2"/>
        <v>1.9714722278583841E-2</v>
      </c>
      <c r="R24" s="697">
        <f t="shared" ca="1" si="2"/>
        <v>1.9900237840724255E-2</v>
      </c>
      <c r="S24" s="697">
        <f t="shared" ca="1" si="2"/>
        <v>2.012851757404488E-2</v>
      </c>
      <c r="T24" s="697">
        <f t="shared" ca="1" si="2"/>
        <v>2.0002387649231457E-2</v>
      </c>
      <c r="U24" s="697">
        <f t="shared" ca="1" si="2"/>
        <v>1.9999944780147993E-2</v>
      </c>
      <c r="V24" s="697">
        <f t="shared" ca="1" si="2"/>
        <v>2.0000000000000462E-2</v>
      </c>
      <c r="W24" s="240"/>
      <c r="X24" s="240"/>
      <c r="Y24" s="240"/>
      <c r="Z24" s="240"/>
      <c r="AA24" s="240"/>
      <c r="AB24" s="240"/>
      <c r="AC24" s="240"/>
    </row>
    <row r="25" spans="1:29" s="241" customFormat="1">
      <c r="A25" s="680"/>
      <c r="D25" s="694"/>
      <c r="E25" s="694"/>
      <c r="F25" s="694"/>
      <c r="G25" s="694"/>
      <c r="H25" s="694"/>
      <c r="I25" s="694"/>
      <c r="J25" s="694"/>
      <c r="K25" s="694"/>
      <c r="L25" s="694"/>
      <c r="M25" s="694"/>
      <c r="N25" s="694"/>
      <c r="O25" s="694"/>
      <c r="P25" s="694"/>
      <c r="Q25" s="694"/>
      <c r="R25" s="694"/>
      <c r="S25" s="694"/>
      <c r="T25" s="694"/>
      <c r="U25" s="694"/>
      <c r="V25" s="694"/>
      <c r="W25" s="240"/>
      <c r="X25" s="240"/>
      <c r="Y25" s="240"/>
      <c r="Z25" s="240"/>
      <c r="AA25" s="240"/>
      <c r="AB25" s="240"/>
      <c r="AC25" s="240"/>
    </row>
    <row r="26" spans="1:29" s="241" customFormat="1">
      <c r="A26" s="819" t="s">
        <v>975</v>
      </c>
      <c r="W26" s="240"/>
      <c r="X26" s="240"/>
      <c r="Y26" s="240"/>
      <c r="Z26" s="240"/>
      <c r="AA26" s="240"/>
      <c r="AB26" s="240"/>
      <c r="AC26" s="240"/>
    </row>
    <row r="27" spans="1:29">
      <c r="A27" s="698" t="s">
        <v>182</v>
      </c>
      <c r="B27" s="241" t="s">
        <v>976</v>
      </c>
      <c r="D27" s="699"/>
      <c r="E27" s="793">
        <v>5.0781749999999981E-3</v>
      </c>
      <c r="F27" s="793">
        <v>3.4351165354330696E-3</v>
      </c>
      <c r="G27" s="793">
        <v>3.5873463999999927E-3</v>
      </c>
      <c r="H27" s="793">
        <v>6.6127083003952522E-3</v>
      </c>
      <c r="I27" s="793">
        <v>6.8032334645669254E-3</v>
      </c>
      <c r="J27" s="793">
        <v>7.1293557312252962E-4</v>
      </c>
      <c r="K27" s="793">
        <v>1.7992043478260893E-3</v>
      </c>
      <c r="L27" s="793">
        <v>1.6124834482758615E-2</v>
      </c>
      <c r="M27" s="793">
        <v>0</v>
      </c>
      <c r="N27" s="793">
        <v>0</v>
      </c>
      <c r="O27" s="793">
        <v>0</v>
      </c>
      <c r="P27" s="793">
        <v>0</v>
      </c>
      <c r="Q27" s="793">
        <v>0</v>
      </c>
      <c r="R27" s="793">
        <v>0</v>
      </c>
      <c r="S27" s="793">
        <v>0</v>
      </c>
      <c r="T27" s="793">
        <v>0</v>
      </c>
      <c r="U27" s="793">
        <v>0</v>
      </c>
      <c r="V27" s="793">
        <v>0</v>
      </c>
    </row>
    <row r="28" spans="1:29">
      <c r="A28" s="698" t="s">
        <v>192</v>
      </c>
      <c r="B28" s="241" t="s">
        <v>976</v>
      </c>
      <c r="D28" s="700"/>
      <c r="E28" s="793">
        <v>5.8068182539682423E-3</v>
      </c>
      <c r="F28" s="793">
        <v>4.3909897637795323E-3</v>
      </c>
      <c r="G28" s="793">
        <v>4.1095687999999977E-3</v>
      </c>
      <c r="H28" s="793">
        <v>8.0087794466403173E-3</v>
      </c>
      <c r="I28" s="793">
        <v>7.5744059055118116E-3</v>
      </c>
      <c r="J28" s="793">
        <v>1.3609695652173914E-3</v>
      </c>
      <c r="K28" s="793">
        <v>2.7350237154150202E-3</v>
      </c>
      <c r="L28" s="793">
        <v>2.0728227586206897E-2</v>
      </c>
      <c r="M28" s="793">
        <v>0</v>
      </c>
      <c r="N28" s="793">
        <v>0</v>
      </c>
      <c r="O28" s="793">
        <v>0</v>
      </c>
      <c r="P28" s="793">
        <v>0</v>
      </c>
      <c r="Q28" s="793">
        <v>0</v>
      </c>
      <c r="R28" s="793">
        <v>0</v>
      </c>
      <c r="S28" s="793">
        <v>0</v>
      </c>
      <c r="T28" s="793">
        <v>0</v>
      </c>
      <c r="U28" s="793">
        <v>0</v>
      </c>
      <c r="V28" s="793">
        <v>0</v>
      </c>
    </row>
    <row r="29" spans="1:29">
      <c r="A29" s="698" t="s">
        <v>201</v>
      </c>
      <c r="B29" s="241" t="s">
        <v>976</v>
      </c>
      <c r="D29" s="700"/>
      <c r="E29" s="793">
        <v>7.3433785714285757E-3</v>
      </c>
      <c r="F29" s="793">
        <v>5.8573948818897627E-3</v>
      </c>
      <c r="G29" s="793">
        <v>5.2583908000000011E-3</v>
      </c>
      <c r="H29" s="793">
        <v>9.1325312252964405E-3</v>
      </c>
      <c r="I29" s="793">
        <v>8.273687007874014E-3</v>
      </c>
      <c r="J29" s="793">
        <v>1.9395011857707503E-3</v>
      </c>
      <c r="K29" s="793">
        <v>4.3624873517786591E-3</v>
      </c>
      <c r="L29" s="793">
        <v>2.6949648275862076E-2</v>
      </c>
      <c r="M29" s="793">
        <v>0</v>
      </c>
      <c r="N29" s="793">
        <v>0</v>
      </c>
      <c r="O29" s="793">
        <v>0</v>
      </c>
      <c r="P29" s="793">
        <v>0</v>
      </c>
      <c r="Q29" s="793">
        <v>0</v>
      </c>
      <c r="R29" s="793">
        <v>0</v>
      </c>
      <c r="S29" s="793">
        <v>0</v>
      </c>
      <c r="T29" s="793">
        <v>0</v>
      </c>
      <c r="U29" s="793">
        <v>0</v>
      </c>
      <c r="V29" s="793">
        <v>0</v>
      </c>
    </row>
    <row r="30" spans="1:29">
      <c r="A30" s="698" t="s">
        <v>209</v>
      </c>
      <c r="B30" s="241" t="s">
        <v>976</v>
      </c>
      <c r="D30" s="700"/>
      <c r="E30" s="793">
        <v>1.0276014682539681E-2</v>
      </c>
      <c r="F30" s="793">
        <v>8.2560413385826831E-3</v>
      </c>
      <c r="G30" s="793">
        <v>7.3098551999999963E-3</v>
      </c>
      <c r="H30" s="793">
        <v>1.0661026482213445E-2</v>
      </c>
      <c r="I30" s="793">
        <v>9.1932188976377952E-3</v>
      </c>
      <c r="J30" s="793">
        <v>2.9339932806324107E-3</v>
      </c>
      <c r="K30" s="793">
        <v>6.4837596837944711E-3</v>
      </c>
      <c r="L30" s="793">
        <v>3.0349648275862076E-2</v>
      </c>
      <c r="M30" s="793">
        <v>0</v>
      </c>
      <c r="N30" s="793">
        <v>0</v>
      </c>
      <c r="O30" s="793">
        <v>0</v>
      </c>
      <c r="P30" s="793">
        <v>0</v>
      </c>
      <c r="Q30" s="793">
        <v>0</v>
      </c>
      <c r="R30" s="793">
        <v>0</v>
      </c>
      <c r="S30" s="793">
        <v>0</v>
      </c>
      <c r="T30" s="793">
        <v>0</v>
      </c>
      <c r="U30" s="793">
        <v>0</v>
      </c>
      <c r="V30" s="793">
        <v>0</v>
      </c>
    </row>
    <row r="31" spans="1:29">
      <c r="A31" s="698" t="s">
        <v>214</v>
      </c>
      <c r="B31" s="241" t="s">
        <v>976</v>
      </c>
      <c r="D31" s="701"/>
      <c r="E31" s="793">
        <v>4.6020119047619082E-3</v>
      </c>
      <c r="F31" s="793">
        <v>2.9717686274509819E-3</v>
      </c>
      <c r="G31" s="793">
        <v>3.1490079681274906E-3</v>
      </c>
      <c r="H31" s="793">
        <v>6.1974703557312293E-3</v>
      </c>
      <c r="I31" s="793">
        <v>6.76011023622047E-3</v>
      </c>
      <c r="J31" s="793">
        <v>5.5921739130434752E-4</v>
      </c>
      <c r="K31" s="793">
        <v>1.4230988142292492E-3</v>
      </c>
      <c r="L31" s="793">
        <v>2.2631043824701203E-2</v>
      </c>
      <c r="M31" s="793">
        <v>4.9711560000000002E-2</v>
      </c>
      <c r="N31" s="793">
        <v>4.8984854299999998E-2</v>
      </c>
      <c r="O31" s="793">
        <v>4.0094861699999998E-2</v>
      </c>
      <c r="P31" s="793">
        <v>3.8717342500000002E-2</v>
      </c>
      <c r="Q31" s="793">
        <v>4.3496419000000001E-2</v>
      </c>
      <c r="R31" s="793">
        <v>4.3675980199999999E-2</v>
      </c>
      <c r="S31" s="793">
        <v>4.3702328800000002E-2</v>
      </c>
      <c r="T31" s="793">
        <v>4.4538281499999999E-2</v>
      </c>
      <c r="U31" s="793">
        <v>4.5778735500000001E-2</v>
      </c>
      <c r="V31" s="793">
        <v>4.72233388E-2</v>
      </c>
    </row>
    <row r="32" spans="1:29"/>
    <row r="33" spans="16:22">
      <c r="P33" s="241"/>
      <c r="Q33" s="241"/>
      <c r="R33" s="241"/>
      <c r="S33" s="241"/>
      <c r="T33" s="241"/>
      <c r="U33" s="241"/>
      <c r="V33" s="241"/>
    </row>
    <row r="34" spans="16:22" ht="15" customHeight="1">
      <c r="P34" s="241"/>
      <c r="Q34" s="241"/>
      <c r="R34" s="241"/>
      <c r="S34" s="241"/>
      <c r="T34" s="241"/>
      <c r="U34" s="241"/>
      <c r="V34" s="241"/>
    </row>
    <row r="35" spans="16:22" ht="15" customHeight="1">
      <c r="P35" s="241"/>
      <c r="Q35" s="241"/>
      <c r="R35" s="241"/>
      <c r="S35" s="241"/>
      <c r="T35" s="241"/>
      <c r="U35" s="241"/>
      <c r="V35" s="241"/>
    </row>
    <row r="36" spans="16:22" ht="15" customHeight="1">
      <c r="P36" s="241"/>
      <c r="Q36" s="241"/>
      <c r="R36" s="241"/>
      <c r="S36" s="241"/>
      <c r="T36" s="241"/>
      <c r="U36" s="241"/>
      <c r="V36" s="241"/>
    </row>
    <row r="37" spans="16:22" ht="15" customHeight="1">
      <c r="P37" s="241"/>
      <c r="Q37" s="241"/>
      <c r="R37" s="241"/>
      <c r="S37" s="241"/>
      <c r="T37" s="241"/>
      <c r="U37" s="241"/>
      <c r="V37" s="241"/>
    </row>
    <row r="38" spans="16:22" ht="15" customHeight="1">
      <c r="P38" s="241"/>
      <c r="Q38" s="241"/>
      <c r="R38" s="241"/>
      <c r="S38" s="241"/>
      <c r="T38" s="241"/>
      <c r="U38" s="241"/>
      <c r="V38" s="241"/>
    </row>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7A7F7-C80F-48F3-8335-7A340EEC67B9}">
  <sheetPr codeName="Sheet19">
    <tabColor rgb="FFFFFFCC"/>
    <pageSetUpPr autoPageBreaks="0"/>
  </sheetPr>
  <dimension ref="A1:X429"/>
  <sheetViews>
    <sheetView topLeftCell="A290" zoomScale="80" zoomScaleNormal="80" workbookViewId="0">
      <selection activeCell="C318" sqref="C318:E332"/>
    </sheetView>
  </sheetViews>
  <sheetFormatPr defaultColWidth="9" defaultRowHeight="12.75" zeroHeight="1"/>
  <cols>
    <col min="1" max="1" width="12" style="718" customWidth="1"/>
    <col min="2" max="2" width="8.375" style="715" customWidth="1"/>
    <col min="3" max="5" width="9.375" style="358" customWidth="1"/>
    <col min="6" max="6" width="9.375" style="716" customWidth="1"/>
    <col min="7" max="8" width="9.375" style="358" customWidth="1"/>
    <col min="9" max="11" width="9.375" style="717" customWidth="1"/>
    <col min="12" max="12" width="10" style="358" customWidth="1"/>
    <col min="13" max="22" width="13.5" style="358" customWidth="1"/>
    <col min="23" max="23" width="11" style="101" customWidth="1"/>
    <col min="24" max="24" width="8.5" style="357" customWidth="1"/>
    <col min="25" max="51" width="9" style="101" customWidth="1"/>
    <col min="52" max="16384" width="9" style="101"/>
  </cols>
  <sheetData>
    <row r="1" spans="1:24" s="661" customFormat="1" ht="19.5">
      <c r="A1" s="834" t="str">
        <f ca="1">MID(CELL("filename",A1),FIND("]",CELL("filename",A1))+1,256)</f>
        <v>I2 - Monthly Inflation</v>
      </c>
      <c r="B1" s="659"/>
      <c r="C1" s="659"/>
      <c r="D1" s="659"/>
      <c r="E1" s="659"/>
      <c r="F1" s="659"/>
      <c r="G1" s="659"/>
      <c r="H1" s="659"/>
      <c r="I1" s="659"/>
      <c r="J1" s="659"/>
      <c r="K1" s="659"/>
      <c r="L1" s="660"/>
      <c r="M1" s="702"/>
      <c r="N1" s="702"/>
      <c r="O1" s="702"/>
      <c r="P1" s="702"/>
      <c r="Q1" s="702"/>
      <c r="R1" s="702"/>
      <c r="S1" s="702"/>
      <c r="T1" s="702"/>
    </row>
    <row r="2" spans="1:24" s="661" customFormat="1" ht="19.5">
      <c r="A2" s="834" t="str">
        <f>Licensee</f>
        <v>NGED-SWALES</v>
      </c>
      <c r="B2" s="659"/>
      <c r="C2" s="659"/>
      <c r="D2" s="659"/>
      <c r="E2" s="659"/>
      <c r="F2" s="659"/>
      <c r="G2" s="659"/>
      <c r="H2" s="659"/>
      <c r="I2" s="659"/>
      <c r="J2" s="659"/>
      <c r="K2" s="659"/>
      <c r="L2" s="660"/>
      <c r="M2" s="702"/>
      <c r="N2" s="702"/>
      <c r="O2" s="702"/>
      <c r="P2" s="702"/>
      <c r="Q2" s="702"/>
      <c r="R2" s="702"/>
      <c r="S2" s="702"/>
      <c r="T2" s="702"/>
    </row>
    <row r="3" spans="1:24" s="661" customFormat="1" ht="19.5">
      <c r="A3" s="835" t="str">
        <f>Sector</f>
        <v>ED2</v>
      </c>
      <c r="B3" s="662"/>
      <c r="C3" s="662"/>
      <c r="D3" s="662"/>
      <c r="E3" s="662"/>
      <c r="F3" s="662"/>
      <c r="G3" s="662"/>
      <c r="H3" s="662"/>
      <c r="I3" s="662"/>
      <c r="J3" s="662"/>
      <c r="K3" s="662"/>
      <c r="L3" s="663"/>
      <c r="M3" s="702"/>
      <c r="N3" s="702"/>
      <c r="O3" s="702"/>
      <c r="P3" s="702"/>
      <c r="Q3" s="702"/>
      <c r="R3" s="702"/>
      <c r="S3" s="702"/>
      <c r="T3" s="702"/>
    </row>
    <row r="4" spans="1:24" s="665" customFormat="1" ht="15">
      <c r="A4" s="337" t="s">
        <v>977</v>
      </c>
      <c r="B4" s="337"/>
      <c r="C4" s="338"/>
      <c r="D4" s="339"/>
      <c r="E4" s="339"/>
      <c r="F4" s="339"/>
      <c r="G4" s="339"/>
      <c r="H4" s="339"/>
      <c r="I4" s="339"/>
      <c r="J4" s="339"/>
      <c r="K4" s="339"/>
      <c r="L4" s="340"/>
      <c r="M4" s="664"/>
      <c r="N4" s="664"/>
      <c r="O4" s="664"/>
      <c r="P4" s="664"/>
      <c r="Q4" s="664"/>
      <c r="R4" s="664"/>
      <c r="S4" s="664"/>
      <c r="U4" s="661"/>
      <c r="V4" s="661"/>
    </row>
    <row r="5" spans="1:24" ht="32.25" customHeight="1">
      <c r="A5" s="703" t="s">
        <v>978</v>
      </c>
      <c r="B5" s="703" t="s">
        <v>979</v>
      </c>
      <c r="C5" s="704" t="s">
        <v>980</v>
      </c>
      <c r="D5" s="704" t="s">
        <v>981</v>
      </c>
      <c r="E5" s="704" t="s">
        <v>982</v>
      </c>
      <c r="F5" s="705" t="s">
        <v>983</v>
      </c>
      <c r="G5" s="706" t="s">
        <v>984</v>
      </c>
      <c r="H5" s="705" t="s">
        <v>985</v>
      </c>
      <c r="I5" s="707" t="s">
        <v>202</v>
      </c>
      <c r="J5" s="707" t="s">
        <v>183</v>
      </c>
      <c r="K5" s="707" t="s">
        <v>193</v>
      </c>
      <c r="L5" s="708"/>
      <c r="M5" s="708"/>
      <c r="N5" s="708"/>
      <c r="O5" s="708"/>
      <c r="P5" s="708"/>
      <c r="Q5" s="708"/>
      <c r="R5" s="708"/>
      <c r="S5" s="708"/>
      <c r="T5" s="708"/>
      <c r="U5" s="708"/>
      <c r="V5" s="708"/>
      <c r="X5" s="101"/>
    </row>
    <row r="6" spans="1:24">
      <c r="A6" s="719">
        <f>EOMONTH(DATE(1999, 4, 1), 0)</f>
        <v>36280</v>
      </c>
      <c r="B6" s="720">
        <f t="shared" ref="B6:B69" si="0">IF(MONTH(A6)&gt;=4,YEAR(A6)+1,YEAR(A6))</f>
        <v>2000</v>
      </c>
      <c r="C6" s="794">
        <v>72.599999999999994</v>
      </c>
      <c r="D6" s="794">
        <v>165.2</v>
      </c>
      <c r="E6" s="794">
        <v>72.2</v>
      </c>
      <c r="F6" s="721" t="str">
        <f>IF($A6&lt;DATE(2018,7,1),"-",INDEX('I1 - Universal Data'!$E$16:$V$16, MATCH(YEAR(EOMONTH($A6,6)), 'I1 - Universal Data'!$E$14:$V$14, 0)))</f>
        <v>-</v>
      </c>
      <c r="G6" s="721" t="str">
        <f>IF($A6&lt;DATE(2018,7,1),"-",INDEX('I1 - Universal Data'!$E$15:$V$15, MATCH(YEAR(EOMONTH($A6,6)), 'I1 - Universal Data'!$E$14:$V$14, 0)))</f>
        <v>-</v>
      </c>
      <c r="H6" s="721" t="str">
        <f>IF($A6&lt;DATE(2018,7,1),"-",INDEX('I1 - Universal Data'!$E$17:$V$17, MATCH(YEAR(EOMONTH($A6,6)), 'I1 - Universal Data'!$E$14:$V$14, 0)))</f>
        <v>-</v>
      </c>
      <c r="I6" s="722">
        <f>IF(ISBLANK(C6),I5*((1+F6)^(1/12)),C6)</f>
        <v>72.599999999999994</v>
      </c>
      <c r="J6" s="722">
        <f>IF(ISBLANK(D6),J5*((1+G6)^(1/12)),D6)</f>
        <v>165.2</v>
      </c>
      <c r="K6" s="722">
        <f>IF(ISBLANK(E6),K5*((1+H6)^(1/12)),E6)</f>
        <v>72.2</v>
      </c>
      <c r="X6" s="101"/>
    </row>
    <row r="7" spans="1:24">
      <c r="A7" s="719">
        <f t="shared" ref="A7:A70" si="1">IF(MONTH(A6) = 12, EOMONTH(DATE(YEAR(A6) + 1, 1, 1), 0), EOMONTH(DATE(YEAR(A6), MONTH(A6) + 1, 1), 0))</f>
        <v>36311</v>
      </c>
      <c r="B7" s="720">
        <f t="shared" si="0"/>
        <v>2000</v>
      </c>
      <c r="C7" s="794">
        <v>72.8</v>
      </c>
      <c r="D7" s="794">
        <v>165.6</v>
      </c>
      <c r="E7" s="794">
        <v>72.400000000000006</v>
      </c>
      <c r="F7" s="721" t="str">
        <f>IF($A7&lt;DATE(2018,7,1),"-",INDEX('I1 - Universal Data'!$E$16:$V$16, MATCH(YEAR(EOMONTH($A7,6)), 'I1 - Universal Data'!$E$14:$V$14, 0)))</f>
        <v>-</v>
      </c>
      <c r="G7" s="721" t="str">
        <f>IF($A7&lt;DATE(2018,7,1),"-",INDEX('I1 - Universal Data'!$E$15:$V$15, MATCH(YEAR(EOMONTH($A7,6)), 'I1 - Universal Data'!$E$14:$V$14, 0)))</f>
        <v>-</v>
      </c>
      <c r="H7" s="721" t="str">
        <f>IF($A7&lt;DATE(2018,7,1),"-",INDEX('I1 - Universal Data'!$E$17:$V$17, MATCH(YEAR(EOMONTH($A7,6)), 'I1 - Universal Data'!$E$14:$V$14, 0)))</f>
        <v>-</v>
      </c>
      <c r="I7" s="722">
        <f t="shared" ref="I7:I70" si="2">IF(ISBLANK(C7),I6*((1+F7)^(1/12)),C7)</f>
        <v>72.8</v>
      </c>
      <c r="J7" s="722">
        <f t="shared" ref="J7:J70" si="3">IF(ISBLANK(D7),J6*((1+G7)^(1/12)),D7)</f>
        <v>165.6</v>
      </c>
      <c r="K7" s="722">
        <f t="shared" ref="K7:K70" si="4">IF(ISBLANK(E7),K6*((1+H7)^(1/12)),E7)</f>
        <v>72.400000000000006</v>
      </c>
      <c r="X7" s="101"/>
    </row>
    <row r="8" spans="1:24">
      <c r="A8" s="719">
        <f t="shared" si="1"/>
        <v>36341</v>
      </c>
      <c r="B8" s="720">
        <f t="shared" si="0"/>
        <v>2000</v>
      </c>
      <c r="C8" s="794">
        <v>72.7</v>
      </c>
      <c r="D8" s="794">
        <v>165.6</v>
      </c>
      <c r="E8" s="794">
        <v>72.3</v>
      </c>
      <c r="F8" s="721" t="str">
        <f>IF($A8&lt;DATE(2018,7,1),"-",INDEX('I1 - Universal Data'!$E$16:$V$16, MATCH(YEAR(EOMONTH($A8,6)), 'I1 - Universal Data'!$E$14:$V$14, 0)))</f>
        <v>-</v>
      </c>
      <c r="G8" s="721" t="str">
        <f>IF($A8&lt;DATE(2018,7,1),"-",INDEX('I1 - Universal Data'!$E$15:$V$15, MATCH(YEAR(EOMONTH($A8,6)), 'I1 - Universal Data'!$E$14:$V$14, 0)))</f>
        <v>-</v>
      </c>
      <c r="H8" s="721" t="str">
        <f>IF($A8&lt;DATE(2018,7,1),"-",INDEX('I1 - Universal Data'!$E$17:$V$17, MATCH(YEAR(EOMONTH($A8,6)), 'I1 - Universal Data'!$E$14:$V$14, 0)))</f>
        <v>-</v>
      </c>
      <c r="I8" s="722">
        <f t="shared" si="2"/>
        <v>72.7</v>
      </c>
      <c r="J8" s="722">
        <f t="shared" si="3"/>
        <v>165.6</v>
      </c>
      <c r="K8" s="722">
        <f t="shared" si="4"/>
        <v>72.3</v>
      </c>
      <c r="X8" s="101"/>
    </row>
    <row r="9" spans="1:24">
      <c r="A9" s="719">
        <f t="shared" si="1"/>
        <v>36372</v>
      </c>
      <c r="B9" s="720">
        <f t="shared" si="0"/>
        <v>2000</v>
      </c>
      <c r="C9" s="794">
        <v>72.400000000000006</v>
      </c>
      <c r="D9" s="794">
        <v>165.1</v>
      </c>
      <c r="E9" s="794">
        <v>71.900000000000006</v>
      </c>
      <c r="F9" s="721" t="str">
        <f>IF($A9&lt;DATE(2018,7,1),"-",INDEX('I1 - Universal Data'!$E$16:$V$16, MATCH(YEAR(EOMONTH($A9,6)), 'I1 - Universal Data'!$E$14:$V$14, 0)))</f>
        <v>-</v>
      </c>
      <c r="G9" s="721" t="str">
        <f>IF($A9&lt;DATE(2018,7,1),"-",INDEX('I1 - Universal Data'!$E$15:$V$15, MATCH(YEAR(EOMONTH($A9,6)), 'I1 - Universal Data'!$E$14:$V$14, 0)))</f>
        <v>-</v>
      </c>
      <c r="H9" s="721" t="str">
        <f>IF($A9&lt;DATE(2018,7,1),"-",INDEX('I1 - Universal Data'!$E$17:$V$17, MATCH(YEAR(EOMONTH($A9,6)), 'I1 - Universal Data'!$E$14:$V$14, 0)))</f>
        <v>-</v>
      </c>
      <c r="I9" s="722">
        <f t="shared" si="2"/>
        <v>72.400000000000006</v>
      </c>
      <c r="J9" s="722">
        <f t="shared" si="3"/>
        <v>165.1</v>
      </c>
      <c r="K9" s="722">
        <f t="shared" si="4"/>
        <v>71.900000000000006</v>
      </c>
      <c r="X9" s="101"/>
    </row>
    <row r="10" spans="1:24">
      <c r="A10" s="719">
        <f t="shared" si="1"/>
        <v>36403</v>
      </c>
      <c r="B10" s="720">
        <f t="shared" si="0"/>
        <v>2000</v>
      </c>
      <c r="C10" s="794">
        <v>72.599999999999994</v>
      </c>
      <c r="D10" s="794">
        <v>165.5</v>
      </c>
      <c r="E10" s="794">
        <v>72.099999999999994</v>
      </c>
      <c r="F10" s="721" t="str">
        <f>IF($A10&lt;DATE(2018,7,1),"-",INDEX('I1 - Universal Data'!$E$16:$V$16, MATCH(YEAR(EOMONTH($A10,6)), 'I1 - Universal Data'!$E$14:$V$14, 0)))</f>
        <v>-</v>
      </c>
      <c r="G10" s="721" t="str">
        <f>IF($A10&lt;DATE(2018,7,1),"-",INDEX('I1 - Universal Data'!$E$15:$V$15, MATCH(YEAR(EOMONTH($A10,6)), 'I1 - Universal Data'!$E$14:$V$14, 0)))</f>
        <v>-</v>
      </c>
      <c r="H10" s="721" t="str">
        <f>IF($A10&lt;DATE(2018,7,1),"-",INDEX('I1 - Universal Data'!$E$17:$V$17, MATCH(YEAR(EOMONTH($A10,6)), 'I1 - Universal Data'!$E$14:$V$14, 0)))</f>
        <v>-</v>
      </c>
      <c r="I10" s="722">
        <f t="shared" si="2"/>
        <v>72.599999999999994</v>
      </c>
      <c r="J10" s="722">
        <f t="shared" si="3"/>
        <v>165.5</v>
      </c>
      <c r="K10" s="722">
        <f t="shared" si="4"/>
        <v>72.099999999999994</v>
      </c>
      <c r="X10" s="101"/>
    </row>
    <row r="11" spans="1:24">
      <c r="A11" s="719">
        <f t="shared" si="1"/>
        <v>36433</v>
      </c>
      <c r="B11" s="720">
        <f t="shared" si="0"/>
        <v>2000</v>
      </c>
      <c r="C11" s="794">
        <v>72.8</v>
      </c>
      <c r="D11" s="794">
        <v>166.2</v>
      </c>
      <c r="E11" s="794">
        <v>72.400000000000006</v>
      </c>
      <c r="F11" s="721" t="str">
        <f>IF($A11&lt;DATE(2018,7,1),"-",INDEX('I1 - Universal Data'!$E$16:$V$16, MATCH(YEAR(EOMONTH($A11,6)), 'I1 - Universal Data'!$E$14:$V$14, 0)))</f>
        <v>-</v>
      </c>
      <c r="G11" s="721" t="str">
        <f>IF($A11&lt;DATE(2018,7,1),"-",INDEX('I1 - Universal Data'!$E$15:$V$15, MATCH(YEAR(EOMONTH($A11,6)), 'I1 - Universal Data'!$E$14:$V$14, 0)))</f>
        <v>-</v>
      </c>
      <c r="H11" s="721" t="str">
        <f>IF($A11&lt;DATE(2018,7,1),"-",INDEX('I1 - Universal Data'!$E$17:$V$17, MATCH(YEAR(EOMONTH($A11,6)), 'I1 - Universal Data'!$E$14:$V$14, 0)))</f>
        <v>-</v>
      </c>
      <c r="I11" s="722">
        <f t="shared" si="2"/>
        <v>72.8</v>
      </c>
      <c r="J11" s="722">
        <f t="shared" si="3"/>
        <v>166.2</v>
      </c>
      <c r="K11" s="722">
        <f t="shared" si="4"/>
        <v>72.400000000000006</v>
      </c>
      <c r="X11" s="101"/>
    </row>
    <row r="12" spans="1:24">
      <c r="A12" s="719">
        <f t="shared" si="1"/>
        <v>36464</v>
      </c>
      <c r="B12" s="720">
        <f t="shared" si="0"/>
        <v>2000</v>
      </c>
      <c r="C12" s="794">
        <v>72.8</v>
      </c>
      <c r="D12" s="794">
        <v>166.5</v>
      </c>
      <c r="E12" s="794">
        <v>72.3</v>
      </c>
      <c r="F12" s="721" t="str">
        <f>IF($A12&lt;DATE(2018,7,1),"-",INDEX('I1 - Universal Data'!$E$16:$V$16, MATCH(YEAR(EOMONTH($A12,6)), 'I1 - Universal Data'!$E$14:$V$14, 0)))</f>
        <v>-</v>
      </c>
      <c r="G12" s="721" t="str">
        <f>IF($A12&lt;DATE(2018,7,1),"-",INDEX('I1 - Universal Data'!$E$15:$V$15, MATCH(YEAR(EOMONTH($A12,6)), 'I1 - Universal Data'!$E$14:$V$14, 0)))</f>
        <v>-</v>
      </c>
      <c r="H12" s="721" t="str">
        <f>IF($A12&lt;DATE(2018,7,1),"-",INDEX('I1 - Universal Data'!$E$17:$V$17, MATCH(YEAR(EOMONTH($A12,6)), 'I1 - Universal Data'!$E$14:$V$14, 0)))</f>
        <v>-</v>
      </c>
      <c r="I12" s="722">
        <f t="shared" si="2"/>
        <v>72.8</v>
      </c>
      <c r="J12" s="722">
        <f t="shared" si="3"/>
        <v>166.5</v>
      </c>
      <c r="K12" s="722">
        <f t="shared" si="4"/>
        <v>72.3</v>
      </c>
      <c r="X12" s="101"/>
    </row>
    <row r="13" spans="1:24">
      <c r="A13" s="719">
        <f t="shared" si="1"/>
        <v>36494</v>
      </c>
      <c r="B13" s="720">
        <f t="shared" si="0"/>
        <v>2000</v>
      </c>
      <c r="C13" s="794">
        <v>72.900000000000006</v>
      </c>
      <c r="D13" s="794">
        <v>166.7</v>
      </c>
      <c r="E13" s="794">
        <v>72.400000000000006</v>
      </c>
      <c r="F13" s="721" t="str">
        <f>IF($A13&lt;DATE(2018,7,1),"-",INDEX('I1 - Universal Data'!$E$16:$V$16, MATCH(YEAR(EOMONTH($A13,6)), 'I1 - Universal Data'!$E$14:$V$14, 0)))</f>
        <v>-</v>
      </c>
      <c r="G13" s="721" t="str">
        <f>IF($A13&lt;DATE(2018,7,1),"-",INDEX('I1 - Universal Data'!$E$15:$V$15, MATCH(YEAR(EOMONTH($A13,6)), 'I1 - Universal Data'!$E$14:$V$14, 0)))</f>
        <v>-</v>
      </c>
      <c r="H13" s="721" t="str">
        <f>IF($A13&lt;DATE(2018,7,1),"-",INDEX('I1 - Universal Data'!$E$17:$V$17, MATCH(YEAR(EOMONTH($A13,6)), 'I1 - Universal Data'!$E$14:$V$14, 0)))</f>
        <v>-</v>
      </c>
      <c r="I13" s="722">
        <f t="shared" si="2"/>
        <v>72.900000000000006</v>
      </c>
      <c r="J13" s="722">
        <f t="shared" si="3"/>
        <v>166.7</v>
      </c>
      <c r="K13" s="722">
        <f t="shared" si="4"/>
        <v>72.400000000000006</v>
      </c>
      <c r="X13" s="101"/>
    </row>
    <row r="14" spans="1:24">
      <c r="A14" s="719">
        <f t="shared" si="1"/>
        <v>36525</v>
      </c>
      <c r="B14" s="720">
        <f t="shared" si="0"/>
        <v>2000</v>
      </c>
      <c r="C14" s="794">
        <v>73.099999999999994</v>
      </c>
      <c r="D14" s="794">
        <v>167.3</v>
      </c>
      <c r="E14" s="794">
        <v>72.599999999999994</v>
      </c>
      <c r="F14" s="721" t="str">
        <f>IF($A14&lt;DATE(2018,7,1),"-",INDEX('I1 - Universal Data'!$E$16:$V$16, MATCH(YEAR(EOMONTH($A14,6)), 'I1 - Universal Data'!$E$14:$V$14, 0)))</f>
        <v>-</v>
      </c>
      <c r="G14" s="721" t="str">
        <f>IF($A14&lt;DATE(2018,7,1),"-",INDEX('I1 - Universal Data'!$E$15:$V$15, MATCH(YEAR(EOMONTH($A14,6)), 'I1 - Universal Data'!$E$14:$V$14, 0)))</f>
        <v>-</v>
      </c>
      <c r="H14" s="721" t="str">
        <f>IF($A14&lt;DATE(2018,7,1),"-",INDEX('I1 - Universal Data'!$E$17:$V$17, MATCH(YEAR(EOMONTH($A14,6)), 'I1 - Universal Data'!$E$14:$V$14, 0)))</f>
        <v>-</v>
      </c>
      <c r="I14" s="722">
        <f t="shared" si="2"/>
        <v>73.099999999999994</v>
      </c>
      <c r="J14" s="722">
        <f t="shared" si="3"/>
        <v>167.3</v>
      </c>
      <c r="K14" s="722">
        <f t="shared" si="4"/>
        <v>72.599999999999994</v>
      </c>
      <c r="X14" s="101"/>
    </row>
    <row r="15" spans="1:24">
      <c r="A15" s="719">
        <f t="shared" si="1"/>
        <v>36556</v>
      </c>
      <c r="B15" s="720">
        <f t="shared" si="0"/>
        <v>2000</v>
      </c>
      <c r="C15" s="794">
        <v>72.599999999999994</v>
      </c>
      <c r="D15" s="794">
        <v>166.6</v>
      </c>
      <c r="E15" s="794">
        <v>71.900000000000006</v>
      </c>
      <c r="F15" s="721" t="str">
        <f>IF($A15&lt;DATE(2018,7,1),"-",INDEX('I1 - Universal Data'!$E$16:$V$16, MATCH(YEAR(EOMONTH($A15,6)), 'I1 - Universal Data'!$E$14:$V$14, 0)))</f>
        <v>-</v>
      </c>
      <c r="G15" s="721" t="str">
        <f>IF($A15&lt;DATE(2018,7,1),"-",INDEX('I1 - Universal Data'!$E$15:$V$15, MATCH(YEAR(EOMONTH($A15,6)), 'I1 - Universal Data'!$E$14:$V$14, 0)))</f>
        <v>-</v>
      </c>
      <c r="H15" s="721" t="str">
        <f>IF($A15&lt;DATE(2018,7,1),"-",INDEX('I1 - Universal Data'!$E$17:$V$17, MATCH(YEAR(EOMONTH($A15,6)), 'I1 - Universal Data'!$E$14:$V$14, 0)))</f>
        <v>-</v>
      </c>
      <c r="I15" s="722">
        <f t="shared" si="2"/>
        <v>72.599999999999994</v>
      </c>
      <c r="J15" s="722">
        <f t="shared" si="3"/>
        <v>166.6</v>
      </c>
      <c r="K15" s="722">
        <f t="shared" si="4"/>
        <v>71.900000000000006</v>
      </c>
      <c r="X15" s="101"/>
    </row>
    <row r="16" spans="1:24">
      <c r="A16" s="719">
        <f t="shared" si="1"/>
        <v>36585</v>
      </c>
      <c r="B16" s="720">
        <f t="shared" si="0"/>
        <v>2000</v>
      </c>
      <c r="C16" s="794">
        <v>72.8</v>
      </c>
      <c r="D16" s="794">
        <v>167.5</v>
      </c>
      <c r="E16" s="794">
        <v>72.2</v>
      </c>
      <c r="F16" s="721" t="str">
        <f>IF($A16&lt;DATE(2018,7,1),"-",INDEX('I1 - Universal Data'!$E$16:$V$16, MATCH(YEAR(EOMONTH($A16,6)), 'I1 - Universal Data'!$E$14:$V$14, 0)))</f>
        <v>-</v>
      </c>
      <c r="G16" s="721" t="str">
        <f>IF($A16&lt;DATE(2018,7,1),"-",INDEX('I1 - Universal Data'!$E$15:$V$15, MATCH(YEAR(EOMONTH($A16,6)), 'I1 - Universal Data'!$E$14:$V$14, 0)))</f>
        <v>-</v>
      </c>
      <c r="H16" s="721" t="str">
        <f>IF($A16&lt;DATE(2018,7,1),"-",INDEX('I1 - Universal Data'!$E$17:$V$17, MATCH(YEAR(EOMONTH($A16,6)), 'I1 - Universal Data'!$E$14:$V$14, 0)))</f>
        <v>-</v>
      </c>
      <c r="I16" s="722">
        <f t="shared" si="2"/>
        <v>72.8</v>
      </c>
      <c r="J16" s="722">
        <f t="shared" si="3"/>
        <v>167.5</v>
      </c>
      <c r="K16" s="722">
        <f t="shared" si="4"/>
        <v>72.2</v>
      </c>
      <c r="X16" s="101"/>
    </row>
    <row r="17" spans="1:24">
      <c r="A17" s="719">
        <f t="shared" si="1"/>
        <v>36616</v>
      </c>
      <c r="B17" s="720">
        <f t="shared" si="0"/>
        <v>2000</v>
      </c>
      <c r="C17" s="794">
        <v>73</v>
      </c>
      <c r="D17" s="794">
        <v>168.4</v>
      </c>
      <c r="E17" s="794">
        <v>72.3</v>
      </c>
      <c r="F17" s="721" t="str">
        <f>IF($A17&lt;DATE(2018,7,1),"-",INDEX('I1 - Universal Data'!$E$16:$V$16, MATCH(YEAR(EOMONTH($A17,6)), 'I1 - Universal Data'!$E$14:$V$14, 0)))</f>
        <v>-</v>
      </c>
      <c r="G17" s="721" t="str">
        <f>IF($A17&lt;DATE(2018,7,1),"-",INDEX('I1 - Universal Data'!$E$15:$V$15, MATCH(YEAR(EOMONTH($A17,6)), 'I1 - Universal Data'!$E$14:$V$14, 0)))</f>
        <v>-</v>
      </c>
      <c r="H17" s="721" t="str">
        <f>IF($A17&lt;DATE(2018,7,1),"-",INDEX('I1 - Universal Data'!$E$17:$V$17, MATCH(YEAR(EOMONTH($A17,6)), 'I1 - Universal Data'!$E$14:$V$14, 0)))</f>
        <v>-</v>
      </c>
      <c r="I17" s="722">
        <f t="shared" si="2"/>
        <v>73</v>
      </c>
      <c r="J17" s="722">
        <f t="shared" si="3"/>
        <v>168.4</v>
      </c>
      <c r="K17" s="722">
        <f t="shared" si="4"/>
        <v>72.3</v>
      </c>
      <c r="X17" s="101"/>
    </row>
    <row r="18" spans="1:24">
      <c r="A18" s="719">
        <f t="shared" si="1"/>
        <v>36646</v>
      </c>
      <c r="B18" s="720">
        <f t="shared" si="0"/>
        <v>2001</v>
      </c>
      <c r="C18" s="794">
        <v>73.3</v>
      </c>
      <c r="D18" s="794">
        <v>170.1</v>
      </c>
      <c r="E18" s="794">
        <v>72.599999999999994</v>
      </c>
      <c r="F18" s="721" t="str">
        <f>IF($A18&lt;DATE(2018,7,1),"-",INDEX('I1 - Universal Data'!$E$16:$V$16, MATCH(YEAR(EOMONTH($A18,6)), 'I1 - Universal Data'!$E$14:$V$14, 0)))</f>
        <v>-</v>
      </c>
      <c r="G18" s="721" t="str">
        <f>IF($A18&lt;DATE(2018,7,1),"-",INDEX('I1 - Universal Data'!$E$15:$V$15, MATCH(YEAR(EOMONTH($A18,6)), 'I1 - Universal Data'!$E$14:$V$14, 0)))</f>
        <v>-</v>
      </c>
      <c r="H18" s="721" t="str">
        <f>IF($A18&lt;DATE(2018,7,1),"-",INDEX('I1 - Universal Data'!$E$17:$V$17, MATCH(YEAR(EOMONTH($A18,6)), 'I1 - Universal Data'!$E$14:$V$14, 0)))</f>
        <v>-</v>
      </c>
      <c r="I18" s="722">
        <f t="shared" si="2"/>
        <v>73.3</v>
      </c>
      <c r="J18" s="722">
        <f t="shared" si="3"/>
        <v>170.1</v>
      </c>
      <c r="K18" s="722">
        <f t="shared" si="4"/>
        <v>72.599999999999994</v>
      </c>
      <c r="X18" s="101"/>
    </row>
    <row r="19" spans="1:24">
      <c r="A19" s="719">
        <f t="shared" si="1"/>
        <v>36677</v>
      </c>
      <c r="B19" s="720">
        <f t="shared" si="0"/>
        <v>2001</v>
      </c>
      <c r="C19" s="794">
        <v>73.5</v>
      </c>
      <c r="D19" s="794">
        <v>170.7</v>
      </c>
      <c r="E19" s="794">
        <v>72.8</v>
      </c>
      <c r="F19" s="721" t="str">
        <f>IF($A19&lt;DATE(2018,7,1),"-",INDEX('I1 - Universal Data'!$E$16:$V$16, MATCH(YEAR(EOMONTH($A19,6)), 'I1 - Universal Data'!$E$14:$V$14, 0)))</f>
        <v>-</v>
      </c>
      <c r="G19" s="721" t="str">
        <f>IF($A19&lt;DATE(2018,7,1),"-",INDEX('I1 - Universal Data'!$E$15:$V$15, MATCH(YEAR(EOMONTH($A19,6)), 'I1 - Universal Data'!$E$14:$V$14, 0)))</f>
        <v>-</v>
      </c>
      <c r="H19" s="721" t="str">
        <f>IF($A19&lt;DATE(2018,7,1),"-",INDEX('I1 - Universal Data'!$E$17:$V$17, MATCH(YEAR(EOMONTH($A19,6)), 'I1 - Universal Data'!$E$14:$V$14, 0)))</f>
        <v>-</v>
      </c>
      <c r="I19" s="722">
        <f t="shared" si="2"/>
        <v>73.5</v>
      </c>
      <c r="J19" s="722">
        <f t="shared" si="3"/>
        <v>170.7</v>
      </c>
      <c r="K19" s="722">
        <f t="shared" si="4"/>
        <v>72.8</v>
      </c>
      <c r="X19" s="101"/>
    </row>
    <row r="20" spans="1:24">
      <c r="A20" s="719">
        <f t="shared" si="1"/>
        <v>36707</v>
      </c>
      <c r="B20" s="720">
        <f t="shared" si="0"/>
        <v>2001</v>
      </c>
      <c r="C20" s="794">
        <v>73.599999999999994</v>
      </c>
      <c r="D20" s="794">
        <v>171.1</v>
      </c>
      <c r="E20" s="794">
        <v>72.900000000000006</v>
      </c>
      <c r="F20" s="721" t="str">
        <f>IF($A20&lt;DATE(2018,7,1),"-",INDEX('I1 - Universal Data'!$E$16:$V$16, MATCH(YEAR(EOMONTH($A20,6)), 'I1 - Universal Data'!$E$14:$V$14, 0)))</f>
        <v>-</v>
      </c>
      <c r="G20" s="721" t="str">
        <f>IF($A20&lt;DATE(2018,7,1),"-",INDEX('I1 - Universal Data'!$E$15:$V$15, MATCH(YEAR(EOMONTH($A20,6)), 'I1 - Universal Data'!$E$14:$V$14, 0)))</f>
        <v>-</v>
      </c>
      <c r="H20" s="721" t="str">
        <f>IF($A20&lt;DATE(2018,7,1),"-",INDEX('I1 - Universal Data'!$E$17:$V$17, MATCH(YEAR(EOMONTH($A20,6)), 'I1 - Universal Data'!$E$14:$V$14, 0)))</f>
        <v>-</v>
      </c>
      <c r="I20" s="722">
        <f t="shared" si="2"/>
        <v>73.599999999999994</v>
      </c>
      <c r="J20" s="722">
        <f t="shared" si="3"/>
        <v>171.1</v>
      </c>
      <c r="K20" s="722">
        <f t="shared" si="4"/>
        <v>72.900000000000006</v>
      </c>
      <c r="X20" s="101"/>
    </row>
    <row r="21" spans="1:24">
      <c r="A21" s="719">
        <f t="shared" si="1"/>
        <v>36738</v>
      </c>
      <c r="B21" s="720">
        <f t="shared" si="0"/>
        <v>2001</v>
      </c>
      <c r="C21" s="794">
        <v>73.3</v>
      </c>
      <c r="D21" s="794">
        <v>170.5</v>
      </c>
      <c r="E21" s="794">
        <v>72.5</v>
      </c>
      <c r="F21" s="721" t="str">
        <f>IF($A21&lt;DATE(2018,7,1),"-",INDEX('I1 - Universal Data'!$E$16:$V$16, MATCH(YEAR(EOMONTH($A21,6)), 'I1 - Universal Data'!$E$14:$V$14, 0)))</f>
        <v>-</v>
      </c>
      <c r="G21" s="721" t="str">
        <f>IF($A21&lt;DATE(2018,7,1),"-",INDEX('I1 - Universal Data'!$E$15:$V$15, MATCH(YEAR(EOMONTH($A21,6)), 'I1 - Universal Data'!$E$14:$V$14, 0)))</f>
        <v>-</v>
      </c>
      <c r="H21" s="721" t="str">
        <f>IF($A21&lt;DATE(2018,7,1),"-",INDEX('I1 - Universal Data'!$E$17:$V$17, MATCH(YEAR(EOMONTH($A21,6)), 'I1 - Universal Data'!$E$14:$V$14, 0)))</f>
        <v>-</v>
      </c>
      <c r="I21" s="722">
        <f t="shared" si="2"/>
        <v>73.3</v>
      </c>
      <c r="J21" s="722">
        <f t="shared" si="3"/>
        <v>170.5</v>
      </c>
      <c r="K21" s="722">
        <f t="shared" si="4"/>
        <v>72.5</v>
      </c>
      <c r="X21" s="101"/>
    </row>
    <row r="22" spans="1:24">
      <c r="A22" s="719">
        <f t="shared" si="1"/>
        <v>36769</v>
      </c>
      <c r="B22" s="720">
        <f t="shared" si="0"/>
        <v>2001</v>
      </c>
      <c r="C22" s="794">
        <v>73.3</v>
      </c>
      <c r="D22" s="794">
        <v>170.5</v>
      </c>
      <c r="E22" s="794">
        <v>72.5</v>
      </c>
      <c r="F22" s="721" t="str">
        <f>IF($A22&lt;DATE(2018,7,1),"-",INDEX('I1 - Universal Data'!$E$16:$V$16, MATCH(YEAR(EOMONTH($A22,6)), 'I1 - Universal Data'!$E$14:$V$14, 0)))</f>
        <v>-</v>
      </c>
      <c r="G22" s="721" t="str">
        <f>IF($A22&lt;DATE(2018,7,1),"-",INDEX('I1 - Universal Data'!$E$15:$V$15, MATCH(YEAR(EOMONTH($A22,6)), 'I1 - Universal Data'!$E$14:$V$14, 0)))</f>
        <v>-</v>
      </c>
      <c r="H22" s="721" t="str">
        <f>IF($A22&lt;DATE(2018,7,1),"-",INDEX('I1 - Universal Data'!$E$17:$V$17, MATCH(YEAR(EOMONTH($A22,6)), 'I1 - Universal Data'!$E$14:$V$14, 0)))</f>
        <v>-</v>
      </c>
      <c r="I22" s="722">
        <f t="shared" si="2"/>
        <v>73.3</v>
      </c>
      <c r="J22" s="722">
        <f t="shared" si="3"/>
        <v>170.5</v>
      </c>
      <c r="K22" s="722">
        <f t="shared" si="4"/>
        <v>72.5</v>
      </c>
      <c r="X22" s="101"/>
    </row>
    <row r="23" spans="1:24">
      <c r="A23" s="719">
        <f t="shared" si="1"/>
        <v>36799</v>
      </c>
      <c r="B23" s="720">
        <f t="shared" si="0"/>
        <v>2001</v>
      </c>
      <c r="C23" s="794">
        <v>73.8</v>
      </c>
      <c r="D23" s="794">
        <v>171.7</v>
      </c>
      <c r="E23" s="794">
        <v>73.099999999999994</v>
      </c>
      <c r="F23" s="721" t="str">
        <f>IF($A23&lt;DATE(2018,7,1),"-",INDEX('I1 - Universal Data'!$E$16:$V$16, MATCH(YEAR(EOMONTH($A23,6)), 'I1 - Universal Data'!$E$14:$V$14, 0)))</f>
        <v>-</v>
      </c>
      <c r="G23" s="721" t="str">
        <f>IF($A23&lt;DATE(2018,7,1),"-",INDEX('I1 - Universal Data'!$E$15:$V$15, MATCH(YEAR(EOMONTH($A23,6)), 'I1 - Universal Data'!$E$14:$V$14, 0)))</f>
        <v>-</v>
      </c>
      <c r="H23" s="721" t="str">
        <f>IF($A23&lt;DATE(2018,7,1),"-",INDEX('I1 - Universal Data'!$E$17:$V$17, MATCH(YEAR(EOMONTH($A23,6)), 'I1 - Universal Data'!$E$14:$V$14, 0)))</f>
        <v>-</v>
      </c>
      <c r="I23" s="722">
        <f t="shared" si="2"/>
        <v>73.8</v>
      </c>
      <c r="J23" s="722">
        <f t="shared" si="3"/>
        <v>171.7</v>
      </c>
      <c r="K23" s="722">
        <f t="shared" si="4"/>
        <v>73.099999999999994</v>
      </c>
      <c r="X23" s="101"/>
    </row>
    <row r="24" spans="1:24">
      <c r="A24" s="719">
        <f t="shared" si="1"/>
        <v>36830</v>
      </c>
      <c r="B24" s="720">
        <f t="shared" si="0"/>
        <v>2001</v>
      </c>
      <c r="C24" s="794">
        <v>73.8</v>
      </c>
      <c r="D24" s="794">
        <v>171.6</v>
      </c>
      <c r="E24" s="794">
        <v>73.099999999999994</v>
      </c>
      <c r="F24" s="721" t="str">
        <f>IF($A24&lt;DATE(2018,7,1),"-",INDEX('I1 - Universal Data'!$E$16:$V$16, MATCH(YEAR(EOMONTH($A24,6)), 'I1 - Universal Data'!$E$14:$V$14, 0)))</f>
        <v>-</v>
      </c>
      <c r="G24" s="721" t="str">
        <f>IF($A24&lt;DATE(2018,7,1),"-",INDEX('I1 - Universal Data'!$E$15:$V$15, MATCH(YEAR(EOMONTH($A24,6)), 'I1 - Universal Data'!$E$14:$V$14, 0)))</f>
        <v>-</v>
      </c>
      <c r="H24" s="721" t="str">
        <f>IF($A24&lt;DATE(2018,7,1),"-",INDEX('I1 - Universal Data'!$E$17:$V$17, MATCH(YEAR(EOMONTH($A24,6)), 'I1 - Universal Data'!$E$14:$V$14, 0)))</f>
        <v>-</v>
      </c>
      <c r="I24" s="722">
        <f t="shared" si="2"/>
        <v>73.8</v>
      </c>
      <c r="J24" s="722">
        <f t="shared" si="3"/>
        <v>171.6</v>
      </c>
      <c r="K24" s="722">
        <f t="shared" si="4"/>
        <v>73.099999999999994</v>
      </c>
      <c r="X24" s="101"/>
    </row>
    <row r="25" spans="1:24">
      <c r="A25" s="719">
        <f t="shared" si="1"/>
        <v>36860</v>
      </c>
      <c r="B25" s="720">
        <f t="shared" si="0"/>
        <v>2001</v>
      </c>
      <c r="C25" s="794">
        <v>74</v>
      </c>
      <c r="D25" s="794">
        <v>172.1</v>
      </c>
      <c r="E25" s="794">
        <v>73.2</v>
      </c>
      <c r="F25" s="721" t="str">
        <f>IF($A25&lt;DATE(2018,7,1),"-",INDEX('I1 - Universal Data'!$E$16:$V$16, MATCH(YEAR(EOMONTH($A25,6)), 'I1 - Universal Data'!$E$14:$V$14, 0)))</f>
        <v>-</v>
      </c>
      <c r="G25" s="721" t="str">
        <f>IF($A25&lt;DATE(2018,7,1),"-",INDEX('I1 - Universal Data'!$E$15:$V$15, MATCH(YEAR(EOMONTH($A25,6)), 'I1 - Universal Data'!$E$14:$V$14, 0)))</f>
        <v>-</v>
      </c>
      <c r="H25" s="721" t="str">
        <f>IF($A25&lt;DATE(2018,7,1),"-",INDEX('I1 - Universal Data'!$E$17:$V$17, MATCH(YEAR(EOMONTH($A25,6)), 'I1 - Universal Data'!$E$14:$V$14, 0)))</f>
        <v>-</v>
      </c>
      <c r="I25" s="722">
        <f t="shared" si="2"/>
        <v>74</v>
      </c>
      <c r="J25" s="722">
        <f t="shared" si="3"/>
        <v>172.1</v>
      </c>
      <c r="K25" s="722">
        <f t="shared" si="4"/>
        <v>73.2</v>
      </c>
      <c r="X25" s="101"/>
    </row>
    <row r="26" spans="1:24">
      <c r="A26" s="719">
        <f t="shared" si="1"/>
        <v>36891</v>
      </c>
      <c r="B26" s="720">
        <f t="shared" si="0"/>
        <v>2001</v>
      </c>
      <c r="C26" s="794">
        <v>74</v>
      </c>
      <c r="D26" s="794">
        <v>172.2</v>
      </c>
      <c r="E26" s="794">
        <v>73.2</v>
      </c>
      <c r="F26" s="721" t="str">
        <f>IF($A26&lt;DATE(2018,7,1),"-",INDEX('I1 - Universal Data'!$E$16:$V$16, MATCH(YEAR(EOMONTH($A26,6)), 'I1 - Universal Data'!$E$14:$V$14, 0)))</f>
        <v>-</v>
      </c>
      <c r="G26" s="721" t="str">
        <f>IF($A26&lt;DATE(2018,7,1),"-",INDEX('I1 - Universal Data'!$E$15:$V$15, MATCH(YEAR(EOMONTH($A26,6)), 'I1 - Universal Data'!$E$14:$V$14, 0)))</f>
        <v>-</v>
      </c>
      <c r="H26" s="721" t="str">
        <f>IF($A26&lt;DATE(2018,7,1),"-",INDEX('I1 - Universal Data'!$E$17:$V$17, MATCH(YEAR(EOMONTH($A26,6)), 'I1 - Universal Data'!$E$14:$V$14, 0)))</f>
        <v>-</v>
      </c>
      <c r="I26" s="722">
        <f t="shared" si="2"/>
        <v>74</v>
      </c>
      <c r="J26" s="722">
        <f t="shared" si="3"/>
        <v>172.2</v>
      </c>
      <c r="K26" s="722">
        <f t="shared" si="4"/>
        <v>73.2</v>
      </c>
      <c r="X26" s="101"/>
    </row>
    <row r="27" spans="1:24">
      <c r="A27" s="719">
        <f t="shared" si="1"/>
        <v>36922</v>
      </c>
      <c r="B27" s="720">
        <f t="shared" si="0"/>
        <v>2001</v>
      </c>
      <c r="C27" s="794">
        <v>73.5</v>
      </c>
      <c r="D27" s="794">
        <v>171.1</v>
      </c>
      <c r="E27" s="794">
        <v>72.599999999999994</v>
      </c>
      <c r="F27" s="721" t="str">
        <f>IF($A27&lt;DATE(2018,7,1),"-",INDEX('I1 - Universal Data'!$E$16:$V$16, MATCH(YEAR(EOMONTH($A27,6)), 'I1 - Universal Data'!$E$14:$V$14, 0)))</f>
        <v>-</v>
      </c>
      <c r="G27" s="721" t="str">
        <f>IF($A27&lt;DATE(2018,7,1),"-",INDEX('I1 - Universal Data'!$E$15:$V$15, MATCH(YEAR(EOMONTH($A27,6)), 'I1 - Universal Data'!$E$14:$V$14, 0)))</f>
        <v>-</v>
      </c>
      <c r="H27" s="721" t="str">
        <f>IF($A27&lt;DATE(2018,7,1),"-",INDEX('I1 - Universal Data'!$E$17:$V$17, MATCH(YEAR(EOMONTH($A27,6)), 'I1 - Universal Data'!$E$14:$V$14, 0)))</f>
        <v>-</v>
      </c>
      <c r="I27" s="722">
        <f t="shared" si="2"/>
        <v>73.5</v>
      </c>
      <c r="J27" s="722">
        <f t="shared" si="3"/>
        <v>171.1</v>
      </c>
      <c r="K27" s="722">
        <f t="shared" si="4"/>
        <v>72.599999999999994</v>
      </c>
      <c r="X27" s="710"/>
    </row>
    <row r="28" spans="1:24">
      <c r="A28" s="719">
        <f t="shared" si="1"/>
        <v>36950</v>
      </c>
      <c r="B28" s="720">
        <f t="shared" si="0"/>
        <v>2001</v>
      </c>
      <c r="C28" s="794">
        <v>73.7</v>
      </c>
      <c r="D28" s="794">
        <v>172</v>
      </c>
      <c r="E28" s="794">
        <v>72.7</v>
      </c>
      <c r="F28" s="721" t="str">
        <f>IF($A28&lt;DATE(2018,7,1),"-",INDEX('I1 - Universal Data'!$E$16:$V$16, MATCH(YEAR(EOMONTH($A28,6)), 'I1 - Universal Data'!$E$14:$V$14, 0)))</f>
        <v>-</v>
      </c>
      <c r="G28" s="721" t="str">
        <f>IF($A28&lt;DATE(2018,7,1),"-",INDEX('I1 - Universal Data'!$E$15:$V$15, MATCH(YEAR(EOMONTH($A28,6)), 'I1 - Universal Data'!$E$14:$V$14, 0)))</f>
        <v>-</v>
      </c>
      <c r="H28" s="721" t="str">
        <f>IF($A28&lt;DATE(2018,7,1),"-",INDEX('I1 - Universal Data'!$E$17:$V$17, MATCH(YEAR(EOMONTH($A28,6)), 'I1 - Universal Data'!$E$14:$V$14, 0)))</f>
        <v>-</v>
      </c>
      <c r="I28" s="722">
        <f t="shared" si="2"/>
        <v>73.7</v>
      </c>
      <c r="J28" s="722">
        <f t="shared" si="3"/>
        <v>172</v>
      </c>
      <c r="K28" s="722">
        <f t="shared" si="4"/>
        <v>72.7</v>
      </c>
      <c r="X28" s="710"/>
    </row>
    <row r="29" spans="1:24">
      <c r="A29" s="719">
        <f t="shared" si="1"/>
        <v>36981</v>
      </c>
      <c r="B29" s="720">
        <f t="shared" si="0"/>
        <v>2001</v>
      </c>
      <c r="C29" s="794">
        <v>73.900000000000006</v>
      </c>
      <c r="D29" s="794">
        <v>172.2</v>
      </c>
      <c r="E29" s="794">
        <v>73</v>
      </c>
      <c r="F29" s="721" t="str">
        <f>IF($A29&lt;DATE(2018,7,1),"-",INDEX('I1 - Universal Data'!$E$16:$V$16, MATCH(YEAR(EOMONTH($A29,6)), 'I1 - Universal Data'!$E$14:$V$14, 0)))</f>
        <v>-</v>
      </c>
      <c r="G29" s="721" t="str">
        <f>IF($A29&lt;DATE(2018,7,1),"-",INDEX('I1 - Universal Data'!$E$15:$V$15, MATCH(YEAR(EOMONTH($A29,6)), 'I1 - Universal Data'!$E$14:$V$14, 0)))</f>
        <v>-</v>
      </c>
      <c r="H29" s="721" t="str">
        <f>IF($A29&lt;DATE(2018,7,1),"-",INDEX('I1 - Universal Data'!$E$17:$V$17, MATCH(YEAR(EOMONTH($A29,6)), 'I1 - Universal Data'!$E$14:$V$14, 0)))</f>
        <v>-</v>
      </c>
      <c r="I29" s="722">
        <f t="shared" si="2"/>
        <v>73.900000000000006</v>
      </c>
      <c r="J29" s="722">
        <f t="shared" si="3"/>
        <v>172.2</v>
      </c>
      <c r="K29" s="722">
        <f t="shared" si="4"/>
        <v>73</v>
      </c>
      <c r="X29" s="710"/>
    </row>
    <row r="30" spans="1:24">
      <c r="A30" s="719">
        <f t="shared" si="1"/>
        <v>37011</v>
      </c>
      <c r="B30" s="720">
        <f t="shared" si="0"/>
        <v>2002</v>
      </c>
      <c r="C30" s="794">
        <v>74.400000000000006</v>
      </c>
      <c r="D30" s="794">
        <v>173.1</v>
      </c>
      <c r="E30" s="794">
        <v>73.400000000000006</v>
      </c>
      <c r="F30" s="721" t="str">
        <f>IF($A30&lt;DATE(2018,7,1),"-",INDEX('I1 - Universal Data'!$E$16:$V$16, MATCH(YEAR(EOMONTH($A30,6)), 'I1 - Universal Data'!$E$14:$V$14, 0)))</f>
        <v>-</v>
      </c>
      <c r="G30" s="721" t="str">
        <f>IF($A30&lt;DATE(2018,7,1),"-",INDEX('I1 - Universal Data'!$E$15:$V$15, MATCH(YEAR(EOMONTH($A30,6)), 'I1 - Universal Data'!$E$14:$V$14, 0)))</f>
        <v>-</v>
      </c>
      <c r="H30" s="721" t="str">
        <f>IF($A30&lt;DATE(2018,7,1),"-",INDEX('I1 - Universal Data'!$E$17:$V$17, MATCH(YEAR(EOMONTH($A30,6)), 'I1 - Universal Data'!$E$14:$V$14, 0)))</f>
        <v>-</v>
      </c>
      <c r="I30" s="722">
        <f t="shared" si="2"/>
        <v>74.400000000000006</v>
      </c>
      <c r="J30" s="722">
        <f t="shared" si="3"/>
        <v>173.1</v>
      </c>
      <c r="K30" s="722">
        <f t="shared" si="4"/>
        <v>73.400000000000006</v>
      </c>
      <c r="X30" s="710"/>
    </row>
    <row r="31" spans="1:24">
      <c r="A31" s="719">
        <f t="shared" si="1"/>
        <v>37042</v>
      </c>
      <c r="B31" s="720">
        <f t="shared" si="0"/>
        <v>2002</v>
      </c>
      <c r="C31" s="794">
        <v>74.900000000000006</v>
      </c>
      <c r="D31" s="794">
        <v>174.2</v>
      </c>
      <c r="E31" s="794">
        <v>74</v>
      </c>
      <c r="F31" s="721" t="str">
        <f>IF($A31&lt;DATE(2018,7,1),"-",INDEX('I1 - Universal Data'!$E$16:$V$16, MATCH(YEAR(EOMONTH($A31,6)), 'I1 - Universal Data'!$E$14:$V$14, 0)))</f>
        <v>-</v>
      </c>
      <c r="G31" s="721" t="str">
        <f>IF($A31&lt;DATE(2018,7,1),"-",INDEX('I1 - Universal Data'!$E$15:$V$15, MATCH(YEAR(EOMONTH($A31,6)), 'I1 - Universal Data'!$E$14:$V$14, 0)))</f>
        <v>-</v>
      </c>
      <c r="H31" s="721" t="str">
        <f>IF($A31&lt;DATE(2018,7,1),"-",INDEX('I1 - Universal Data'!$E$17:$V$17, MATCH(YEAR(EOMONTH($A31,6)), 'I1 - Universal Data'!$E$14:$V$14, 0)))</f>
        <v>-</v>
      </c>
      <c r="I31" s="722">
        <f t="shared" si="2"/>
        <v>74.900000000000006</v>
      </c>
      <c r="J31" s="722">
        <f t="shared" si="3"/>
        <v>174.2</v>
      </c>
      <c r="K31" s="722">
        <f t="shared" si="4"/>
        <v>74</v>
      </c>
      <c r="X31" s="710"/>
    </row>
    <row r="32" spans="1:24">
      <c r="A32" s="719">
        <f t="shared" si="1"/>
        <v>37072</v>
      </c>
      <c r="B32" s="720">
        <f t="shared" si="0"/>
        <v>2002</v>
      </c>
      <c r="C32" s="794">
        <v>75</v>
      </c>
      <c r="D32" s="794">
        <v>174.4</v>
      </c>
      <c r="E32" s="794">
        <v>74.099999999999994</v>
      </c>
      <c r="F32" s="721" t="str">
        <f>IF($A32&lt;DATE(2018,7,1),"-",INDEX('I1 - Universal Data'!$E$16:$V$16, MATCH(YEAR(EOMONTH($A32,6)), 'I1 - Universal Data'!$E$14:$V$14, 0)))</f>
        <v>-</v>
      </c>
      <c r="G32" s="721" t="str">
        <f>IF($A32&lt;DATE(2018,7,1),"-",INDEX('I1 - Universal Data'!$E$15:$V$15, MATCH(YEAR(EOMONTH($A32,6)), 'I1 - Universal Data'!$E$14:$V$14, 0)))</f>
        <v>-</v>
      </c>
      <c r="H32" s="721" t="str">
        <f>IF($A32&lt;DATE(2018,7,1),"-",INDEX('I1 - Universal Data'!$E$17:$V$17, MATCH(YEAR(EOMONTH($A32,6)), 'I1 - Universal Data'!$E$14:$V$14, 0)))</f>
        <v>-</v>
      </c>
      <c r="I32" s="722">
        <f t="shared" si="2"/>
        <v>75</v>
      </c>
      <c r="J32" s="722">
        <f t="shared" si="3"/>
        <v>174.4</v>
      </c>
      <c r="K32" s="722">
        <f t="shared" si="4"/>
        <v>74.099999999999994</v>
      </c>
      <c r="X32" s="710"/>
    </row>
    <row r="33" spans="1:24">
      <c r="A33" s="719">
        <f t="shared" si="1"/>
        <v>37103</v>
      </c>
      <c r="B33" s="720">
        <f t="shared" si="0"/>
        <v>2002</v>
      </c>
      <c r="C33" s="794">
        <v>74.5</v>
      </c>
      <c r="D33" s="794">
        <v>173.3</v>
      </c>
      <c r="E33" s="794">
        <v>73.599999999999994</v>
      </c>
      <c r="F33" s="721" t="str">
        <f>IF($A33&lt;DATE(2018,7,1),"-",INDEX('I1 - Universal Data'!$E$16:$V$16, MATCH(YEAR(EOMONTH($A33,6)), 'I1 - Universal Data'!$E$14:$V$14, 0)))</f>
        <v>-</v>
      </c>
      <c r="G33" s="721" t="str">
        <f>IF($A33&lt;DATE(2018,7,1),"-",INDEX('I1 - Universal Data'!$E$15:$V$15, MATCH(YEAR(EOMONTH($A33,6)), 'I1 - Universal Data'!$E$14:$V$14, 0)))</f>
        <v>-</v>
      </c>
      <c r="H33" s="721" t="str">
        <f>IF($A33&lt;DATE(2018,7,1),"-",INDEX('I1 - Universal Data'!$E$17:$V$17, MATCH(YEAR(EOMONTH($A33,6)), 'I1 - Universal Data'!$E$14:$V$14, 0)))</f>
        <v>-</v>
      </c>
      <c r="I33" s="722">
        <f t="shared" si="2"/>
        <v>74.5</v>
      </c>
      <c r="J33" s="722">
        <f t="shared" si="3"/>
        <v>173.3</v>
      </c>
      <c r="K33" s="722">
        <f t="shared" si="4"/>
        <v>73.599999999999994</v>
      </c>
      <c r="X33" s="710"/>
    </row>
    <row r="34" spans="1:24">
      <c r="A34" s="719">
        <f t="shared" si="1"/>
        <v>37134</v>
      </c>
      <c r="B34" s="720">
        <f t="shared" si="0"/>
        <v>2002</v>
      </c>
      <c r="C34" s="794">
        <v>74.8</v>
      </c>
      <c r="D34" s="794">
        <v>174</v>
      </c>
      <c r="E34" s="794">
        <v>73.900000000000006</v>
      </c>
      <c r="F34" s="721" t="str">
        <f>IF($A34&lt;DATE(2018,7,1),"-",INDEX('I1 - Universal Data'!$E$16:$V$16, MATCH(YEAR(EOMONTH($A34,6)), 'I1 - Universal Data'!$E$14:$V$14, 0)))</f>
        <v>-</v>
      </c>
      <c r="G34" s="721" t="str">
        <f>IF($A34&lt;DATE(2018,7,1),"-",INDEX('I1 - Universal Data'!$E$15:$V$15, MATCH(YEAR(EOMONTH($A34,6)), 'I1 - Universal Data'!$E$14:$V$14, 0)))</f>
        <v>-</v>
      </c>
      <c r="H34" s="721" t="str">
        <f>IF($A34&lt;DATE(2018,7,1),"-",INDEX('I1 - Universal Data'!$E$17:$V$17, MATCH(YEAR(EOMONTH($A34,6)), 'I1 - Universal Data'!$E$14:$V$14, 0)))</f>
        <v>-</v>
      </c>
      <c r="I34" s="722">
        <f t="shared" si="2"/>
        <v>74.8</v>
      </c>
      <c r="J34" s="722">
        <f t="shared" si="3"/>
        <v>174</v>
      </c>
      <c r="K34" s="722">
        <f t="shared" si="4"/>
        <v>73.900000000000006</v>
      </c>
      <c r="X34" s="710"/>
    </row>
    <row r="35" spans="1:24">
      <c r="A35" s="719">
        <f t="shared" si="1"/>
        <v>37164</v>
      </c>
      <c r="B35" s="720">
        <f t="shared" si="0"/>
        <v>2002</v>
      </c>
      <c r="C35" s="794">
        <v>75</v>
      </c>
      <c r="D35" s="794">
        <v>174.6</v>
      </c>
      <c r="E35" s="794">
        <v>74.099999999999994</v>
      </c>
      <c r="F35" s="721" t="str">
        <f>IF($A35&lt;DATE(2018,7,1),"-",INDEX('I1 - Universal Data'!$E$16:$V$16, MATCH(YEAR(EOMONTH($A35,6)), 'I1 - Universal Data'!$E$14:$V$14, 0)))</f>
        <v>-</v>
      </c>
      <c r="G35" s="721" t="str">
        <f>IF($A35&lt;DATE(2018,7,1),"-",INDEX('I1 - Universal Data'!$E$15:$V$15, MATCH(YEAR(EOMONTH($A35,6)), 'I1 - Universal Data'!$E$14:$V$14, 0)))</f>
        <v>-</v>
      </c>
      <c r="H35" s="721" t="str">
        <f>IF($A35&lt;DATE(2018,7,1),"-",INDEX('I1 - Universal Data'!$E$17:$V$17, MATCH(YEAR(EOMONTH($A35,6)), 'I1 - Universal Data'!$E$14:$V$14, 0)))</f>
        <v>-</v>
      </c>
      <c r="I35" s="722">
        <f t="shared" si="2"/>
        <v>75</v>
      </c>
      <c r="J35" s="722">
        <f t="shared" si="3"/>
        <v>174.6</v>
      </c>
      <c r="K35" s="722">
        <f t="shared" si="4"/>
        <v>74.099999999999994</v>
      </c>
      <c r="X35" s="710"/>
    </row>
    <row r="36" spans="1:24">
      <c r="A36" s="719">
        <f t="shared" si="1"/>
        <v>37195</v>
      </c>
      <c r="B36" s="720">
        <f t="shared" si="0"/>
        <v>2002</v>
      </c>
      <c r="C36" s="794">
        <v>74.900000000000006</v>
      </c>
      <c r="D36" s="794">
        <v>174.3</v>
      </c>
      <c r="E36" s="794">
        <v>73.900000000000006</v>
      </c>
      <c r="F36" s="721" t="str">
        <f>IF($A36&lt;DATE(2018,7,1),"-",INDEX('I1 - Universal Data'!$E$16:$V$16, MATCH(YEAR(EOMONTH($A36,6)), 'I1 - Universal Data'!$E$14:$V$14, 0)))</f>
        <v>-</v>
      </c>
      <c r="G36" s="721" t="str">
        <f>IF($A36&lt;DATE(2018,7,1),"-",INDEX('I1 - Universal Data'!$E$15:$V$15, MATCH(YEAR(EOMONTH($A36,6)), 'I1 - Universal Data'!$E$14:$V$14, 0)))</f>
        <v>-</v>
      </c>
      <c r="H36" s="721" t="str">
        <f>IF($A36&lt;DATE(2018,7,1),"-",INDEX('I1 - Universal Data'!$E$17:$V$17, MATCH(YEAR(EOMONTH($A36,6)), 'I1 - Universal Data'!$E$14:$V$14, 0)))</f>
        <v>-</v>
      </c>
      <c r="I36" s="722">
        <f t="shared" si="2"/>
        <v>74.900000000000006</v>
      </c>
      <c r="J36" s="722">
        <f t="shared" si="3"/>
        <v>174.3</v>
      </c>
      <c r="K36" s="722">
        <f t="shared" si="4"/>
        <v>73.900000000000006</v>
      </c>
      <c r="X36" s="710"/>
    </row>
    <row r="37" spans="1:24">
      <c r="A37" s="719">
        <f t="shared" si="1"/>
        <v>37225</v>
      </c>
      <c r="B37" s="720">
        <f t="shared" si="0"/>
        <v>2002</v>
      </c>
      <c r="C37" s="794">
        <v>74.900000000000006</v>
      </c>
      <c r="D37" s="794">
        <v>173.6</v>
      </c>
      <c r="E37" s="794">
        <v>73.8</v>
      </c>
      <c r="F37" s="721" t="str">
        <f>IF($A37&lt;DATE(2018,7,1),"-",INDEX('I1 - Universal Data'!$E$16:$V$16, MATCH(YEAR(EOMONTH($A37,6)), 'I1 - Universal Data'!$E$14:$V$14, 0)))</f>
        <v>-</v>
      </c>
      <c r="G37" s="721" t="str">
        <f>IF($A37&lt;DATE(2018,7,1),"-",INDEX('I1 - Universal Data'!$E$15:$V$15, MATCH(YEAR(EOMONTH($A37,6)), 'I1 - Universal Data'!$E$14:$V$14, 0)))</f>
        <v>-</v>
      </c>
      <c r="H37" s="721" t="str">
        <f>IF($A37&lt;DATE(2018,7,1),"-",INDEX('I1 - Universal Data'!$E$17:$V$17, MATCH(YEAR(EOMONTH($A37,6)), 'I1 - Universal Data'!$E$14:$V$14, 0)))</f>
        <v>-</v>
      </c>
      <c r="I37" s="722">
        <f t="shared" si="2"/>
        <v>74.900000000000006</v>
      </c>
      <c r="J37" s="722">
        <f t="shared" si="3"/>
        <v>173.6</v>
      </c>
      <c r="K37" s="722">
        <f t="shared" si="4"/>
        <v>73.8</v>
      </c>
      <c r="X37" s="710"/>
    </row>
    <row r="38" spans="1:24">
      <c r="A38" s="719">
        <f t="shared" si="1"/>
        <v>37256</v>
      </c>
      <c r="B38" s="720">
        <f t="shared" si="0"/>
        <v>2002</v>
      </c>
      <c r="C38" s="794">
        <v>75</v>
      </c>
      <c r="D38" s="794">
        <v>173.4</v>
      </c>
      <c r="E38" s="794">
        <v>74</v>
      </c>
      <c r="F38" s="721" t="str">
        <f>IF($A38&lt;DATE(2018,7,1),"-",INDEX('I1 - Universal Data'!$E$16:$V$16, MATCH(YEAR(EOMONTH($A38,6)), 'I1 - Universal Data'!$E$14:$V$14, 0)))</f>
        <v>-</v>
      </c>
      <c r="G38" s="721" t="str">
        <f>IF($A38&lt;DATE(2018,7,1),"-",INDEX('I1 - Universal Data'!$E$15:$V$15, MATCH(YEAR(EOMONTH($A38,6)), 'I1 - Universal Data'!$E$14:$V$14, 0)))</f>
        <v>-</v>
      </c>
      <c r="H38" s="721" t="str">
        <f>IF($A38&lt;DATE(2018,7,1),"-",INDEX('I1 - Universal Data'!$E$17:$V$17, MATCH(YEAR(EOMONTH($A38,6)), 'I1 - Universal Data'!$E$14:$V$14, 0)))</f>
        <v>-</v>
      </c>
      <c r="I38" s="722">
        <f t="shared" si="2"/>
        <v>75</v>
      </c>
      <c r="J38" s="722">
        <f t="shared" si="3"/>
        <v>173.4</v>
      </c>
      <c r="K38" s="722">
        <f t="shared" si="4"/>
        <v>74</v>
      </c>
      <c r="X38" s="710"/>
    </row>
    <row r="39" spans="1:24">
      <c r="A39" s="719">
        <f t="shared" si="1"/>
        <v>37287</v>
      </c>
      <c r="B39" s="720">
        <f t="shared" si="0"/>
        <v>2002</v>
      </c>
      <c r="C39" s="794">
        <v>74.8</v>
      </c>
      <c r="D39" s="794">
        <v>173.3</v>
      </c>
      <c r="E39" s="794">
        <v>73.7</v>
      </c>
      <c r="F39" s="721" t="str">
        <f>IF($A39&lt;DATE(2018,7,1),"-",INDEX('I1 - Universal Data'!$E$16:$V$16, MATCH(YEAR(EOMONTH($A39,6)), 'I1 - Universal Data'!$E$14:$V$14, 0)))</f>
        <v>-</v>
      </c>
      <c r="G39" s="721" t="str">
        <f>IF($A39&lt;DATE(2018,7,1),"-",INDEX('I1 - Universal Data'!$E$15:$V$15, MATCH(YEAR(EOMONTH($A39,6)), 'I1 - Universal Data'!$E$14:$V$14, 0)))</f>
        <v>-</v>
      </c>
      <c r="H39" s="721" t="str">
        <f>IF($A39&lt;DATE(2018,7,1),"-",INDEX('I1 - Universal Data'!$E$17:$V$17, MATCH(YEAR(EOMONTH($A39,6)), 'I1 - Universal Data'!$E$14:$V$14, 0)))</f>
        <v>-</v>
      </c>
      <c r="I39" s="722">
        <f t="shared" si="2"/>
        <v>74.8</v>
      </c>
      <c r="J39" s="722">
        <f t="shared" si="3"/>
        <v>173.3</v>
      </c>
      <c r="K39" s="722">
        <f t="shared" si="4"/>
        <v>73.7</v>
      </c>
      <c r="X39" s="710"/>
    </row>
    <row r="40" spans="1:24">
      <c r="A40" s="719">
        <f t="shared" si="1"/>
        <v>37315</v>
      </c>
      <c r="B40" s="720">
        <f t="shared" si="0"/>
        <v>2002</v>
      </c>
      <c r="C40" s="794">
        <v>75</v>
      </c>
      <c r="D40" s="794">
        <v>173.8</v>
      </c>
      <c r="E40" s="794">
        <v>73.8</v>
      </c>
      <c r="F40" s="721" t="str">
        <f>IF($A40&lt;DATE(2018,7,1),"-",INDEX('I1 - Universal Data'!$E$16:$V$16, MATCH(YEAR(EOMONTH($A40,6)), 'I1 - Universal Data'!$E$14:$V$14, 0)))</f>
        <v>-</v>
      </c>
      <c r="G40" s="721" t="str">
        <f>IF($A40&lt;DATE(2018,7,1),"-",INDEX('I1 - Universal Data'!$E$15:$V$15, MATCH(YEAR(EOMONTH($A40,6)), 'I1 - Universal Data'!$E$14:$V$14, 0)))</f>
        <v>-</v>
      </c>
      <c r="H40" s="721" t="str">
        <f>IF($A40&lt;DATE(2018,7,1),"-",INDEX('I1 - Universal Data'!$E$17:$V$17, MATCH(YEAR(EOMONTH($A40,6)), 'I1 - Universal Data'!$E$14:$V$14, 0)))</f>
        <v>-</v>
      </c>
      <c r="I40" s="722">
        <f t="shared" si="2"/>
        <v>75</v>
      </c>
      <c r="J40" s="722">
        <f t="shared" si="3"/>
        <v>173.8</v>
      </c>
      <c r="K40" s="722">
        <f t="shared" si="4"/>
        <v>73.8</v>
      </c>
      <c r="X40" s="710"/>
    </row>
    <row r="41" spans="1:24">
      <c r="A41" s="719">
        <f t="shared" si="1"/>
        <v>37346</v>
      </c>
      <c r="B41" s="720">
        <f t="shared" si="0"/>
        <v>2002</v>
      </c>
      <c r="C41" s="794">
        <v>75.2</v>
      </c>
      <c r="D41" s="794">
        <v>174.5</v>
      </c>
      <c r="E41" s="794">
        <v>74.099999999999994</v>
      </c>
      <c r="F41" s="721" t="str">
        <f>IF($A41&lt;DATE(2018,7,1),"-",INDEX('I1 - Universal Data'!$E$16:$V$16, MATCH(YEAR(EOMONTH($A41,6)), 'I1 - Universal Data'!$E$14:$V$14, 0)))</f>
        <v>-</v>
      </c>
      <c r="G41" s="721" t="str">
        <f>IF($A41&lt;DATE(2018,7,1),"-",INDEX('I1 - Universal Data'!$E$15:$V$15, MATCH(YEAR(EOMONTH($A41,6)), 'I1 - Universal Data'!$E$14:$V$14, 0)))</f>
        <v>-</v>
      </c>
      <c r="H41" s="721" t="str">
        <f>IF($A41&lt;DATE(2018,7,1),"-",INDEX('I1 - Universal Data'!$E$17:$V$17, MATCH(YEAR(EOMONTH($A41,6)), 'I1 - Universal Data'!$E$14:$V$14, 0)))</f>
        <v>-</v>
      </c>
      <c r="I41" s="722">
        <f t="shared" si="2"/>
        <v>75.2</v>
      </c>
      <c r="J41" s="722">
        <f t="shared" si="3"/>
        <v>174.5</v>
      </c>
      <c r="K41" s="722">
        <f t="shared" si="4"/>
        <v>74.099999999999994</v>
      </c>
      <c r="X41" s="710"/>
    </row>
    <row r="42" spans="1:24">
      <c r="A42" s="719">
        <f t="shared" si="1"/>
        <v>37376</v>
      </c>
      <c r="B42" s="720">
        <f t="shared" si="0"/>
        <v>2003</v>
      </c>
      <c r="C42" s="794">
        <v>75.599999999999994</v>
      </c>
      <c r="D42" s="794">
        <v>175.7</v>
      </c>
      <c r="E42" s="794">
        <v>74.400000000000006</v>
      </c>
      <c r="F42" s="721" t="str">
        <f>IF($A42&lt;DATE(2018,7,1),"-",INDEX('I1 - Universal Data'!$E$16:$V$16, MATCH(YEAR(EOMONTH($A42,6)), 'I1 - Universal Data'!$E$14:$V$14, 0)))</f>
        <v>-</v>
      </c>
      <c r="G42" s="721" t="str">
        <f>IF($A42&lt;DATE(2018,7,1),"-",INDEX('I1 - Universal Data'!$E$15:$V$15, MATCH(YEAR(EOMONTH($A42,6)), 'I1 - Universal Data'!$E$14:$V$14, 0)))</f>
        <v>-</v>
      </c>
      <c r="H42" s="721" t="str">
        <f>IF($A42&lt;DATE(2018,7,1),"-",INDEX('I1 - Universal Data'!$E$17:$V$17, MATCH(YEAR(EOMONTH($A42,6)), 'I1 - Universal Data'!$E$14:$V$14, 0)))</f>
        <v>-</v>
      </c>
      <c r="I42" s="722">
        <f t="shared" si="2"/>
        <v>75.599999999999994</v>
      </c>
      <c r="J42" s="722">
        <f t="shared" si="3"/>
        <v>175.7</v>
      </c>
      <c r="K42" s="722">
        <f t="shared" si="4"/>
        <v>74.400000000000006</v>
      </c>
      <c r="X42" s="710"/>
    </row>
    <row r="43" spans="1:24">
      <c r="A43" s="719">
        <f t="shared" si="1"/>
        <v>37407</v>
      </c>
      <c r="B43" s="720">
        <f t="shared" si="0"/>
        <v>2003</v>
      </c>
      <c r="C43" s="794">
        <v>75.8</v>
      </c>
      <c r="D43" s="794">
        <v>176.2</v>
      </c>
      <c r="E43" s="794">
        <v>74.599999999999994</v>
      </c>
      <c r="F43" s="721" t="str">
        <f>IF($A43&lt;DATE(2018,7,1),"-",INDEX('I1 - Universal Data'!$E$16:$V$16, MATCH(YEAR(EOMONTH($A43,6)), 'I1 - Universal Data'!$E$14:$V$14, 0)))</f>
        <v>-</v>
      </c>
      <c r="G43" s="721" t="str">
        <f>IF($A43&lt;DATE(2018,7,1),"-",INDEX('I1 - Universal Data'!$E$15:$V$15, MATCH(YEAR(EOMONTH($A43,6)), 'I1 - Universal Data'!$E$14:$V$14, 0)))</f>
        <v>-</v>
      </c>
      <c r="H43" s="721" t="str">
        <f>IF($A43&lt;DATE(2018,7,1),"-",INDEX('I1 - Universal Data'!$E$17:$V$17, MATCH(YEAR(EOMONTH($A43,6)), 'I1 - Universal Data'!$E$14:$V$14, 0)))</f>
        <v>-</v>
      </c>
      <c r="I43" s="722">
        <f t="shared" si="2"/>
        <v>75.8</v>
      </c>
      <c r="J43" s="722">
        <f t="shared" si="3"/>
        <v>176.2</v>
      </c>
      <c r="K43" s="722">
        <f t="shared" si="4"/>
        <v>74.599999999999994</v>
      </c>
      <c r="X43" s="710"/>
    </row>
    <row r="44" spans="1:24">
      <c r="A44" s="719">
        <f t="shared" si="1"/>
        <v>37437</v>
      </c>
      <c r="B44" s="720">
        <f t="shared" si="0"/>
        <v>2003</v>
      </c>
      <c r="C44" s="794">
        <v>75.8</v>
      </c>
      <c r="D44" s="794">
        <v>176.2</v>
      </c>
      <c r="E44" s="794">
        <v>74.599999999999994</v>
      </c>
      <c r="F44" s="721" t="str">
        <f>IF($A44&lt;DATE(2018,7,1),"-",INDEX('I1 - Universal Data'!$E$16:$V$16, MATCH(YEAR(EOMONTH($A44,6)), 'I1 - Universal Data'!$E$14:$V$14, 0)))</f>
        <v>-</v>
      </c>
      <c r="G44" s="721" t="str">
        <f>IF($A44&lt;DATE(2018,7,1),"-",INDEX('I1 - Universal Data'!$E$15:$V$15, MATCH(YEAR(EOMONTH($A44,6)), 'I1 - Universal Data'!$E$14:$V$14, 0)))</f>
        <v>-</v>
      </c>
      <c r="H44" s="721" t="str">
        <f>IF($A44&lt;DATE(2018,7,1),"-",INDEX('I1 - Universal Data'!$E$17:$V$17, MATCH(YEAR(EOMONTH($A44,6)), 'I1 - Universal Data'!$E$14:$V$14, 0)))</f>
        <v>-</v>
      </c>
      <c r="I44" s="722">
        <f t="shared" si="2"/>
        <v>75.8</v>
      </c>
      <c r="J44" s="722">
        <f t="shared" si="3"/>
        <v>176.2</v>
      </c>
      <c r="K44" s="722">
        <f t="shared" si="4"/>
        <v>74.599999999999994</v>
      </c>
      <c r="X44" s="710"/>
    </row>
    <row r="45" spans="1:24">
      <c r="A45" s="719">
        <f t="shared" si="1"/>
        <v>37468</v>
      </c>
      <c r="B45" s="720">
        <f t="shared" si="0"/>
        <v>2003</v>
      </c>
      <c r="C45" s="794">
        <v>75.599999999999994</v>
      </c>
      <c r="D45" s="794">
        <v>175.9</v>
      </c>
      <c r="E45" s="794">
        <v>74.400000000000006</v>
      </c>
      <c r="F45" s="721" t="str">
        <f>IF($A45&lt;DATE(2018,7,1),"-",INDEX('I1 - Universal Data'!$E$16:$V$16, MATCH(YEAR(EOMONTH($A45,6)), 'I1 - Universal Data'!$E$14:$V$14, 0)))</f>
        <v>-</v>
      </c>
      <c r="G45" s="721" t="str">
        <f>IF($A45&lt;DATE(2018,7,1),"-",INDEX('I1 - Universal Data'!$E$15:$V$15, MATCH(YEAR(EOMONTH($A45,6)), 'I1 - Universal Data'!$E$14:$V$14, 0)))</f>
        <v>-</v>
      </c>
      <c r="H45" s="721" t="str">
        <f>IF($A45&lt;DATE(2018,7,1),"-",INDEX('I1 - Universal Data'!$E$17:$V$17, MATCH(YEAR(EOMONTH($A45,6)), 'I1 - Universal Data'!$E$14:$V$14, 0)))</f>
        <v>-</v>
      </c>
      <c r="I45" s="722">
        <f t="shared" si="2"/>
        <v>75.599999999999994</v>
      </c>
      <c r="J45" s="722">
        <f t="shared" si="3"/>
        <v>175.9</v>
      </c>
      <c r="K45" s="722">
        <f t="shared" si="4"/>
        <v>74.400000000000006</v>
      </c>
      <c r="X45" s="710"/>
    </row>
    <row r="46" spans="1:24">
      <c r="A46" s="719">
        <f t="shared" si="1"/>
        <v>37499</v>
      </c>
      <c r="B46" s="720">
        <f t="shared" si="0"/>
        <v>2003</v>
      </c>
      <c r="C46" s="794">
        <v>75.8</v>
      </c>
      <c r="D46" s="794">
        <v>176.4</v>
      </c>
      <c r="E46" s="794">
        <v>74.599999999999994</v>
      </c>
      <c r="F46" s="721" t="str">
        <f>IF($A46&lt;DATE(2018,7,1),"-",INDEX('I1 - Universal Data'!$E$16:$V$16, MATCH(YEAR(EOMONTH($A46,6)), 'I1 - Universal Data'!$E$14:$V$14, 0)))</f>
        <v>-</v>
      </c>
      <c r="G46" s="721" t="str">
        <f>IF($A46&lt;DATE(2018,7,1),"-",INDEX('I1 - Universal Data'!$E$15:$V$15, MATCH(YEAR(EOMONTH($A46,6)), 'I1 - Universal Data'!$E$14:$V$14, 0)))</f>
        <v>-</v>
      </c>
      <c r="H46" s="721" t="str">
        <f>IF($A46&lt;DATE(2018,7,1),"-",INDEX('I1 - Universal Data'!$E$17:$V$17, MATCH(YEAR(EOMONTH($A46,6)), 'I1 - Universal Data'!$E$14:$V$14, 0)))</f>
        <v>-</v>
      </c>
      <c r="I46" s="722">
        <f t="shared" si="2"/>
        <v>75.8</v>
      </c>
      <c r="J46" s="722">
        <f t="shared" si="3"/>
        <v>176.4</v>
      </c>
      <c r="K46" s="722">
        <f t="shared" si="4"/>
        <v>74.599999999999994</v>
      </c>
      <c r="X46" s="710"/>
    </row>
    <row r="47" spans="1:24">
      <c r="A47" s="719">
        <f t="shared" si="1"/>
        <v>37529</v>
      </c>
      <c r="B47" s="720">
        <f t="shared" si="0"/>
        <v>2003</v>
      </c>
      <c r="C47" s="794">
        <v>76</v>
      </c>
      <c r="D47" s="794">
        <v>177.6</v>
      </c>
      <c r="E47" s="794">
        <v>74.8</v>
      </c>
      <c r="F47" s="721" t="str">
        <f>IF($A47&lt;DATE(2018,7,1),"-",INDEX('I1 - Universal Data'!$E$16:$V$16, MATCH(YEAR(EOMONTH($A47,6)), 'I1 - Universal Data'!$E$14:$V$14, 0)))</f>
        <v>-</v>
      </c>
      <c r="G47" s="721" t="str">
        <f>IF($A47&lt;DATE(2018,7,1),"-",INDEX('I1 - Universal Data'!$E$15:$V$15, MATCH(YEAR(EOMONTH($A47,6)), 'I1 - Universal Data'!$E$14:$V$14, 0)))</f>
        <v>-</v>
      </c>
      <c r="H47" s="721" t="str">
        <f>IF($A47&lt;DATE(2018,7,1),"-",INDEX('I1 - Universal Data'!$E$17:$V$17, MATCH(YEAR(EOMONTH($A47,6)), 'I1 - Universal Data'!$E$14:$V$14, 0)))</f>
        <v>-</v>
      </c>
      <c r="I47" s="722">
        <f t="shared" si="2"/>
        <v>76</v>
      </c>
      <c r="J47" s="722">
        <f t="shared" si="3"/>
        <v>177.6</v>
      </c>
      <c r="K47" s="722">
        <f t="shared" si="4"/>
        <v>74.8</v>
      </c>
      <c r="X47" s="710"/>
    </row>
    <row r="48" spans="1:24">
      <c r="A48" s="719">
        <f t="shared" si="1"/>
        <v>37560</v>
      </c>
      <c r="B48" s="720">
        <f t="shared" si="0"/>
        <v>2003</v>
      </c>
      <c r="C48" s="794">
        <v>76.099999999999994</v>
      </c>
      <c r="D48" s="794">
        <v>177.9</v>
      </c>
      <c r="E48" s="794">
        <v>74.900000000000006</v>
      </c>
      <c r="F48" s="721" t="str">
        <f>IF($A48&lt;DATE(2018,7,1),"-",INDEX('I1 - Universal Data'!$E$16:$V$16, MATCH(YEAR(EOMONTH($A48,6)), 'I1 - Universal Data'!$E$14:$V$14, 0)))</f>
        <v>-</v>
      </c>
      <c r="G48" s="721" t="str">
        <f>IF($A48&lt;DATE(2018,7,1),"-",INDEX('I1 - Universal Data'!$E$15:$V$15, MATCH(YEAR(EOMONTH($A48,6)), 'I1 - Universal Data'!$E$14:$V$14, 0)))</f>
        <v>-</v>
      </c>
      <c r="H48" s="721" t="str">
        <f>IF($A48&lt;DATE(2018,7,1),"-",INDEX('I1 - Universal Data'!$E$17:$V$17, MATCH(YEAR(EOMONTH($A48,6)), 'I1 - Universal Data'!$E$14:$V$14, 0)))</f>
        <v>-</v>
      </c>
      <c r="I48" s="722">
        <f t="shared" si="2"/>
        <v>76.099999999999994</v>
      </c>
      <c r="J48" s="722">
        <f t="shared" si="3"/>
        <v>177.9</v>
      </c>
      <c r="K48" s="722">
        <f t="shared" si="4"/>
        <v>74.900000000000006</v>
      </c>
      <c r="X48" s="710"/>
    </row>
    <row r="49" spans="1:24">
      <c r="A49" s="719">
        <f t="shared" si="1"/>
        <v>37590</v>
      </c>
      <c r="B49" s="720">
        <f t="shared" si="0"/>
        <v>2003</v>
      </c>
      <c r="C49" s="794">
        <v>76.099999999999994</v>
      </c>
      <c r="D49" s="794">
        <v>178.2</v>
      </c>
      <c r="E49" s="794">
        <v>74.900000000000006</v>
      </c>
      <c r="F49" s="721" t="str">
        <f>IF($A49&lt;DATE(2018,7,1),"-",INDEX('I1 - Universal Data'!$E$16:$V$16, MATCH(YEAR(EOMONTH($A49,6)), 'I1 - Universal Data'!$E$14:$V$14, 0)))</f>
        <v>-</v>
      </c>
      <c r="G49" s="721" t="str">
        <f>IF($A49&lt;DATE(2018,7,1),"-",INDEX('I1 - Universal Data'!$E$15:$V$15, MATCH(YEAR(EOMONTH($A49,6)), 'I1 - Universal Data'!$E$14:$V$14, 0)))</f>
        <v>-</v>
      </c>
      <c r="H49" s="721" t="str">
        <f>IF($A49&lt;DATE(2018,7,1),"-",INDEX('I1 - Universal Data'!$E$17:$V$17, MATCH(YEAR(EOMONTH($A49,6)), 'I1 - Universal Data'!$E$14:$V$14, 0)))</f>
        <v>-</v>
      </c>
      <c r="I49" s="722">
        <f t="shared" si="2"/>
        <v>76.099999999999994</v>
      </c>
      <c r="J49" s="722">
        <f t="shared" si="3"/>
        <v>178.2</v>
      </c>
      <c r="K49" s="722">
        <f t="shared" si="4"/>
        <v>74.900000000000006</v>
      </c>
      <c r="X49" s="710"/>
    </row>
    <row r="50" spans="1:24">
      <c r="A50" s="719">
        <f t="shared" si="1"/>
        <v>37621</v>
      </c>
      <c r="B50" s="720">
        <f t="shared" si="0"/>
        <v>2003</v>
      </c>
      <c r="C50" s="794">
        <v>76.3</v>
      </c>
      <c r="D50" s="794">
        <v>178.5</v>
      </c>
      <c r="E50" s="794">
        <v>75.2</v>
      </c>
      <c r="F50" s="721" t="str">
        <f>IF($A50&lt;DATE(2018,7,1),"-",INDEX('I1 - Universal Data'!$E$16:$V$16, MATCH(YEAR(EOMONTH($A50,6)), 'I1 - Universal Data'!$E$14:$V$14, 0)))</f>
        <v>-</v>
      </c>
      <c r="G50" s="721" t="str">
        <f>IF($A50&lt;DATE(2018,7,1),"-",INDEX('I1 - Universal Data'!$E$15:$V$15, MATCH(YEAR(EOMONTH($A50,6)), 'I1 - Universal Data'!$E$14:$V$14, 0)))</f>
        <v>-</v>
      </c>
      <c r="H50" s="721" t="str">
        <f>IF($A50&lt;DATE(2018,7,1),"-",INDEX('I1 - Universal Data'!$E$17:$V$17, MATCH(YEAR(EOMONTH($A50,6)), 'I1 - Universal Data'!$E$14:$V$14, 0)))</f>
        <v>-</v>
      </c>
      <c r="I50" s="722">
        <f t="shared" si="2"/>
        <v>76.3</v>
      </c>
      <c r="J50" s="722">
        <f t="shared" si="3"/>
        <v>178.5</v>
      </c>
      <c r="K50" s="722">
        <f t="shared" si="4"/>
        <v>75.2</v>
      </c>
      <c r="X50" s="710"/>
    </row>
    <row r="51" spans="1:24">
      <c r="A51" s="719">
        <f t="shared" si="1"/>
        <v>37652</v>
      </c>
      <c r="B51" s="720">
        <f t="shared" si="0"/>
        <v>2003</v>
      </c>
      <c r="C51" s="794">
        <v>75.900000000000006</v>
      </c>
      <c r="D51" s="794">
        <v>178.4</v>
      </c>
      <c r="E51" s="794">
        <v>74.7</v>
      </c>
      <c r="F51" s="721" t="str">
        <f>IF($A51&lt;DATE(2018,7,1),"-",INDEX('I1 - Universal Data'!$E$16:$V$16, MATCH(YEAR(EOMONTH($A51,6)), 'I1 - Universal Data'!$E$14:$V$14, 0)))</f>
        <v>-</v>
      </c>
      <c r="G51" s="721" t="str">
        <f>IF($A51&lt;DATE(2018,7,1),"-",INDEX('I1 - Universal Data'!$E$15:$V$15, MATCH(YEAR(EOMONTH($A51,6)), 'I1 - Universal Data'!$E$14:$V$14, 0)))</f>
        <v>-</v>
      </c>
      <c r="H51" s="721" t="str">
        <f>IF($A51&lt;DATE(2018,7,1),"-",INDEX('I1 - Universal Data'!$E$17:$V$17, MATCH(YEAR(EOMONTH($A51,6)), 'I1 - Universal Data'!$E$14:$V$14, 0)))</f>
        <v>-</v>
      </c>
      <c r="I51" s="722">
        <f t="shared" si="2"/>
        <v>75.900000000000006</v>
      </c>
      <c r="J51" s="722">
        <f t="shared" si="3"/>
        <v>178.4</v>
      </c>
      <c r="K51" s="722">
        <f t="shared" si="4"/>
        <v>74.7</v>
      </c>
      <c r="X51" s="710"/>
    </row>
    <row r="52" spans="1:24">
      <c r="A52" s="719">
        <f t="shared" si="1"/>
        <v>37680</v>
      </c>
      <c r="B52" s="720">
        <f t="shared" si="0"/>
        <v>2003</v>
      </c>
      <c r="C52" s="794">
        <v>76.099999999999994</v>
      </c>
      <c r="D52" s="794">
        <v>179.3</v>
      </c>
      <c r="E52" s="794">
        <v>75</v>
      </c>
      <c r="F52" s="721" t="str">
        <f>IF($A52&lt;DATE(2018,7,1),"-",INDEX('I1 - Universal Data'!$E$16:$V$16, MATCH(YEAR(EOMONTH($A52,6)), 'I1 - Universal Data'!$E$14:$V$14, 0)))</f>
        <v>-</v>
      </c>
      <c r="G52" s="721" t="str">
        <f>IF($A52&lt;DATE(2018,7,1),"-",INDEX('I1 - Universal Data'!$E$15:$V$15, MATCH(YEAR(EOMONTH($A52,6)), 'I1 - Universal Data'!$E$14:$V$14, 0)))</f>
        <v>-</v>
      </c>
      <c r="H52" s="721" t="str">
        <f>IF($A52&lt;DATE(2018,7,1),"-",INDEX('I1 - Universal Data'!$E$17:$V$17, MATCH(YEAR(EOMONTH($A52,6)), 'I1 - Universal Data'!$E$14:$V$14, 0)))</f>
        <v>-</v>
      </c>
      <c r="I52" s="722">
        <f t="shared" si="2"/>
        <v>76.099999999999994</v>
      </c>
      <c r="J52" s="722">
        <f t="shared" si="3"/>
        <v>179.3</v>
      </c>
      <c r="K52" s="722">
        <f t="shared" si="4"/>
        <v>75</v>
      </c>
      <c r="X52" s="710"/>
    </row>
    <row r="53" spans="1:24">
      <c r="A53" s="719">
        <f t="shared" si="1"/>
        <v>37711</v>
      </c>
      <c r="B53" s="720">
        <f t="shared" si="0"/>
        <v>2003</v>
      </c>
      <c r="C53" s="794">
        <v>76.400000000000006</v>
      </c>
      <c r="D53" s="794">
        <v>179.9</v>
      </c>
      <c r="E53" s="794">
        <v>75.3</v>
      </c>
      <c r="F53" s="721" t="str">
        <f>IF($A53&lt;DATE(2018,7,1),"-",INDEX('I1 - Universal Data'!$E$16:$V$16, MATCH(YEAR(EOMONTH($A53,6)), 'I1 - Universal Data'!$E$14:$V$14, 0)))</f>
        <v>-</v>
      </c>
      <c r="G53" s="721" t="str">
        <f>IF($A53&lt;DATE(2018,7,1),"-",INDEX('I1 - Universal Data'!$E$15:$V$15, MATCH(YEAR(EOMONTH($A53,6)), 'I1 - Universal Data'!$E$14:$V$14, 0)))</f>
        <v>-</v>
      </c>
      <c r="H53" s="721" t="str">
        <f>IF($A53&lt;DATE(2018,7,1),"-",INDEX('I1 - Universal Data'!$E$17:$V$17, MATCH(YEAR(EOMONTH($A53,6)), 'I1 - Universal Data'!$E$14:$V$14, 0)))</f>
        <v>-</v>
      </c>
      <c r="I53" s="722">
        <f t="shared" si="2"/>
        <v>76.400000000000006</v>
      </c>
      <c r="J53" s="722">
        <f t="shared" si="3"/>
        <v>179.9</v>
      </c>
      <c r="K53" s="722">
        <f t="shared" si="4"/>
        <v>75.3</v>
      </c>
      <c r="X53" s="710"/>
    </row>
    <row r="54" spans="1:24">
      <c r="A54" s="719">
        <f t="shared" si="1"/>
        <v>37741</v>
      </c>
      <c r="B54" s="720">
        <f t="shared" si="0"/>
        <v>2004</v>
      </c>
      <c r="C54" s="794">
        <v>76.8</v>
      </c>
      <c r="D54" s="794">
        <v>181.2</v>
      </c>
      <c r="E54" s="794">
        <v>75.5</v>
      </c>
      <c r="F54" s="721" t="str">
        <f>IF($A54&lt;DATE(2018,7,1),"-",INDEX('I1 - Universal Data'!$E$16:$V$16, MATCH(YEAR(EOMONTH($A54,6)), 'I1 - Universal Data'!$E$14:$V$14, 0)))</f>
        <v>-</v>
      </c>
      <c r="G54" s="721" t="str">
        <f>IF($A54&lt;DATE(2018,7,1),"-",INDEX('I1 - Universal Data'!$E$15:$V$15, MATCH(YEAR(EOMONTH($A54,6)), 'I1 - Universal Data'!$E$14:$V$14, 0)))</f>
        <v>-</v>
      </c>
      <c r="H54" s="721" t="str">
        <f>IF($A54&lt;DATE(2018,7,1),"-",INDEX('I1 - Universal Data'!$E$17:$V$17, MATCH(YEAR(EOMONTH($A54,6)), 'I1 - Universal Data'!$E$14:$V$14, 0)))</f>
        <v>-</v>
      </c>
      <c r="I54" s="722">
        <f t="shared" si="2"/>
        <v>76.8</v>
      </c>
      <c r="J54" s="722">
        <f t="shared" si="3"/>
        <v>181.2</v>
      </c>
      <c r="K54" s="722">
        <f t="shared" si="4"/>
        <v>75.5</v>
      </c>
      <c r="X54" s="710"/>
    </row>
    <row r="55" spans="1:24">
      <c r="A55" s="719">
        <f t="shared" si="1"/>
        <v>37772</v>
      </c>
      <c r="B55" s="720">
        <f t="shared" si="0"/>
        <v>2004</v>
      </c>
      <c r="C55" s="794">
        <v>76.8</v>
      </c>
      <c r="D55" s="794">
        <v>181.5</v>
      </c>
      <c r="E55" s="794">
        <v>75.5</v>
      </c>
      <c r="F55" s="721" t="str">
        <f>IF($A55&lt;DATE(2018,7,1),"-",INDEX('I1 - Universal Data'!$E$16:$V$16, MATCH(YEAR(EOMONTH($A55,6)), 'I1 - Universal Data'!$E$14:$V$14, 0)))</f>
        <v>-</v>
      </c>
      <c r="G55" s="721" t="str">
        <f>IF($A55&lt;DATE(2018,7,1),"-",INDEX('I1 - Universal Data'!$E$15:$V$15, MATCH(YEAR(EOMONTH($A55,6)), 'I1 - Universal Data'!$E$14:$V$14, 0)))</f>
        <v>-</v>
      </c>
      <c r="H55" s="721" t="str">
        <f>IF($A55&lt;DATE(2018,7,1),"-",INDEX('I1 - Universal Data'!$E$17:$V$17, MATCH(YEAR(EOMONTH($A55,6)), 'I1 - Universal Data'!$E$14:$V$14, 0)))</f>
        <v>-</v>
      </c>
      <c r="I55" s="722">
        <f t="shared" si="2"/>
        <v>76.8</v>
      </c>
      <c r="J55" s="722">
        <f t="shared" si="3"/>
        <v>181.5</v>
      </c>
      <c r="K55" s="722">
        <f t="shared" si="4"/>
        <v>75.5</v>
      </c>
      <c r="X55" s="710"/>
    </row>
    <row r="56" spans="1:24">
      <c r="A56" s="719">
        <f t="shared" si="1"/>
        <v>37802</v>
      </c>
      <c r="B56" s="720">
        <f t="shared" si="0"/>
        <v>2004</v>
      </c>
      <c r="C56" s="794">
        <v>76.7</v>
      </c>
      <c r="D56" s="794">
        <v>181.3</v>
      </c>
      <c r="E56" s="794">
        <v>75.400000000000006</v>
      </c>
      <c r="F56" s="721" t="str">
        <f>IF($A56&lt;DATE(2018,7,1),"-",INDEX('I1 - Universal Data'!$E$16:$V$16, MATCH(YEAR(EOMONTH($A56,6)), 'I1 - Universal Data'!$E$14:$V$14, 0)))</f>
        <v>-</v>
      </c>
      <c r="G56" s="721" t="str">
        <f>IF($A56&lt;DATE(2018,7,1),"-",INDEX('I1 - Universal Data'!$E$15:$V$15, MATCH(YEAR(EOMONTH($A56,6)), 'I1 - Universal Data'!$E$14:$V$14, 0)))</f>
        <v>-</v>
      </c>
      <c r="H56" s="721" t="str">
        <f>IF($A56&lt;DATE(2018,7,1),"-",INDEX('I1 - Universal Data'!$E$17:$V$17, MATCH(YEAR(EOMONTH($A56,6)), 'I1 - Universal Data'!$E$14:$V$14, 0)))</f>
        <v>-</v>
      </c>
      <c r="I56" s="722">
        <f t="shared" si="2"/>
        <v>76.7</v>
      </c>
      <c r="J56" s="722">
        <f t="shared" si="3"/>
        <v>181.3</v>
      </c>
      <c r="K56" s="722">
        <f t="shared" si="4"/>
        <v>75.400000000000006</v>
      </c>
      <c r="X56" s="710"/>
    </row>
    <row r="57" spans="1:24">
      <c r="A57" s="719">
        <f t="shared" si="1"/>
        <v>37833</v>
      </c>
      <c r="B57" s="720">
        <f t="shared" si="0"/>
        <v>2004</v>
      </c>
      <c r="C57" s="794">
        <v>76.599999999999994</v>
      </c>
      <c r="D57" s="794">
        <v>181.3</v>
      </c>
      <c r="E57" s="794">
        <v>75.3</v>
      </c>
      <c r="F57" s="721" t="str">
        <f>IF($A57&lt;DATE(2018,7,1),"-",INDEX('I1 - Universal Data'!$E$16:$V$16, MATCH(YEAR(EOMONTH($A57,6)), 'I1 - Universal Data'!$E$14:$V$14, 0)))</f>
        <v>-</v>
      </c>
      <c r="G57" s="721" t="str">
        <f>IF($A57&lt;DATE(2018,7,1),"-",INDEX('I1 - Universal Data'!$E$15:$V$15, MATCH(YEAR(EOMONTH($A57,6)), 'I1 - Universal Data'!$E$14:$V$14, 0)))</f>
        <v>-</v>
      </c>
      <c r="H57" s="721" t="str">
        <f>IF($A57&lt;DATE(2018,7,1),"-",INDEX('I1 - Universal Data'!$E$17:$V$17, MATCH(YEAR(EOMONTH($A57,6)), 'I1 - Universal Data'!$E$14:$V$14, 0)))</f>
        <v>-</v>
      </c>
      <c r="I57" s="722">
        <f t="shared" si="2"/>
        <v>76.599999999999994</v>
      </c>
      <c r="J57" s="722">
        <f t="shared" si="3"/>
        <v>181.3</v>
      </c>
      <c r="K57" s="722">
        <f t="shared" si="4"/>
        <v>75.3</v>
      </c>
      <c r="X57" s="710"/>
    </row>
    <row r="58" spans="1:24">
      <c r="A58" s="719">
        <f t="shared" si="1"/>
        <v>37864</v>
      </c>
      <c r="B58" s="720">
        <f t="shared" si="0"/>
        <v>2004</v>
      </c>
      <c r="C58" s="794">
        <v>76.8</v>
      </c>
      <c r="D58" s="794">
        <v>181.6</v>
      </c>
      <c r="E58" s="794">
        <v>75.599999999999994</v>
      </c>
      <c r="F58" s="721" t="str">
        <f>IF($A58&lt;DATE(2018,7,1),"-",INDEX('I1 - Universal Data'!$E$16:$V$16, MATCH(YEAR(EOMONTH($A58,6)), 'I1 - Universal Data'!$E$14:$V$14, 0)))</f>
        <v>-</v>
      </c>
      <c r="G58" s="721" t="str">
        <f>IF($A58&lt;DATE(2018,7,1),"-",INDEX('I1 - Universal Data'!$E$15:$V$15, MATCH(YEAR(EOMONTH($A58,6)), 'I1 - Universal Data'!$E$14:$V$14, 0)))</f>
        <v>-</v>
      </c>
      <c r="H58" s="721" t="str">
        <f>IF($A58&lt;DATE(2018,7,1),"-",INDEX('I1 - Universal Data'!$E$17:$V$17, MATCH(YEAR(EOMONTH($A58,6)), 'I1 - Universal Data'!$E$14:$V$14, 0)))</f>
        <v>-</v>
      </c>
      <c r="I58" s="722">
        <f t="shared" si="2"/>
        <v>76.8</v>
      </c>
      <c r="J58" s="722">
        <f t="shared" si="3"/>
        <v>181.6</v>
      </c>
      <c r="K58" s="722">
        <f t="shared" si="4"/>
        <v>75.599999999999994</v>
      </c>
      <c r="X58" s="710"/>
    </row>
    <row r="59" spans="1:24">
      <c r="A59" s="719">
        <f t="shared" si="1"/>
        <v>37894</v>
      </c>
      <c r="B59" s="720">
        <f t="shared" si="0"/>
        <v>2004</v>
      </c>
      <c r="C59" s="794">
        <v>77</v>
      </c>
      <c r="D59" s="794">
        <v>182.5</v>
      </c>
      <c r="E59" s="794">
        <v>75.900000000000006</v>
      </c>
      <c r="F59" s="721" t="str">
        <f>IF($A59&lt;DATE(2018,7,1),"-",INDEX('I1 - Universal Data'!$E$16:$V$16, MATCH(YEAR(EOMONTH($A59,6)), 'I1 - Universal Data'!$E$14:$V$14, 0)))</f>
        <v>-</v>
      </c>
      <c r="G59" s="721" t="str">
        <f>IF($A59&lt;DATE(2018,7,1),"-",INDEX('I1 - Universal Data'!$E$15:$V$15, MATCH(YEAR(EOMONTH($A59,6)), 'I1 - Universal Data'!$E$14:$V$14, 0)))</f>
        <v>-</v>
      </c>
      <c r="H59" s="721" t="str">
        <f>IF($A59&lt;DATE(2018,7,1),"-",INDEX('I1 - Universal Data'!$E$17:$V$17, MATCH(YEAR(EOMONTH($A59,6)), 'I1 - Universal Data'!$E$14:$V$14, 0)))</f>
        <v>-</v>
      </c>
      <c r="I59" s="722">
        <f t="shared" si="2"/>
        <v>77</v>
      </c>
      <c r="J59" s="722">
        <f t="shared" si="3"/>
        <v>182.5</v>
      </c>
      <c r="K59" s="722">
        <f t="shared" si="4"/>
        <v>75.900000000000006</v>
      </c>
      <c r="X59" s="710"/>
    </row>
    <row r="60" spans="1:24">
      <c r="A60" s="719">
        <f t="shared" si="1"/>
        <v>37925</v>
      </c>
      <c r="B60" s="720">
        <f t="shared" si="0"/>
        <v>2004</v>
      </c>
      <c r="C60" s="794">
        <v>77.099999999999994</v>
      </c>
      <c r="D60" s="794">
        <v>182.6</v>
      </c>
      <c r="E60" s="794">
        <v>76</v>
      </c>
      <c r="F60" s="721" t="str">
        <f>IF($A60&lt;DATE(2018,7,1),"-",INDEX('I1 - Universal Data'!$E$16:$V$16, MATCH(YEAR(EOMONTH($A60,6)), 'I1 - Universal Data'!$E$14:$V$14, 0)))</f>
        <v>-</v>
      </c>
      <c r="G60" s="721" t="str">
        <f>IF($A60&lt;DATE(2018,7,1),"-",INDEX('I1 - Universal Data'!$E$15:$V$15, MATCH(YEAR(EOMONTH($A60,6)), 'I1 - Universal Data'!$E$14:$V$14, 0)))</f>
        <v>-</v>
      </c>
      <c r="H60" s="721" t="str">
        <f>IF($A60&lt;DATE(2018,7,1),"-",INDEX('I1 - Universal Data'!$E$17:$V$17, MATCH(YEAR(EOMONTH($A60,6)), 'I1 - Universal Data'!$E$14:$V$14, 0)))</f>
        <v>-</v>
      </c>
      <c r="I60" s="722">
        <f t="shared" si="2"/>
        <v>77.099999999999994</v>
      </c>
      <c r="J60" s="722">
        <f t="shared" si="3"/>
        <v>182.6</v>
      </c>
      <c r="K60" s="722">
        <f t="shared" si="4"/>
        <v>76</v>
      </c>
      <c r="X60" s="710"/>
    </row>
    <row r="61" spans="1:24">
      <c r="A61" s="719">
        <f t="shared" si="1"/>
        <v>37955</v>
      </c>
      <c r="B61" s="720">
        <f t="shared" si="0"/>
        <v>2004</v>
      </c>
      <c r="C61" s="794">
        <v>77.099999999999994</v>
      </c>
      <c r="D61" s="794">
        <v>182.7</v>
      </c>
      <c r="E61" s="794">
        <v>75.900000000000006</v>
      </c>
      <c r="F61" s="721" t="str">
        <f>IF($A61&lt;DATE(2018,7,1),"-",INDEX('I1 - Universal Data'!$E$16:$V$16, MATCH(YEAR(EOMONTH($A61,6)), 'I1 - Universal Data'!$E$14:$V$14, 0)))</f>
        <v>-</v>
      </c>
      <c r="G61" s="721" t="str">
        <f>IF($A61&lt;DATE(2018,7,1),"-",INDEX('I1 - Universal Data'!$E$15:$V$15, MATCH(YEAR(EOMONTH($A61,6)), 'I1 - Universal Data'!$E$14:$V$14, 0)))</f>
        <v>-</v>
      </c>
      <c r="H61" s="721" t="str">
        <f>IF($A61&lt;DATE(2018,7,1),"-",INDEX('I1 - Universal Data'!$E$17:$V$17, MATCH(YEAR(EOMONTH($A61,6)), 'I1 - Universal Data'!$E$14:$V$14, 0)))</f>
        <v>-</v>
      </c>
      <c r="I61" s="722">
        <f t="shared" si="2"/>
        <v>77.099999999999994</v>
      </c>
      <c r="J61" s="722">
        <f t="shared" si="3"/>
        <v>182.7</v>
      </c>
      <c r="K61" s="722">
        <f t="shared" si="4"/>
        <v>75.900000000000006</v>
      </c>
      <c r="X61" s="710"/>
    </row>
    <row r="62" spans="1:24">
      <c r="A62" s="719">
        <f t="shared" si="1"/>
        <v>37986</v>
      </c>
      <c r="B62" s="720">
        <f t="shared" si="0"/>
        <v>2004</v>
      </c>
      <c r="C62" s="794">
        <v>77.3</v>
      </c>
      <c r="D62" s="794">
        <v>183.5</v>
      </c>
      <c r="E62" s="794">
        <v>76.2</v>
      </c>
      <c r="F62" s="721" t="str">
        <f>IF($A62&lt;DATE(2018,7,1),"-",INDEX('I1 - Universal Data'!$E$16:$V$16, MATCH(YEAR(EOMONTH($A62,6)), 'I1 - Universal Data'!$E$14:$V$14, 0)))</f>
        <v>-</v>
      </c>
      <c r="G62" s="721" t="str">
        <f>IF($A62&lt;DATE(2018,7,1),"-",INDEX('I1 - Universal Data'!$E$15:$V$15, MATCH(YEAR(EOMONTH($A62,6)), 'I1 - Universal Data'!$E$14:$V$14, 0)))</f>
        <v>-</v>
      </c>
      <c r="H62" s="721" t="str">
        <f>IF($A62&lt;DATE(2018,7,1),"-",INDEX('I1 - Universal Data'!$E$17:$V$17, MATCH(YEAR(EOMONTH($A62,6)), 'I1 - Universal Data'!$E$14:$V$14, 0)))</f>
        <v>-</v>
      </c>
      <c r="I62" s="722">
        <f t="shared" si="2"/>
        <v>77.3</v>
      </c>
      <c r="J62" s="722">
        <f t="shared" si="3"/>
        <v>183.5</v>
      </c>
      <c r="K62" s="722">
        <f t="shared" si="4"/>
        <v>76.2</v>
      </c>
      <c r="X62" s="710"/>
    </row>
    <row r="63" spans="1:24">
      <c r="A63" s="719">
        <f t="shared" si="1"/>
        <v>38017</v>
      </c>
      <c r="B63" s="720">
        <f t="shared" si="0"/>
        <v>2004</v>
      </c>
      <c r="C63" s="794">
        <v>77</v>
      </c>
      <c r="D63" s="794">
        <v>183.1</v>
      </c>
      <c r="E63" s="794">
        <v>75.8</v>
      </c>
      <c r="F63" s="721" t="str">
        <f>IF($A63&lt;DATE(2018,7,1),"-",INDEX('I1 - Universal Data'!$E$16:$V$16, MATCH(YEAR(EOMONTH($A63,6)), 'I1 - Universal Data'!$E$14:$V$14, 0)))</f>
        <v>-</v>
      </c>
      <c r="G63" s="721" t="str">
        <f>IF($A63&lt;DATE(2018,7,1),"-",INDEX('I1 - Universal Data'!$E$15:$V$15, MATCH(YEAR(EOMONTH($A63,6)), 'I1 - Universal Data'!$E$14:$V$14, 0)))</f>
        <v>-</v>
      </c>
      <c r="H63" s="721" t="str">
        <f>IF($A63&lt;DATE(2018,7,1),"-",INDEX('I1 - Universal Data'!$E$17:$V$17, MATCH(YEAR(EOMONTH($A63,6)), 'I1 - Universal Data'!$E$14:$V$14, 0)))</f>
        <v>-</v>
      </c>
      <c r="I63" s="722">
        <f t="shared" si="2"/>
        <v>77</v>
      </c>
      <c r="J63" s="722">
        <f t="shared" si="3"/>
        <v>183.1</v>
      </c>
      <c r="K63" s="722">
        <f t="shared" si="4"/>
        <v>75.8</v>
      </c>
      <c r="X63" s="710"/>
    </row>
    <row r="64" spans="1:24">
      <c r="A64" s="719">
        <f t="shared" si="1"/>
        <v>38046</v>
      </c>
      <c r="B64" s="720">
        <f t="shared" si="0"/>
        <v>2004</v>
      </c>
      <c r="C64" s="794">
        <v>77.2</v>
      </c>
      <c r="D64" s="794">
        <v>183.8</v>
      </c>
      <c r="E64" s="794">
        <v>76</v>
      </c>
      <c r="F64" s="721" t="str">
        <f>IF($A64&lt;DATE(2018,7,1),"-",INDEX('I1 - Universal Data'!$E$16:$V$16, MATCH(YEAR(EOMONTH($A64,6)), 'I1 - Universal Data'!$E$14:$V$14, 0)))</f>
        <v>-</v>
      </c>
      <c r="G64" s="721" t="str">
        <f>IF($A64&lt;DATE(2018,7,1),"-",INDEX('I1 - Universal Data'!$E$15:$V$15, MATCH(YEAR(EOMONTH($A64,6)), 'I1 - Universal Data'!$E$14:$V$14, 0)))</f>
        <v>-</v>
      </c>
      <c r="H64" s="721" t="str">
        <f>IF($A64&lt;DATE(2018,7,1),"-",INDEX('I1 - Universal Data'!$E$17:$V$17, MATCH(YEAR(EOMONTH($A64,6)), 'I1 - Universal Data'!$E$14:$V$14, 0)))</f>
        <v>-</v>
      </c>
      <c r="I64" s="722">
        <f t="shared" si="2"/>
        <v>77.2</v>
      </c>
      <c r="J64" s="722">
        <f t="shared" si="3"/>
        <v>183.8</v>
      </c>
      <c r="K64" s="722">
        <f t="shared" si="4"/>
        <v>76</v>
      </c>
      <c r="X64" s="710"/>
    </row>
    <row r="65" spans="1:24">
      <c r="A65" s="719">
        <f t="shared" si="1"/>
        <v>38077</v>
      </c>
      <c r="B65" s="720">
        <f t="shared" si="0"/>
        <v>2004</v>
      </c>
      <c r="C65" s="794">
        <v>77.3</v>
      </c>
      <c r="D65" s="794">
        <v>184.6</v>
      </c>
      <c r="E65" s="794">
        <v>76.099999999999994</v>
      </c>
      <c r="F65" s="721" t="str">
        <f>IF($A65&lt;DATE(2018,7,1),"-",INDEX('I1 - Universal Data'!$E$16:$V$16, MATCH(YEAR(EOMONTH($A65,6)), 'I1 - Universal Data'!$E$14:$V$14, 0)))</f>
        <v>-</v>
      </c>
      <c r="G65" s="721" t="str">
        <f>IF($A65&lt;DATE(2018,7,1),"-",INDEX('I1 - Universal Data'!$E$15:$V$15, MATCH(YEAR(EOMONTH($A65,6)), 'I1 - Universal Data'!$E$14:$V$14, 0)))</f>
        <v>-</v>
      </c>
      <c r="H65" s="721" t="str">
        <f>IF($A65&lt;DATE(2018,7,1),"-",INDEX('I1 - Universal Data'!$E$17:$V$17, MATCH(YEAR(EOMONTH($A65,6)), 'I1 - Universal Data'!$E$14:$V$14, 0)))</f>
        <v>-</v>
      </c>
      <c r="I65" s="722">
        <f t="shared" si="2"/>
        <v>77.3</v>
      </c>
      <c r="J65" s="722">
        <f t="shared" si="3"/>
        <v>184.6</v>
      </c>
      <c r="K65" s="722">
        <f t="shared" si="4"/>
        <v>76.099999999999994</v>
      </c>
      <c r="X65" s="710"/>
    </row>
    <row r="66" spans="1:24">
      <c r="A66" s="719">
        <f t="shared" si="1"/>
        <v>38107</v>
      </c>
      <c r="B66" s="720">
        <f t="shared" si="0"/>
        <v>2005</v>
      </c>
      <c r="C66" s="794">
        <v>77.599999999999994</v>
      </c>
      <c r="D66" s="794">
        <v>185.7</v>
      </c>
      <c r="E66" s="794">
        <v>76.400000000000006</v>
      </c>
      <c r="F66" s="721" t="str">
        <f>IF($A66&lt;DATE(2018,7,1),"-",INDEX('I1 - Universal Data'!$E$16:$V$16, MATCH(YEAR(EOMONTH($A66,6)), 'I1 - Universal Data'!$E$14:$V$14, 0)))</f>
        <v>-</v>
      </c>
      <c r="G66" s="721" t="str">
        <f>IF($A66&lt;DATE(2018,7,1),"-",INDEX('I1 - Universal Data'!$E$15:$V$15, MATCH(YEAR(EOMONTH($A66,6)), 'I1 - Universal Data'!$E$14:$V$14, 0)))</f>
        <v>-</v>
      </c>
      <c r="H66" s="721" t="str">
        <f>IF($A66&lt;DATE(2018,7,1),"-",INDEX('I1 - Universal Data'!$E$17:$V$17, MATCH(YEAR(EOMONTH($A66,6)), 'I1 - Universal Data'!$E$14:$V$14, 0)))</f>
        <v>-</v>
      </c>
      <c r="I66" s="722">
        <f t="shared" si="2"/>
        <v>77.599999999999994</v>
      </c>
      <c r="J66" s="722">
        <f t="shared" si="3"/>
        <v>185.7</v>
      </c>
      <c r="K66" s="722">
        <f t="shared" si="4"/>
        <v>76.400000000000006</v>
      </c>
      <c r="X66" s="710"/>
    </row>
    <row r="67" spans="1:24">
      <c r="A67" s="719">
        <f t="shared" si="1"/>
        <v>38138</v>
      </c>
      <c r="B67" s="720">
        <f t="shared" si="0"/>
        <v>2005</v>
      </c>
      <c r="C67" s="794">
        <v>77.900000000000006</v>
      </c>
      <c r="D67" s="794">
        <v>186.5</v>
      </c>
      <c r="E67" s="794">
        <v>76.599999999999994</v>
      </c>
      <c r="F67" s="721" t="str">
        <f>IF($A67&lt;DATE(2018,7,1),"-",INDEX('I1 - Universal Data'!$E$16:$V$16, MATCH(YEAR(EOMONTH($A67,6)), 'I1 - Universal Data'!$E$14:$V$14, 0)))</f>
        <v>-</v>
      </c>
      <c r="G67" s="721" t="str">
        <f>IF($A67&lt;DATE(2018,7,1),"-",INDEX('I1 - Universal Data'!$E$15:$V$15, MATCH(YEAR(EOMONTH($A67,6)), 'I1 - Universal Data'!$E$14:$V$14, 0)))</f>
        <v>-</v>
      </c>
      <c r="H67" s="721" t="str">
        <f>IF($A67&lt;DATE(2018,7,1),"-",INDEX('I1 - Universal Data'!$E$17:$V$17, MATCH(YEAR(EOMONTH($A67,6)), 'I1 - Universal Data'!$E$14:$V$14, 0)))</f>
        <v>-</v>
      </c>
      <c r="I67" s="722">
        <f t="shared" si="2"/>
        <v>77.900000000000006</v>
      </c>
      <c r="J67" s="722">
        <f t="shared" si="3"/>
        <v>186.5</v>
      </c>
      <c r="K67" s="722">
        <f t="shared" si="4"/>
        <v>76.599999999999994</v>
      </c>
      <c r="X67" s="710"/>
    </row>
    <row r="68" spans="1:24">
      <c r="A68" s="719">
        <f t="shared" si="1"/>
        <v>38168</v>
      </c>
      <c r="B68" s="720">
        <f t="shared" si="0"/>
        <v>2005</v>
      </c>
      <c r="C68" s="794">
        <v>77.900000000000006</v>
      </c>
      <c r="D68" s="794">
        <v>186.8</v>
      </c>
      <c r="E68" s="794">
        <v>76.599999999999994</v>
      </c>
      <c r="F68" s="721" t="str">
        <f>IF($A68&lt;DATE(2018,7,1),"-",INDEX('I1 - Universal Data'!$E$16:$V$16, MATCH(YEAR(EOMONTH($A68,6)), 'I1 - Universal Data'!$E$14:$V$14, 0)))</f>
        <v>-</v>
      </c>
      <c r="G68" s="721" t="str">
        <f>IF($A68&lt;DATE(2018,7,1),"-",INDEX('I1 - Universal Data'!$E$15:$V$15, MATCH(YEAR(EOMONTH($A68,6)), 'I1 - Universal Data'!$E$14:$V$14, 0)))</f>
        <v>-</v>
      </c>
      <c r="H68" s="721" t="str">
        <f>IF($A68&lt;DATE(2018,7,1),"-",INDEX('I1 - Universal Data'!$E$17:$V$17, MATCH(YEAR(EOMONTH($A68,6)), 'I1 - Universal Data'!$E$14:$V$14, 0)))</f>
        <v>-</v>
      </c>
      <c r="I68" s="722">
        <f t="shared" si="2"/>
        <v>77.900000000000006</v>
      </c>
      <c r="J68" s="722">
        <f t="shared" si="3"/>
        <v>186.8</v>
      </c>
      <c r="K68" s="722">
        <f t="shared" si="4"/>
        <v>76.599999999999994</v>
      </c>
      <c r="X68" s="710"/>
    </row>
    <row r="69" spans="1:24">
      <c r="A69" s="719">
        <f t="shared" si="1"/>
        <v>38199</v>
      </c>
      <c r="B69" s="720">
        <f t="shared" si="0"/>
        <v>2005</v>
      </c>
      <c r="C69" s="794">
        <v>77.7</v>
      </c>
      <c r="D69" s="794">
        <v>186.8</v>
      </c>
      <c r="E69" s="794">
        <v>76.400000000000006</v>
      </c>
      <c r="F69" s="721" t="str">
        <f>IF($A69&lt;DATE(2018,7,1),"-",INDEX('I1 - Universal Data'!$E$16:$V$16, MATCH(YEAR(EOMONTH($A69,6)), 'I1 - Universal Data'!$E$14:$V$14, 0)))</f>
        <v>-</v>
      </c>
      <c r="G69" s="721" t="str">
        <f>IF($A69&lt;DATE(2018,7,1),"-",INDEX('I1 - Universal Data'!$E$15:$V$15, MATCH(YEAR(EOMONTH($A69,6)), 'I1 - Universal Data'!$E$14:$V$14, 0)))</f>
        <v>-</v>
      </c>
      <c r="H69" s="721" t="str">
        <f>IF($A69&lt;DATE(2018,7,1),"-",INDEX('I1 - Universal Data'!$E$17:$V$17, MATCH(YEAR(EOMONTH($A69,6)), 'I1 - Universal Data'!$E$14:$V$14, 0)))</f>
        <v>-</v>
      </c>
      <c r="I69" s="722">
        <f t="shared" si="2"/>
        <v>77.7</v>
      </c>
      <c r="J69" s="722">
        <f t="shared" si="3"/>
        <v>186.8</v>
      </c>
      <c r="K69" s="722">
        <f t="shared" si="4"/>
        <v>76.400000000000006</v>
      </c>
      <c r="X69" s="710"/>
    </row>
    <row r="70" spans="1:24">
      <c r="A70" s="719">
        <f t="shared" si="1"/>
        <v>38230</v>
      </c>
      <c r="B70" s="720">
        <f t="shared" ref="B70:B133" si="5">IF(MONTH(A70)&gt;=4,YEAR(A70)+1,YEAR(A70))</f>
        <v>2005</v>
      </c>
      <c r="C70" s="794">
        <v>77.900000000000006</v>
      </c>
      <c r="D70" s="794">
        <v>187.4</v>
      </c>
      <c r="E70" s="794">
        <v>76.599999999999994</v>
      </c>
      <c r="F70" s="721" t="str">
        <f>IF($A70&lt;DATE(2018,7,1),"-",INDEX('I1 - Universal Data'!$E$16:$V$16, MATCH(YEAR(EOMONTH($A70,6)), 'I1 - Universal Data'!$E$14:$V$14, 0)))</f>
        <v>-</v>
      </c>
      <c r="G70" s="721" t="str">
        <f>IF($A70&lt;DATE(2018,7,1),"-",INDEX('I1 - Universal Data'!$E$15:$V$15, MATCH(YEAR(EOMONTH($A70,6)), 'I1 - Universal Data'!$E$14:$V$14, 0)))</f>
        <v>-</v>
      </c>
      <c r="H70" s="721" t="str">
        <f>IF($A70&lt;DATE(2018,7,1),"-",INDEX('I1 - Universal Data'!$E$17:$V$17, MATCH(YEAR(EOMONTH($A70,6)), 'I1 - Universal Data'!$E$14:$V$14, 0)))</f>
        <v>-</v>
      </c>
      <c r="I70" s="722">
        <f t="shared" si="2"/>
        <v>77.900000000000006</v>
      </c>
      <c r="J70" s="722">
        <f t="shared" si="3"/>
        <v>187.4</v>
      </c>
      <c r="K70" s="722">
        <f t="shared" si="4"/>
        <v>76.599999999999994</v>
      </c>
      <c r="X70" s="710"/>
    </row>
    <row r="71" spans="1:24">
      <c r="A71" s="719">
        <f t="shared" ref="A71:A134" si="6">IF(MONTH(A70) = 12, EOMONTH(DATE(YEAR(A70) + 1, 1, 1), 0), EOMONTH(DATE(YEAR(A70), MONTH(A70) + 1, 1), 0))</f>
        <v>38260</v>
      </c>
      <c r="B71" s="720">
        <f t="shared" si="5"/>
        <v>2005</v>
      </c>
      <c r="C71" s="794">
        <v>77.900000000000006</v>
      </c>
      <c r="D71" s="794">
        <v>188.1</v>
      </c>
      <c r="E71" s="794">
        <v>76.7</v>
      </c>
      <c r="F71" s="721" t="str">
        <f>IF($A71&lt;DATE(2018,7,1),"-",INDEX('I1 - Universal Data'!$E$16:$V$16, MATCH(YEAR(EOMONTH($A71,6)), 'I1 - Universal Data'!$E$14:$V$14, 0)))</f>
        <v>-</v>
      </c>
      <c r="G71" s="721" t="str">
        <f>IF($A71&lt;DATE(2018,7,1),"-",INDEX('I1 - Universal Data'!$E$15:$V$15, MATCH(YEAR(EOMONTH($A71,6)), 'I1 - Universal Data'!$E$14:$V$14, 0)))</f>
        <v>-</v>
      </c>
      <c r="H71" s="721" t="str">
        <f>IF($A71&lt;DATE(2018,7,1),"-",INDEX('I1 - Universal Data'!$E$17:$V$17, MATCH(YEAR(EOMONTH($A71,6)), 'I1 - Universal Data'!$E$14:$V$14, 0)))</f>
        <v>-</v>
      </c>
      <c r="I71" s="722">
        <f t="shared" ref="I71:I134" si="7">IF(ISBLANK(C71),I70*((1+F71)^(1/12)),C71)</f>
        <v>77.900000000000006</v>
      </c>
      <c r="J71" s="722">
        <f t="shared" ref="J71:J134" si="8">IF(ISBLANK(D71),J70*((1+G71)^(1/12)),D71)</f>
        <v>188.1</v>
      </c>
      <c r="K71" s="722">
        <f t="shared" ref="K71:K134" si="9">IF(ISBLANK(E71),K70*((1+H71)^(1/12)),E71)</f>
        <v>76.7</v>
      </c>
      <c r="X71" s="710"/>
    </row>
    <row r="72" spans="1:24">
      <c r="A72" s="719">
        <f t="shared" si="6"/>
        <v>38291</v>
      </c>
      <c r="B72" s="720">
        <f t="shared" si="5"/>
        <v>2005</v>
      </c>
      <c r="C72" s="794">
        <v>78.099999999999994</v>
      </c>
      <c r="D72" s="794">
        <v>188.6</v>
      </c>
      <c r="E72" s="794">
        <v>76.900000000000006</v>
      </c>
      <c r="F72" s="721" t="str">
        <f>IF($A72&lt;DATE(2018,7,1),"-",INDEX('I1 - Universal Data'!$E$16:$V$16, MATCH(YEAR(EOMONTH($A72,6)), 'I1 - Universal Data'!$E$14:$V$14, 0)))</f>
        <v>-</v>
      </c>
      <c r="G72" s="721" t="str">
        <f>IF($A72&lt;DATE(2018,7,1),"-",INDEX('I1 - Universal Data'!$E$15:$V$15, MATCH(YEAR(EOMONTH($A72,6)), 'I1 - Universal Data'!$E$14:$V$14, 0)))</f>
        <v>-</v>
      </c>
      <c r="H72" s="721" t="str">
        <f>IF($A72&lt;DATE(2018,7,1),"-",INDEX('I1 - Universal Data'!$E$17:$V$17, MATCH(YEAR(EOMONTH($A72,6)), 'I1 - Universal Data'!$E$14:$V$14, 0)))</f>
        <v>-</v>
      </c>
      <c r="I72" s="722">
        <f t="shared" si="7"/>
        <v>78.099999999999994</v>
      </c>
      <c r="J72" s="722">
        <f t="shared" si="8"/>
        <v>188.6</v>
      </c>
      <c r="K72" s="722">
        <f t="shared" si="9"/>
        <v>76.900000000000006</v>
      </c>
      <c r="X72" s="710"/>
    </row>
    <row r="73" spans="1:24">
      <c r="A73" s="719">
        <f t="shared" si="6"/>
        <v>38321</v>
      </c>
      <c r="B73" s="720">
        <f t="shared" si="5"/>
        <v>2005</v>
      </c>
      <c r="C73" s="794">
        <v>78.3</v>
      </c>
      <c r="D73" s="794">
        <v>189</v>
      </c>
      <c r="E73" s="794">
        <v>77</v>
      </c>
      <c r="F73" s="721" t="str">
        <f>IF($A73&lt;DATE(2018,7,1),"-",INDEX('I1 - Universal Data'!$E$16:$V$16, MATCH(YEAR(EOMONTH($A73,6)), 'I1 - Universal Data'!$E$14:$V$14, 0)))</f>
        <v>-</v>
      </c>
      <c r="G73" s="721" t="str">
        <f>IF($A73&lt;DATE(2018,7,1),"-",INDEX('I1 - Universal Data'!$E$15:$V$15, MATCH(YEAR(EOMONTH($A73,6)), 'I1 - Universal Data'!$E$14:$V$14, 0)))</f>
        <v>-</v>
      </c>
      <c r="H73" s="721" t="str">
        <f>IF($A73&lt;DATE(2018,7,1),"-",INDEX('I1 - Universal Data'!$E$17:$V$17, MATCH(YEAR(EOMONTH($A73,6)), 'I1 - Universal Data'!$E$14:$V$14, 0)))</f>
        <v>-</v>
      </c>
      <c r="I73" s="722">
        <f t="shared" si="7"/>
        <v>78.3</v>
      </c>
      <c r="J73" s="722">
        <f t="shared" si="8"/>
        <v>189</v>
      </c>
      <c r="K73" s="722">
        <f t="shared" si="9"/>
        <v>77</v>
      </c>
      <c r="X73" s="710"/>
    </row>
    <row r="74" spans="1:24">
      <c r="A74" s="719">
        <f t="shared" si="6"/>
        <v>38352</v>
      </c>
      <c r="B74" s="720">
        <f t="shared" si="5"/>
        <v>2005</v>
      </c>
      <c r="C74" s="794">
        <v>78.599999999999994</v>
      </c>
      <c r="D74" s="794">
        <v>189.9</v>
      </c>
      <c r="E74" s="794">
        <v>77.400000000000006</v>
      </c>
      <c r="F74" s="721" t="str">
        <f>IF($A74&lt;DATE(2018,7,1),"-",INDEX('I1 - Universal Data'!$E$16:$V$16, MATCH(YEAR(EOMONTH($A74,6)), 'I1 - Universal Data'!$E$14:$V$14, 0)))</f>
        <v>-</v>
      </c>
      <c r="G74" s="721" t="str">
        <f>IF($A74&lt;DATE(2018,7,1),"-",INDEX('I1 - Universal Data'!$E$15:$V$15, MATCH(YEAR(EOMONTH($A74,6)), 'I1 - Universal Data'!$E$14:$V$14, 0)))</f>
        <v>-</v>
      </c>
      <c r="H74" s="721" t="str">
        <f>IF($A74&lt;DATE(2018,7,1),"-",INDEX('I1 - Universal Data'!$E$17:$V$17, MATCH(YEAR(EOMONTH($A74,6)), 'I1 - Universal Data'!$E$14:$V$14, 0)))</f>
        <v>-</v>
      </c>
      <c r="I74" s="722">
        <f t="shared" si="7"/>
        <v>78.599999999999994</v>
      </c>
      <c r="J74" s="722">
        <f t="shared" si="8"/>
        <v>189.9</v>
      </c>
      <c r="K74" s="722">
        <f t="shared" si="9"/>
        <v>77.400000000000006</v>
      </c>
      <c r="X74" s="710"/>
    </row>
    <row r="75" spans="1:24">
      <c r="A75" s="719">
        <f t="shared" si="6"/>
        <v>38383</v>
      </c>
      <c r="B75" s="720">
        <f t="shared" si="5"/>
        <v>2005</v>
      </c>
      <c r="C75" s="794">
        <v>78.3</v>
      </c>
      <c r="D75" s="794">
        <v>188.9</v>
      </c>
      <c r="E75" s="794">
        <v>77</v>
      </c>
      <c r="F75" s="721" t="str">
        <f>IF($A75&lt;DATE(2018,7,1),"-",INDEX('I1 - Universal Data'!$E$16:$V$16, MATCH(YEAR(EOMONTH($A75,6)), 'I1 - Universal Data'!$E$14:$V$14, 0)))</f>
        <v>-</v>
      </c>
      <c r="G75" s="721" t="str">
        <f>IF($A75&lt;DATE(2018,7,1),"-",INDEX('I1 - Universal Data'!$E$15:$V$15, MATCH(YEAR(EOMONTH($A75,6)), 'I1 - Universal Data'!$E$14:$V$14, 0)))</f>
        <v>-</v>
      </c>
      <c r="H75" s="721" t="str">
        <f>IF($A75&lt;DATE(2018,7,1),"-",INDEX('I1 - Universal Data'!$E$17:$V$17, MATCH(YEAR(EOMONTH($A75,6)), 'I1 - Universal Data'!$E$14:$V$14, 0)))</f>
        <v>-</v>
      </c>
      <c r="I75" s="722">
        <f t="shared" si="7"/>
        <v>78.3</v>
      </c>
      <c r="J75" s="722">
        <f t="shared" si="8"/>
        <v>188.9</v>
      </c>
      <c r="K75" s="722">
        <f t="shared" si="9"/>
        <v>77</v>
      </c>
      <c r="X75" s="710"/>
    </row>
    <row r="76" spans="1:24">
      <c r="A76" s="719">
        <f t="shared" si="6"/>
        <v>38411</v>
      </c>
      <c r="B76" s="720">
        <f t="shared" si="5"/>
        <v>2005</v>
      </c>
      <c r="C76" s="794">
        <v>78.5</v>
      </c>
      <c r="D76" s="794">
        <v>189.6</v>
      </c>
      <c r="E76" s="794">
        <v>77.2</v>
      </c>
      <c r="F76" s="721" t="str">
        <f>IF($A76&lt;DATE(2018,7,1),"-",INDEX('I1 - Universal Data'!$E$16:$V$16, MATCH(YEAR(EOMONTH($A76,6)), 'I1 - Universal Data'!$E$14:$V$14, 0)))</f>
        <v>-</v>
      </c>
      <c r="G76" s="721" t="str">
        <f>IF($A76&lt;DATE(2018,7,1),"-",INDEX('I1 - Universal Data'!$E$15:$V$15, MATCH(YEAR(EOMONTH($A76,6)), 'I1 - Universal Data'!$E$14:$V$14, 0)))</f>
        <v>-</v>
      </c>
      <c r="H76" s="721" t="str">
        <f>IF($A76&lt;DATE(2018,7,1),"-",INDEX('I1 - Universal Data'!$E$17:$V$17, MATCH(YEAR(EOMONTH($A76,6)), 'I1 - Universal Data'!$E$14:$V$14, 0)))</f>
        <v>-</v>
      </c>
      <c r="I76" s="722">
        <f t="shared" si="7"/>
        <v>78.5</v>
      </c>
      <c r="J76" s="722">
        <f t="shared" si="8"/>
        <v>189.6</v>
      </c>
      <c r="K76" s="722">
        <f t="shared" si="9"/>
        <v>77.2</v>
      </c>
      <c r="X76" s="710"/>
    </row>
    <row r="77" spans="1:24">
      <c r="A77" s="719">
        <f t="shared" si="6"/>
        <v>38442</v>
      </c>
      <c r="B77" s="720">
        <f t="shared" si="5"/>
        <v>2005</v>
      </c>
      <c r="C77" s="794">
        <v>78.8</v>
      </c>
      <c r="D77" s="794">
        <v>190.5</v>
      </c>
      <c r="E77" s="794">
        <v>77.5</v>
      </c>
      <c r="F77" s="721" t="str">
        <f>IF($A77&lt;DATE(2018,7,1),"-",INDEX('I1 - Universal Data'!$E$16:$V$16, MATCH(YEAR(EOMONTH($A77,6)), 'I1 - Universal Data'!$E$14:$V$14, 0)))</f>
        <v>-</v>
      </c>
      <c r="G77" s="721" t="str">
        <f>IF($A77&lt;DATE(2018,7,1),"-",INDEX('I1 - Universal Data'!$E$15:$V$15, MATCH(YEAR(EOMONTH($A77,6)), 'I1 - Universal Data'!$E$14:$V$14, 0)))</f>
        <v>-</v>
      </c>
      <c r="H77" s="721" t="str">
        <f>IF($A77&lt;DATE(2018,7,1),"-",INDEX('I1 - Universal Data'!$E$17:$V$17, MATCH(YEAR(EOMONTH($A77,6)), 'I1 - Universal Data'!$E$14:$V$14, 0)))</f>
        <v>-</v>
      </c>
      <c r="I77" s="722">
        <f t="shared" si="7"/>
        <v>78.8</v>
      </c>
      <c r="J77" s="722">
        <f t="shared" si="8"/>
        <v>190.5</v>
      </c>
      <c r="K77" s="722">
        <f t="shared" si="9"/>
        <v>77.5</v>
      </c>
      <c r="X77" s="710"/>
    </row>
    <row r="78" spans="1:24">
      <c r="A78" s="719">
        <f t="shared" si="6"/>
        <v>38472</v>
      </c>
      <c r="B78" s="720">
        <f t="shared" si="5"/>
        <v>2006</v>
      </c>
      <c r="C78" s="794">
        <v>79.099999999999994</v>
      </c>
      <c r="D78" s="794">
        <v>191.6</v>
      </c>
      <c r="E78" s="794">
        <v>77.8</v>
      </c>
      <c r="F78" s="721" t="str">
        <f>IF($A78&lt;DATE(2018,7,1),"-",INDEX('I1 - Universal Data'!$E$16:$V$16, MATCH(YEAR(EOMONTH($A78,6)), 'I1 - Universal Data'!$E$14:$V$14, 0)))</f>
        <v>-</v>
      </c>
      <c r="G78" s="721" t="str">
        <f>IF($A78&lt;DATE(2018,7,1),"-",INDEX('I1 - Universal Data'!$E$15:$V$15, MATCH(YEAR(EOMONTH($A78,6)), 'I1 - Universal Data'!$E$14:$V$14, 0)))</f>
        <v>-</v>
      </c>
      <c r="H78" s="721" t="str">
        <f>IF($A78&lt;DATE(2018,7,1),"-",INDEX('I1 - Universal Data'!$E$17:$V$17, MATCH(YEAR(EOMONTH($A78,6)), 'I1 - Universal Data'!$E$14:$V$14, 0)))</f>
        <v>-</v>
      </c>
      <c r="I78" s="722">
        <f t="shared" si="7"/>
        <v>79.099999999999994</v>
      </c>
      <c r="J78" s="722">
        <f t="shared" si="8"/>
        <v>191.6</v>
      </c>
      <c r="K78" s="722">
        <f t="shared" si="9"/>
        <v>77.8</v>
      </c>
      <c r="X78" s="710"/>
    </row>
    <row r="79" spans="1:24">
      <c r="A79" s="719">
        <f t="shared" si="6"/>
        <v>38503</v>
      </c>
      <c r="B79" s="720">
        <f t="shared" si="5"/>
        <v>2006</v>
      </c>
      <c r="C79" s="794">
        <v>79.400000000000006</v>
      </c>
      <c r="D79" s="794">
        <v>192</v>
      </c>
      <c r="E79" s="794">
        <v>78.099999999999994</v>
      </c>
      <c r="F79" s="721" t="str">
        <f>IF($A79&lt;DATE(2018,7,1),"-",INDEX('I1 - Universal Data'!$E$16:$V$16, MATCH(YEAR(EOMONTH($A79,6)), 'I1 - Universal Data'!$E$14:$V$14, 0)))</f>
        <v>-</v>
      </c>
      <c r="G79" s="721" t="str">
        <f>IF($A79&lt;DATE(2018,7,1),"-",INDEX('I1 - Universal Data'!$E$15:$V$15, MATCH(YEAR(EOMONTH($A79,6)), 'I1 - Universal Data'!$E$14:$V$14, 0)))</f>
        <v>-</v>
      </c>
      <c r="H79" s="721" t="str">
        <f>IF($A79&lt;DATE(2018,7,1),"-",INDEX('I1 - Universal Data'!$E$17:$V$17, MATCH(YEAR(EOMONTH($A79,6)), 'I1 - Universal Data'!$E$14:$V$14, 0)))</f>
        <v>-</v>
      </c>
      <c r="I79" s="722">
        <f t="shared" si="7"/>
        <v>79.400000000000006</v>
      </c>
      <c r="J79" s="722">
        <f t="shared" si="8"/>
        <v>192</v>
      </c>
      <c r="K79" s="722">
        <f t="shared" si="9"/>
        <v>78.099999999999994</v>
      </c>
      <c r="X79" s="710"/>
    </row>
    <row r="80" spans="1:24">
      <c r="A80" s="719">
        <f t="shared" si="6"/>
        <v>38533</v>
      </c>
      <c r="B80" s="720">
        <f t="shared" si="5"/>
        <v>2006</v>
      </c>
      <c r="C80" s="794">
        <v>79.400000000000006</v>
      </c>
      <c r="D80" s="794">
        <v>192.2</v>
      </c>
      <c r="E80" s="794">
        <v>78.099999999999994</v>
      </c>
      <c r="F80" s="721" t="str">
        <f>IF($A80&lt;DATE(2018,7,1),"-",INDEX('I1 - Universal Data'!$E$16:$V$16, MATCH(YEAR(EOMONTH($A80,6)), 'I1 - Universal Data'!$E$14:$V$14, 0)))</f>
        <v>-</v>
      </c>
      <c r="G80" s="721" t="str">
        <f>IF($A80&lt;DATE(2018,7,1),"-",INDEX('I1 - Universal Data'!$E$15:$V$15, MATCH(YEAR(EOMONTH($A80,6)), 'I1 - Universal Data'!$E$14:$V$14, 0)))</f>
        <v>-</v>
      </c>
      <c r="H80" s="721" t="str">
        <f>IF($A80&lt;DATE(2018,7,1),"-",INDEX('I1 - Universal Data'!$E$17:$V$17, MATCH(YEAR(EOMONTH($A80,6)), 'I1 - Universal Data'!$E$14:$V$14, 0)))</f>
        <v>-</v>
      </c>
      <c r="I80" s="722">
        <f t="shared" si="7"/>
        <v>79.400000000000006</v>
      </c>
      <c r="J80" s="722">
        <f t="shared" si="8"/>
        <v>192.2</v>
      </c>
      <c r="K80" s="722">
        <f t="shared" si="9"/>
        <v>78.099999999999994</v>
      </c>
      <c r="X80" s="710"/>
    </row>
    <row r="81" spans="1:24">
      <c r="A81" s="719">
        <f t="shared" si="6"/>
        <v>38564</v>
      </c>
      <c r="B81" s="720">
        <f t="shared" si="5"/>
        <v>2006</v>
      </c>
      <c r="C81" s="794">
        <v>79.5</v>
      </c>
      <c r="D81" s="794">
        <v>192.2</v>
      </c>
      <c r="E81" s="794">
        <v>78.2</v>
      </c>
      <c r="F81" s="721" t="str">
        <f>IF($A81&lt;DATE(2018,7,1),"-",INDEX('I1 - Universal Data'!$E$16:$V$16, MATCH(YEAR(EOMONTH($A81,6)), 'I1 - Universal Data'!$E$14:$V$14, 0)))</f>
        <v>-</v>
      </c>
      <c r="G81" s="721" t="str">
        <f>IF($A81&lt;DATE(2018,7,1),"-",INDEX('I1 - Universal Data'!$E$15:$V$15, MATCH(YEAR(EOMONTH($A81,6)), 'I1 - Universal Data'!$E$14:$V$14, 0)))</f>
        <v>-</v>
      </c>
      <c r="H81" s="721" t="str">
        <f>IF($A81&lt;DATE(2018,7,1),"-",INDEX('I1 - Universal Data'!$E$17:$V$17, MATCH(YEAR(EOMONTH($A81,6)), 'I1 - Universal Data'!$E$14:$V$14, 0)))</f>
        <v>-</v>
      </c>
      <c r="I81" s="722">
        <f t="shared" si="7"/>
        <v>79.5</v>
      </c>
      <c r="J81" s="722">
        <f t="shared" si="8"/>
        <v>192.2</v>
      </c>
      <c r="K81" s="722">
        <f t="shared" si="9"/>
        <v>78.2</v>
      </c>
      <c r="X81" s="710"/>
    </row>
    <row r="82" spans="1:24">
      <c r="A82" s="719">
        <f t="shared" si="6"/>
        <v>38595</v>
      </c>
      <c r="B82" s="720">
        <f t="shared" si="5"/>
        <v>2006</v>
      </c>
      <c r="C82" s="794">
        <v>79.7</v>
      </c>
      <c r="D82" s="794">
        <v>192.6</v>
      </c>
      <c r="E82" s="794">
        <v>78.400000000000006</v>
      </c>
      <c r="F82" s="721" t="str">
        <f>IF($A82&lt;DATE(2018,7,1),"-",INDEX('I1 - Universal Data'!$E$16:$V$16, MATCH(YEAR(EOMONTH($A82,6)), 'I1 - Universal Data'!$E$14:$V$14, 0)))</f>
        <v>-</v>
      </c>
      <c r="G82" s="721" t="str">
        <f>IF($A82&lt;DATE(2018,7,1),"-",INDEX('I1 - Universal Data'!$E$15:$V$15, MATCH(YEAR(EOMONTH($A82,6)), 'I1 - Universal Data'!$E$14:$V$14, 0)))</f>
        <v>-</v>
      </c>
      <c r="H82" s="721" t="str">
        <f>IF($A82&lt;DATE(2018,7,1),"-",INDEX('I1 - Universal Data'!$E$17:$V$17, MATCH(YEAR(EOMONTH($A82,6)), 'I1 - Universal Data'!$E$14:$V$14, 0)))</f>
        <v>-</v>
      </c>
      <c r="I82" s="722">
        <f t="shared" si="7"/>
        <v>79.7</v>
      </c>
      <c r="J82" s="722">
        <f t="shared" si="8"/>
        <v>192.6</v>
      </c>
      <c r="K82" s="722">
        <f t="shared" si="9"/>
        <v>78.400000000000006</v>
      </c>
      <c r="X82" s="710"/>
    </row>
    <row r="83" spans="1:24">
      <c r="A83" s="719">
        <f t="shared" si="6"/>
        <v>38625</v>
      </c>
      <c r="B83" s="720">
        <f t="shared" si="5"/>
        <v>2006</v>
      </c>
      <c r="C83" s="794">
        <v>79.900000000000006</v>
      </c>
      <c r="D83" s="794">
        <v>193.1</v>
      </c>
      <c r="E83" s="794">
        <v>78.599999999999994</v>
      </c>
      <c r="F83" s="721" t="str">
        <f>IF($A83&lt;DATE(2018,7,1),"-",INDEX('I1 - Universal Data'!$E$16:$V$16, MATCH(YEAR(EOMONTH($A83,6)), 'I1 - Universal Data'!$E$14:$V$14, 0)))</f>
        <v>-</v>
      </c>
      <c r="G83" s="721" t="str">
        <f>IF($A83&lt;DATE(2018,7,1),"-",INDEX('I1 - Universal Data'!$E$15:$V$15, MATCH(YEAR(EOMONTH($A83,6)), 'I1 - Universal Data'!$E$14:$V$14, 0)))</f>
        <v>-</v>
      </c>
      <c r="H83" s="721" t="str">
        <f>IF($A83&lt;DATE(2018,7,1),"-",INDEX('I1 - Universal Data'!$E$17:$V$17, MATCH(YEAR(EOMONTH($A83,6)), 'I1 - Universal Data'!$E$14:$V$14, 0)))</f>
        <v>-</v>
      </c>
      <c r="I83" s="722">
        <f t="shared" si="7"/>
        <v>79.900000000000006</v>
      </c>
      <c r="J83" s="722">
        <f t="shared" si="8"/>
        <v>193.1</v>
      </c>
      <c r="K83" s="722">
        <f t="shared" si="9"/>
        <v>78.599999999999994</v>
      </c>
      <c r="X83" s="710"/>
    </row>
    <row r="84" spans="1:24">
      <c r="A84" s="719">
        <f t="shared" si="6"/>
        <v>38656</v>
      </c>
      <c r="B84" s="720">
        <f t="shared" si="5"/>
        <v>2006</v>
      </c>
      <c r="C84" s="794">
        <v>80</v>
      </c>
      <c r="D84" s="794">
        <v>193.3</v>
      </c>
      <c r="E84" s="794">
        <v>78.7</v>
      </c>
      <c r="F84" s="721" t="str">
        <f>IF($A84&lt;DATE(2018,7,1),"-",INDEX('I1 - Universal Data'!$E$16:$V$16, MATCH(YEAR(EOMONTH($A84,6)), 'I1 - Universal Data'!$E$14:$V$14, 0)))</f>
        <v>-</v>
      </c>
      <c r="G84" s="721" t="str">
        <f>IF($A84&lt;DATE(2018,7,1),"-",INDEX('I1 - Universal Data'!$E$15:$V$15, MATCH(YEAR(EOMONTH($A84,6)), 'I1 - Universal Data'!$E$14:$V$14, 0)))</f>
        <v>-</v>
      </c>
      <c r="H84" s="721" t="str">
        <f>IF($A84&lt;DATE(2018,7,1),"-",INDEX('I1 - Universal Data'!$E$17:$V$17, MATCH(YEAR(EOMONTH($A84,6)), 'I1 - Universal Data'!$E$14:$V$14, 0)))</f>
        <v>-</v>
      </c>
      <c r="I84" s="722">
        <f t="shared" si="7"/>
        <v>80</v>
      </c>
      <c r="J84" s="722">
        <f t="shared" si="8"/>
        <v>193.3</v>
      </c>
      <c r="K84" s="722">
        <f t="shared" si="9"/>
        <v>78.7</v>
      </c>
      <c r="X84" s="710"/>
    </row>
    <row r="85" spans="1:24">
      <c r="A85" s="719">
        <f t="shared" si="6"/>
        <v>38686</v>
      </c>
      <c r="B85" s="720">
        <f t="shared" si="5"/>
        <v>2006</v>
      </c>
      <c r="C85" s="794">
        <v>80</v>
      </c>
      <c r="D85" s="794">
        <v>193.6</v>
      </c>
      <c r="E85" s="794">
        <v>78.7</v>
      </c>
      <c r="F85" s="721" t="str">
        <f>IF($A85&lt;DATE(2018,7,1),"-",INDEX('I1 - Universal Data'!$E$16:$V$16, MATCH(YEAR(EOMONTH($A85,6)), 'I1 - Universal Data'!$E$14:$V$14, 0)))</f>
        <v>-</v>
      </c>
      <c r="G85" s="721" t="str">
        <f>IF($A85&lt;DATE(2018,7,1),"-",INDEX('I1 - Universal Data'!$E$15:$V$15, MATCH(YEAR(EOMONTH($A85,6)), 'I1 - Universal Data'!$E$14:$V$14, 0)))</f>
        <v>-</v>
      </c>
      <c r="H85" s="721" t="str">
        <f>IF($A85&lt;DATE(2018,7,1),"-",INDEX('I1 - Universal Data'!$E$17:$V$17, MATCH(YEAR(EOMONTH($A85,6)), 'I1 - Universal Data'!$E$14:$V$14, 0)))</f>
        <v>-</v>
      </c>
      <c r="I85" s="722">
        <f t="shared" si="7"/>
        <v>80</v>
      </c>
      <c r="J85" s="722">
        <f t="shared" si="8"/>
        <v>193.6</v>
      </c>
      <c r="K85" s="722">
        <f t="shared" si="9"/>
        <v>78.7</v>
      </c>
      <c r="X85" s="710"/>
    </row>
    <row r="86" spans="1:24">
      <c r="A86" s="719">
        <f t="shared" si="6"/>
        <v>38717</v>
      </c>
      <c r="B86" s="720">
        <f t="shared" si="5"/>
        <v>2006</v>
      </c>
      <c r="C86" s="794">
        <v>80.3</v>
      </c>
      <c r="D86" s="794">
        <v>194.1</v>
      </c>
      <c r="E86" s="794">
        <v>78.900000000000006</v>
      </c>
      <c r="F86" s="721" t="str">
        <f>IF($A86&lt;DATE(2018,7,1),"-",INDEX('I1 - Universal Data'!$E$16:$V$16, MATCH(YEAR(EOMONTH($A86,6)), 'I1 - Universal Data'!$E$14:$V$14, 0)))</f>
        <v>-</v>
      </c>
      <c r="G86" s="721" t="str">
        <f>IF($A86&lt;DATE(2018,7,1),"-",INDEX('I1 - Universal Data'!$E$15:$V$15, MATCH(YEAR(EOMONTH($A86,6)), 'I1 - Universal Data'!$E$14:$V$14, 0)))</f>
        <v>-</v>
      </c>
      <c r="H86" s="721" t="str">
        <f>IF($A86&lt;DATE(2018,7,1),"-",INDEX('I1 - Universal Data'!$E$17:$V$17, MATCH(YEAR(EOMONTH($A86,6)), 'I1 - Universal Data'!$E$14:$V$14, 0)))</f>
        <v>-</v>
      </c>
      <c r="I86" s="722">
        <f t="shared" si="7"/>
        <v>80.3</v>
      </c>
      <c r="J86" s="722">
        <f t="shared" si="8"/>
        <v>194.1</v>
      </c>
      <c r="K86" s="722">
        <f t="shared" si="9"/>
        <v>78.900000000000006</v>
      </c>
      <c r="X86" s="710"/>
    </row>
    <row r="87" spans="1:24">
      <c r="A87" s="719">
        <f t="shared" si="6"/>
        <v>38748</v>
      </c>
      <c r="B87" s="720">
        <f t="shared" si="5"/>
        <v>2006</v>
      </c>
      <c r="C87" s="794">
        <v>80</v>
      </c>
      <c r="D87" s="794">
        <v>193.4</v>
      </c>
      <c r="E87" s="794">
        <v>78.5</v>
      </c>
      <c r="F87" s="721" t="str">
        <f>IF($A87&lt;DATE(2018,7,1),"-",INDEX('I1 - Universal Data'!$E$16:$V$16, MATCH(YEAR(EOMONTH($A87,6)), 'I1 - Universal Data'!$E$14:$V$14, 0)))</f>
        <v>-</v>
      </c>
      <c r="G87" s="721" t="str">
        <f>IF($A87&lt;DATE(2018,7,1),"-",INDEX('I1 - Universal Data'!$E$15:$V$15, MATCH(YEAR(EOMONTH($A87,6)), 'I1 - Universal Data'!$E$14:$V$14, 0)))</f>
        <v>-</v>
      </c>
      <c r="H87" s="721" t="str">
        <f>IF($A87&lt;DATE(2018,7,1),"-",INDEX('I1 - Universal Data'!$E$17:$V$17, MATCH(YEAR(EOMONTH($A87,6)), 'I1 - Universal Data'!$E$14:$V$14, 0)))</f>
        <v>-</v>
      </c>
      <c r="I87" s="722">
        <f t="shared" si="7"/>
        <v>80</v>
      </c>
      <c r="J87" s="722">
        <f t="shared" si="8"/>
        <v>193.4</v>
      </c>
      <c r="K87" s="722">
        <f t="shared" si="9"/>
        <v>78.5</v>
      </c>
      <c r="X87" s="710"/>
    </row>
    <row r="88" spans="1:24">
      <c r="A88" s="719">
        <f t="shared" si="6"/>
        <v>38776</v>
      </c>
      <c r="B88" s="720">
        <f t="shared" si="5"/>
        <v>2006</v>
      </c>
      <c r="C88" s="794">
        <v>80.2</v>
      </c>
      <c r="D88" s="794">
        <v>194.2</v>
      </c>
      <c r="E88" s="794">
        <v>78.8</v>
      </c>
      <c r="F88" s="721" t="str">
        <f>IF($A88&lt;DATE(2018,7,1),"-",INDEX('I1 - Universal Data'!$E$16:$V$16, MATCH(YEAR(EOMONTH($A88,6)), 'I1 - Universal Data'!$E$14:$V$14, 0)))</f>
        <v>-</v>
      </c>
      <c r="G88" s="721" t="str">
        <f>IF($A88&lt;DATE(2018,7,1),"-",INDEX('I1 - Universal Data'!$E$15:$V$15, MATCH(YEAR(EOMONTH($A88,6)), 'I1 - Universal Data'!$E$14:$V$14, 0)))</f>
        <v>-</v>
      </c>
      <c r="H88" s="721" t="str">
        <f>IF($A88&lt;DATE(2018,7,1),"-",INDEX('I1 - Universal Data'!$E$17:$V$17, MATCH(YEAR(EOMONTH($A88,6)), 'I1 - Universal Data'!$E$14:$V$14, 0)))</f>
        <v>-</v>
      </c>
      <c r="I88" s="722">
        <f t="shared" si="7"/>
        <v>80.2</v>
      </c>
      <c r="J88" s="722">
        <f t="shared" si="8"/>
        <v>194.2</v>
      </c>
      <c r="K88" s="722">
        <f t="shared" si="9"/>
        <v>78.8</v>
      </c>
      <c r="X88" s="710"/>
    </row>
    <row r="89" spans="1:24">
      <c r="A89" s="719">
        <f t="shared" si="6"/>
        <v>38807</v>
      </c>
      <c r="B89" s="720">
        <f t="shared" si="5"/>
        <v>2006</v>
      </c>
      <c r="C89" s="794">
        <v>80.400000000000006</v>
      </c>
      <c r="D89" s="794">
        <v>195</v>
      </c>
      <c r="E89" s="794">
        <v>78.900000000000006</v>
      </c>
      <c r="F89" s="721" t="str">
        <f>IF($A89&lt;DATE(2018,7,1),"-",INDEX('I1 - Universal Data'!$E$16:$V$16, MATCH(YEAR(EOMONTH($A89,6)), 'I1 - Universal Data'!$E$14:$V$14, 0)))</f>
        <v>-</v>
      </c>
      <c r="G89" s="721" t="str">
        <f>IF($A89&lt;DATE(2018,7,1),"-",INDEX('I1 - Universal Data'!$E$15:$V$15, MATCH(YEAR(EOMONTH($A89,6)), 'I1 - Universal Data'!$E$14:$V$14, 0)))</f>
        <v>-</v>
      </c>
      <c r="H89" s="721" t="str">
        <f>IF($A89&lt;DATE(2018,7,1),"-",INDEX('I1 - Universal Data'!$E$17:$V$17, MATCH(YEAR(EOMONTH($A89,6)), 'I1 - Universal Data'!$E$14:$V$14, 0)))</f>
        <v>-</v>
      </c>
      <c r="I89" s="722">
        <f t="shared" si="7"/>
        <v>80.400000000000006</v>
      </c>
      <c r="J89" s="722">
        <f t="shared" si="8"/>
        <v>195</v>
      </c>
      <c r="K89" s="722">
        <f t="shared" si="9"/>
        <v>78.900000000000006</v>
      </c>
      <c r="X89" s="710"/>
    </row>
    <row r="90" spans="1:24">
      <c r="A90" s="719">
        <f t="shared" si="6"/>
        <v>38837</v>
      </c>
      <c r="B90" s="720">
        <f t="shared" si="5"/>
        <v>2007</v>
      </c>
      <c r="C90" s="794">
        <v>80.900000000000006</v>
      </c>
      <c r="D90" s="794">
        <v>196.5</v>
      </c>
      <c r="E90" s="794">
        <v>79.400000000000006</v>
      </c>
      <c r="F90" s="721" t="str">
        <f>IF($A90&lt;DATE(2018,7,1),"-",INDEX('I1 - Universal Data'!$E$16:$V$16, MATCH(YEAR(EOMONTH($A90,6)), 'I1 - Universal Data'!$E$14:$V$14, 0)))</f>
        <v>-</v>
      </c>
      <c r="G90" s="721" t="str">
        <f>IF($A90&lt;DATE(2018,7,1),"-",INDEX('I1 - Universal Data'!$E$15:$V$15, MATCH(YEAR(EOMONTH($A90,6)), 'I1 - Universal Data'!$E$14:$V$14, 0)))</f>
        <v>-</v>
      </c>
      <c r="H90" s="721" t="str">
        <f>IF($A90&lt;DATE(2018,7,1),"-",INDEX('I1 - Universal Data'!$E$17:$V$17, MATCH(YEAR(EOMONTH($A90,6)), 'I1 - Universal Data'!$E$14:$V$14, 0)))</f>
        <v>-</v>
      </c>
      <c r="I90" s="722">
        <f t="shared" si="7"/>
        <v>80.900000000000006</v>
      </c>
      <c r="J90" s="722">
        <f t="shared" si="8"/>
        <v>196.5</v>
      </c>
      <c r="K90" s="722">
        <f t="shared" si="9"/>
        <v>79.400000000000006</v>
      </c>
      <c r="X90" s="710"/>
    </row>
    <row r="91" spans="1:24">
      <c r="A91" s="719">
        <f t="shared" si="6"/>
        <v>38868</v>
      </c>
      <c r="B91" s="720">
        <f t="shared" si="5"/>
        <v>2007</v>
      </c>
      <c r="C91" s="794">
        <v>81.3</v>
      </c>
      <c r="D91" s="794">
        <v>197.7</v>
      </c>
      <c r="E91" s="794">
        <v>79.900000000000006</v>
      </c>
      <c r="F91" s="721" t="str">
        <f>IF($A91&lt;DATE(2018,7,1),"-",INDEX('I1 - Universal Data'!$E$16:$V$16, MATCH(YEAR(EOMONTH($A91,6)), 'I1 - Universal Data'!$E$14:$V$14, 0)))</f>
        <v>-</v>
      </c>
      <c r="G91" s="721" t="str">
        <f>IF($A91&lt;DATE(2018,7,1),"-",INDEX('I1 - Universal Data'!$E$15:$V$15, MATCH(YEAR(EOMONTH($A91,6)), 'I1 - Universal Data'!$E$14:$V$14, 0)))</f>
        <v>-</v>
      </c>
      <c r="H91" s="721" t="str">
        <f>IF($A91&lt;DATE(2018,7,1),"-",INDEX('I1 - Universal Data'!$E$17:$V$17, MATCH(YEAR(EOMONTH($A91,6)), 'I1 - Universal Data'!$E$14:$V$14, 0)))</f>
        <v>-</v>
      </c>
      <c r="I91" s="722">
        <f t="shared" si="7"/>
        <v>81.3</v>
      </c>
      <c r="J91" s="722">
        <f t="shared" si="8"/>
        <v>197.7</v>
      </c>
      <c r="K91" s="722">
        <f t="shared" si="9"/>
        <v>79.900000000000006</v>
      </c>
      <c r="X91" s="710"/>
    </row>
    <row r="92" spans="1:24">
      <c r="A92" s="719">
        <f t="shared" si="6"/>
        <v>38898</v>
      </c>
      <c r="B92" s="720">
        <f t="shared" si="5"/>
        <v>2007</v>
      </c>
      <c r="C92" s="794">
        <v>81.5</v>
      </c>
      <c r="D92" s="794">
        <v>198.5</v>
      </c>
      <c r="E92" s="794">
        <v>80.099999999999994</v>
      </c>
      <c r="F92" s="721" t="str">
        <f>IF($A92&lt;DATE(2018,7,1),"-",INDEX('I1 - Universal Data'!$E$16:$V$16, MATCH(YEAR(EOMONTH($A92,6)), 'I1 - Universal Data'!$E$14:$V$14, 0)))</f>
        <v>-</v>
      </c>
      <c r="G92" s="721" t="str">
        <f>IF($A92&lt;DATE(2018,7,1),"-",INDEX('I1 - Universal Data'!$E$15:$V$15, MATCH(YEAR(EOMONTH($A92,6)), 'I1 - Universal Data'!$E$14:$V$14, 0)))</f>
        <v>-</v>
      </c>
      <c r="H92" s="721" t="str">
        <f>IF($A92&lt;DATE(2018,7,1),"-",INDEX('I1 - Universal Data'!$E$17:$V$17, MATCH(YEAR(EOMONTH($A92,6)), 'I1 - Universal Data'!$E$14:$V$14, 0)))</f>
        <v>-</v>
      </c>
      <c r="I92" s="722">
        <f t="shared" si="7"/>
        <v>81.5</v>
      </c>
      <c r="J92" s="722">
        <f t="shared" si="8"/>
        <v>198.5</v>
      </c>
      <c r="K92" s="722">
        <f t="shared" si="9"/>
        <v>80.099999999999994</v>
      </c>
      <c r="X92" s="710"/>
    </row>
    <row r="93" spans="1:24">
      <c r="A93" s="719">
        <f t="shared" si="6"/>
        <v>38929</v>
      </c>
      <c r="B93" s="720">
        <f t="shared" si="5"/>
        <v>2007</v>
      </c>
      <c r="C93" s="794">
        <v>81.5</v>
      </c>
      <c r="D93" s="794">
        <v>198.5</v>
      </c>
      <c r="E93" s="794">
        <v>80</v>
      </c>
      <c r="F93" s="721" t="str">
        <f>IF($A93&lt;DATE(2018,7,1),"-",INDEX('I1 - Universal Data'!$E$16:$V$16, MATCH(YEAR(EOMONTH($A93,6)), 'I1 - Universal Data'!$E$14:$V$14, 0)))</f>
        <v>-</v>
      </c>
      <c r="G93" s="721" t="str">
        <f>IF($A93&lt;DATE(2018,7,1),"-",INDEX('I1 - Universal Data'!$E$15:$V$15, MATCH(YEAR(EOMONTH($A93,6)), 'I1 - Universal Data'!$E$14:$V$14, 0)))</f>
        <v>-</v>
      </c>
      <c r="H93" s="721" t="str">
        <f>IF($A93&lt;DATE(2018,7,1),"-",INDEX('I1 - Universal Data'!$E$17:$V$17, MATCH(YEAR(EOMONTH($A93,6)), 'I1 - Universal Data'!$E$14:$V$14, 0)))</f>
        <v>-</v>
      </c>
      <c r="I93" s="722">
        <f t="shared" si="7"/>
        <v>81.5</v>
      </c>
      <c r="J93" s="722">
        <f t="shared" si="8"/>
        <v>198.5</v>
      </c>
      <c r="K93" s="722">
        <f t="shared" si="9"/>
        <v>80</v>
      </c>
      <c r="X93" s="710"/>
    </row>
    <row r="94" spans="1:24">
      <c r="A94" s="719">
        <f t="shared" si="6"/>
        <v>38960</v>
      </c>
      <c r="B94" s="720">
        <f t="shared" si="5"/>
        <v>2007</v>
      </c>
      <c r="C94" s="794">
        <v>81.8</v>
      </c>
      <c r="D94" s="794">
        <v>199.2</v>
      </c>
      <c r="E94" s="794">
        <v>80.400000000000006</v>
      </c>
      <c r="F94" s="721" t="str">
        <f>IF($A94&lt;DATE(2018,7,1),"-",INDEX('I1 - Universal Data'!$E$16:$V$16, MATCH(YEAR(EOMONTH($A94,6)), 'I1 - Universal Data'!$E$14:$V$14, 0)))</f>
        <v>-</v>
      </c>
      <c r="G94" s="721" t="str">
        <f>IF($A94&lt;DATE(2018,7,1),"-",INDEX('I1 - Universal Data'!$E$15:$V$15, MATCH(YEAR(EOMONTH($A94,6)), 'I1 - Universal Data'!$E$14:$V$14, 0)))</f>
        <v>-</v>
      </c>
      <c r="H94" s="721" t="str">
        <f>IF($A94&lt;DATE(2018,7,1),"-",INDEX('I1 - Universal Data'!$E$17:$V$17, MATCH(YEAR(EOMONTH($A94,6)), 'I1 - Universal Data'!$E$14:$V$14, 0)))</f>
        <v>-</v>
      </c>
      <c r="I94" s="722">
        <f t="shared" si="7"/>
        <v>81.8</v>
      </c>
      <c r="J94" s="722">
        <f t="shared" si="8"/>
        <v>199.2</v>
      </c>
      <c r="K94" s="722">
        <f t="shared" si="9"/>
        <v>80.400000000000006</v>
      </c>
      <c r="X94" s="710"/>
    </row>
    <row r="95" spans="1:24">
      <c r="A95" s="719">
        <f t="shared" si="6"/>
        <v>38990</v>
      </c>
      <c r="B95" s="720">
        <f t="shared" si="5"/>
        <v>2007</v>
      </c>
      <c r="C95" s="794">
        <v>81.900000000000006</v>
      </c>
      <c r="D95" s="794">
        <v>200.1</v>
      </c>
      <c r="E95" s="794">
        <v>80.5</v>
      </c>
      <c r="F95" s="721" t="str">
        <f>IF($A95&lt;DATE(2018,7,1),"-",INDEX('I1 - Universal Data'!$E$16:$V$16, MATCH(YEAR(EOMONTH($A95,6)), 'I1 - Universal Data'!$E$14:$V$14, 0)))</f>
        <v>-</v>
      </c>
      <c r="G95" s="721" t="str">
        <f>IF($A95&lt;DATE(2018,7,1),"-",INDEX('I1 - Universal Data'!$E$15:$V$15, MATCH(YEAR(EOMONTH($A95,6)), 'I1 - Universal Data'!$E$14:$V$14, 0)))</f>
        <v>-</v>
      </c>
      <c r="H95" s="721" t="str">
        <f>IF($A95&lt;DATE(2018,7,1),"-",INDEX('I1 - Universal Data'!$E$17:$V$17, MATCH(YEAR(EOMONTH($A95,6)), 'I1 - Universal Data'!$E$14:$V$14, 0)))</f>
        <v>-</v>
      </c>
      <c r="I95" s="722">
        <f t="shared" si="7"/>
        <v>81.900000000000006</v>
      </c>
      <c r="J95" s="722">
        <f t="shared" si="8"/>
        <v>200.1</v>
      </c>
      <c r="K95" s="722">
        <f t="shared" si="9"/>
        <v>80.5</v>
      </c>
      <c r="X95" s="710"/>
    </row>
    <row r="96" spans="1:24">
      <c r="A96" s="719">
        <f t="shared" si="6"/>
        <v>39021</v>
      </c>
      <c r="B96" s="720">
        <f t="shared" si="5"/>
        <v>2007</v>
      </c>
      <c r="C96" s="794">
        <v>82</v>
      </c>
      <c r="D96" s="794">
        <v>200.4</v>
      </c>
      <c r="E96" s="794">
        <v>80.599999999999994</v>
      </c>
      <c r="F96" s="721" t="str">
        <f>IF($A96&lt;DATE(2018,7,1),"-",INDEX('I1 - Universal Data'!$E$16:$V$16, MATCH(YEAR(EOMONTH($A96,6)), 'I1 - Universal Data'!$E$14:$V$14, 0)))</f>
        <v>-</v>
      </c>
      <c r="G96" s="721" t="str">
        <f>IF($A96&lt;DATE(2018,7,1),"-",INDEX('I1 - Universal Data'!$E$15:$V$15, MATCH(YEAR(EOMONTH($A96,6)), 'I1 - Universal Data'!$E$14:$V$14, 0)))</f>
        <v>-</v>
      </c>
      <c r="H96" s="721" t="str">
        <f>IF($A96&lt;DATE(2018,7,1),"-",INDEX('I1 - Universal Data'!$E$17:$V$17, MATCH(YEAR(EOMONTH($A96,6)), 'I1 - Universal Data'!$E$14:$V$14, 0)))</f>
        <v>-</v>
      </c>
      <c r="I96" s="722">
        <f t="shared" si="7"/>
        <v>82</v>
      </c>
      <c r="J96" s="722">
        <f t="shared" si="8"/>
        <v>200.4</v>
      </c>
      <c r="K96" s="722">
        <f t="shared" si="9"/>
        <v>80.599999999999994</v>
      </c>
      <c r="X96" s="710"/>
    </row>
    <row r="97" spans="1:24">
      <c r="A97" s="719">
        <f t="shared" si="6"/>
        <v>39051</v>
      </c>
      <c r="B97" s="720">
        <f t="shared" si="5"/>
        <v>2007</v>
      </c>
      <c r="C97" s="794">
        <v>82.2</v>
      </c>
      <c r="D97" s="794">
        <v>201.1</v>
      </c>
      <c r="E97" s="794">
        <v>80.8</v>
      </c>
      <c r="F97" s="721" t="str">
        <f>IF($A97&lt;DATE(2018,7,1),"-",INDEX('I1 - Universal Data'!$E$16:$V$16, MATCH(YEAR(EOMONTH($A97,6)), 'I1 - Universal Data'!$E$14:$V$14, 0)))</f>
        <v>-</v>
      </c>
      <c r="G97" s="721" t="str">
        <f>IF($A97&lt;DATE(2018,7,1),"-",INDEX('I1 - Universal Data'!$E$15:$V$15, MATCH(YEAR(EOMONTH($A97,6)), 'I1 - Universal Data'!$E$14:$V$14, 0)))</f>
        <v>-</v>
      </c>
      <c r="H97" s="721" t="str">
        <f>IF($A97&lt;DATE(2018,7,1),"-",INDEX('I1 - Universal Data'!$E$17:$V$17, MATCH(YEAR(EOMONTH($A97,6)), 'I1 - Universal Data'!$E$14:$V$14, 0)))</f>
        <v>-</v>
      </c>
      <c r="I97" s="722">
        <f t="shared" si="7"/>
        <v>82.2</v>
      </c>
      <c r="J97" s="722">
        <f t="shared" si="8"/>
        <v>201.1</v>
      </c>
      <c r="K97" s="722">
        <f t="shared" si="9"/>
        <v>80.8</v>
      </c>
      <c r="X97" s="710"/>
    </row>
    <row r="98" spans="1:24">
      <c r="A98" s="719">
        <f t="shared" si="6"/>
        <v>39082</v>
      </c>
      <c r="B98" s="720">
        <f t="shared" si="5"/>
        <v>2007</v>
      </c>
      <c r="C98" s="794">
        <v>82.6</v>
      </c>
      <c r="D98" s="794">
        <v>202.7</v>
      </c>
      <c r="E98" s="794">
        <v>81.3</v>
      </c>
      <c r="F98" s="721" t="str">
        <f>IF($A98&lt;DATE(2018,7,1),"-",INDEX('I1 - Universal Data'!$E$16:$V$16, MATCH(YEAR(EOMONTH($A98,6)), 'I1 - Universal Data'!$E$14:$V$14, 0)))</f>
        <v>-</v>
      </c>
      <c r="G98" s="721" t="str">
        <f>IF($A98&lt;DATE(2018,7,1),"-",INDEX('I1 - Universal Data'!$E$15:$V$15, MATCH(YEAR(EOMONTH($A98,6)), 'I1 - Universal Data'!$E$14:$V$14, 0)))</f>
        <v>-</v>
      </c>
      <c r="H98" s="721" t="str">
        <f>IF($A98&lt;DATE(2018,7,1),"-",INDEX('I1 - Universal Data'!$E$17:$V$17, MATCH(YEAR(EOMONTH($A98,6)), 'I1 - Universal Data'!$E$14:$V$14, 0)))</f>
        <v>-</v>
      </c>
      <c r="I98" s="722">
        <f t="shared" si="7"/>
        <v>82.6</v>
      </c>
      <c r="J98" s="722">
        <f t="shared" si="8"/>
        <v>202.7</v>
      </c>
      <c r="K98" s="722">
        <f t="shared" si="9"/>
        <v>81.3</v>
      </c>
      <c r="X98" s="710"/>
    </row>
    <row r="99" spans="1:24">
      <c r="A99" s="719">
        <f t="shared" si="6"/>
        <v>39113</v>
      </c>
      <c r="B99" s="720">
        <f t="shared" si="5"/>
        <v>2007</v>
      </c>
      <c r="C99" s="794">
        <v>82.1</v>
      </c>
      <c r="D99" s="794">
        <v>201.6</v>
      </c>
      <c r="E99" s="794">
        <v>80.599999999999994</v>
      </c>
      <c r="F99" s="721" t="str">
        <f>IF($A99&lt;DATE(2018,7,1),"-",INDEX('I1 - Universal Data'!$E$16:$V$16, MATCH(YEAR(EOMONTH($A99,6)), 'I1 - Universal Data'!$E$14:$V$14, 0)))</f>
        <v>-</v>
      </c>
      <c r="G99" s="721" t="str">
        <f>IF($A99&lt;DATE(2018,7,1),"-",INDEX('I1 - Universal Data'!$E$15:$V$15, MATCH(YEAR(EOMONTH($A99,6)), 'I1 - Universal Data'!$E$14:$V$14, 0)))</f>
        <v>-</v>
      </c>
      <c r="H99" s="721" t="str">
        <f>IF($A99&lt;DATE(2018,7,1),"-",INDEX('I1 - Universal Data'!$E$17:$V$17, MATCH(YEAR(EOMONTH($A99,6)), 'I1 - Universal Data'!$E$14:$V$14, 0)))</f>
        <v>-</v>
      </c>
      <c r="I99" s="722">
        <f t="shared" si="7"/>
        <v>82.1</v>
      </c>
      <c r="J99" s="722">
        <f t="shared" si="8"/>
        <v>201.6</v>
      </c>
      <c r="K99" s="722">
        <f t="shared" si="9"/>
        <v>80.599999999999994</v>
      </c>
      <c r="X99" s="710"/>
    </row>
    <row r="100" spans="1:24">
      <c r="A100" s="719">
        <f t="shared" si="6"/>
        <v>39141</v>
      </c>
      <c r="B100" s="720">
        <f t="shared" si="5"/>
        <v>2007</v>
      </c>
      <c r="C100" s="794">
        <v>82.4</v>
      </c>
      <c r="D100" s="794">
        <v>203.1</v>
      </c>
      <c r="E100" s="794">
        <v>81</v>
      </c>
      <c r="F100" s="721" t="str">
        <f>IF($A100&lt;DATE(2018,7,1),"-",INDEX('I1 - Universal Data'!$E$16:$V$16, MATCH(YEAR(EOMONTH($A100,6)), 'I1 - Universal Data'!$E$14:$V$14, 0)))</f>
        <v>-</v>
      </c>
      <c r="G100" s="721" t="str">
        <f>IF($A100&lt;DATE(2018,7,1),"-",INDEX('I1 - Universal Data'!$E$15:$V$15, MATCH(YEAR(EOMONTH($A100,6)), 'I1 - Universal Data'!$E$14:$V$14, 0)))</f>
        <v>-</v>
      </c>
      <c r="H100" s="721" t="str">
        <f>IF($A100&lt;DATE(2018,7,1),"-",INDEX('I1 - Universal Data'!$E$17:$V$17, MATCH(YEAR(EOMONTH($A100,6)), 'I1 - Universal Data'!$E$14:$V$14, 0)))</f>
        <v>-</v>
      </c>
      <c r="I100" s="722">
        <f t="shared" si="7"/>
        <v>82.4</v>
      </c>
      <c r="J100" s="722">
        <f t="shared" si="8"/>
        <v>203.1</v>
      </c>
      <c r="K100" s="722">
        <f t="shared" si="9"/>
        <v>81</v>
      </c>
      <c r="X100" s="710"/>
    </row>
    <row r="101" spans="1:24">
      <c r="A101" s="719">
        <f t="shared" si="6"/>
        <v>39172</v>
      </c>
      <c r="B101" s="720">
        <f t="shared" si="5"/>
        <v>2007</v>
      </c>
      <c r="C101" s="794">
        <v>82.8</v>
      </c>
      <c r="D101" s="794">
        <v>204.4</v>
      </c>
      <c r="E101" s="794">
        <v>81.400000000000006</v>
      </c>
      <c r="F101" s="721" t="str">
        <f>IF($A101&lt;DATE(2018,7,1),"-",INDEX('I1 - Universal Data'!$E$16:$V$16, MATCH(YEAR(EOMONTH($A101,6)), 'I1 - Universal Data'!$E$14:$V$14, 0)))</f>
        <v>-</v>
      </c>
      <c r="G101" s="721" t="str">
        <f>IF($A101&lt;DATE(2018,7,1),"-",INDEX('I1 - Universal Data'!$E$15:$V$15, MATCH(YEAR(EOMONTH($A101,6)), 'I1 - Universal Data'!$E$14:$V$14, 0)))</f>
        <v>-</v>
      </c>
      <c r="H101" s="721" t="str">
        <f>IF($A101&lt;DATE(2018,7,1),"-",INDEX('I1 - Universal Data'!$E$17:$V$17, MATCH(YEAR(EOMONTH($A101,6)), 'I1 - Universal Data'!$E$14:$V$14, 0)))</f>
        <v>-</v>
      </c>
      <c r="I101" s="722">
        <f t="shared" si="7"/>
        <v>82.8</v>
      </c>
      <c r="J101" s="722">
        <f t="shared" si="8"/>
        <v>204.4</v>
      </c>
      <c r="K101" s="722">
        <f t="shared" si="9"/>
        <v>81.400000000000006</v>
      </c>
      <c r="X101" s="710"/>
    </row>
    <row r="102" spans="1:24">
      <c r="A102" s="719">
        <f t="shared" si="6"/>
        <v>39202</v>
      </c>
      <c r="B102" s="720">
        <f t="shared" si="5"/>
        <v>2008</v>
      </c>
      <c r="C102" s="794">
        <v>83.1</v>
      </c>
      <c r="D102" s="794">
        <v>205.4</v>
      </c>
      <c r="E102" s="794">
        <v>81.599999999999994</v>
      </c>
      <c r="F102" s="721" t="str">
        <f>IF($A102&lt;DATE(2018,7,1),"-",INDEX('I1 - Universal Data'!$E$16:$V$16, MATCH(YEAR(EOMONTH($A102,6)), 'I1 - Universal Data'!$E$14:$V$14, 0)))</f>
        <v>-</v>
      </c>
      <c r="G102" s="721" t="str">
        <f>IF($A102&lt;DATE(2018,7,1),"-",INDEX('I1 - Universal Data'!$E$15:$V$15, MATCH(YEAR(EOMONTH($A102,6)), 'I1 - Universal Data'!$E$14:$V$14, 0)))</f>
        <v>-</v>
      </c>
      <c r="H102" s="721" t="str">
        <f>IF($A102&lt;DATE(2018,7,1),"-",INDEX('I1 - Universal Data'!$E$17:$V$17, MATCH(YEAR(EOMONTH($A102,6)), 'I1 - Universal Data'!$E$14:$V$14, 0)))</f>
        <v>-</v>
      </c>
      <c r="I102" s="722">
        <f t="shared" si="7"/>
        <v>83.1</v>
      </c>
      <c r="J102" s="722">
        <f t="shared" si="8"/>
        <v>205.4</v>
      </c>
      <c r="K102" s="722">
        <f t="shared" si="9"/>
        <v>81.599999999999994</v>
      </c>
      <c r="X102" s="710"/>
    </row>
    <row r="103" spans="1:24">
      <c r="A103" s="719">
        <f t="shared" si="6"/>
        <v>39233</v>
      </c>
      <c r="B103" s="720">
        <f t="shared" si="5"/>
        <v>2008</v>
      </c>
      <c r="C103" s="794">
        <v>83.3</v>
      </c>
      <c r="D103" s="794">
        <v>206.2</v>
      </c>
      <c r="E103" s="794">
        <v>81.8</v>
      </c>
      <c r="F103" s="721" t="str">
        <f>IF($A103&lt;DATE(2018,7,1),"-",INDEX('I1 - Universal Data'!$E$16:$V$16, MATCH(YEAR(EOMONTH($A103,6)), 'I1 - Universal Data'!$E$14:$V$14, 0)))</f>
        <v>-</v>
      </c>
      <c r="G103" s="721" t="str">
        <f>IF($A103&lt;DATE(2018,7,1),"-",INDEX('I1 - Universal Data'!$E$15:$V$15, MATCH(YEAR(EOMONTH($A103,6)), 'I1 - Universal Data'!$E$14:$V$14, 0)))</f>
        <v>-</v>
      </c>
      <c r="H103" s="721" t="str">
        <f>IF($A103&lt;DATE(2018,7,1),"-",INDEX('I1 - Universal Data'!$E$17:$V$17, MATCH(YEAR(EOMONTH($A103,6)), 'I1 - Universal Data'!$E$14:$V$14, 0)))</f>
        <v>-</v>
      </c>
      <c r="I103" s="722">
        <f t="shared" si="7"/>
        <v>83.3</v>
      </c>
      <c r="J103" s="722">
        <f t="shared" si="8"/>
        <v>206.2</v>
      </c>
      <c r="K103" s="722">
        <f t="shared" si="9"/>
        <v>81.8</v>
      </c>
      <c r="X103" s="710"/>
    </row>
    <row r="104" spans="1:24">
      <c r="A104" s="719">
        <f t="shared" si="6"/>
        <v>39263</v>
      </c>
      <c r="B104" s="720">
        <f t="shared" si="5"/>
        <v>2008</v>
      </c>
      <c r="C104" s="794">
        <v>83.5</v>
      </c>
      <c r="D104" s="794">
        <v>207.3</v>
      </c>
      <c r="E104" s="794">
        <v>82</v>
      </c>
      <c r="F104" s="721" t="str">
        <f>IF($A104&lt;DATE(2018,7,1),"-",INDEX('I1 - Universal Data'!$E$16:$V$16, MATCH(YEAR(EOMONTH($A104,6)), 'I1 - Universal Data'!$E$14:$V$14, 0)))</f>
        <v>-</v>
      </c>
      <c r="G104" s="721" t="str">
        <f>IF($A104&lt;DATE(2018,7,1),"-",INDEX('I1 - Universal Data'!$E$15:$V$15, MATCH(YEAR(EOMONTH($A104,6)), 'I1 - Universal Data'!$E$14:$V$14, 0)))</f>
        <v>-</v>
      </c>
      <c r="H104" s="721" t="str">
        <f>IF($A104&lt;DATE(2018,7,1),"-",INDEX('I1 - Universal Data'!$E$17:$V$17, MATCH(YEAR(EOMONTH($A104,6)), 'I1 - Universal Data'!$E$14:$V$14, 0)))</f>
        <v>-</v>
      </c>
      <c r="I104" s="722">
        <f t="shared" si="7"/>
        <v>83.5</v>
      </c>
      <c r="J104" s="722">
        <f t="shared" si="8"/>
        <v>207.3</v>
      </c>
      <c r="K104" s="722">
        <f t="shared" si="9"/>
        <v>82</v>
      </c>
      <c r="X104" s="710"/>
    </row>
    <row r="105" spans="1:24">
      <c r="A105" s="719">
        <f t="shared" si="6"/>
        <v>39294</v>
      </c>
      <c r="B105" s="720">
        <f t="shared" si="5"/>
        <v>2008</v>
      </c>
      <c r="C105" s="794">
        <v>83.1</v>
      </c>
      <c r="D105" s="794">
        <v>206.1</v>
      </c>
      <c r="E105" s="794">
        <v>81.5</v>
      </c>
      <c r="F105" s="721" t="str">
        <f>IF($A105&lt;DATE(2018,7,1),"-",INDEX('I1 - Universal Data'!$E$16:$V$16, MATCH(YEAR(EOMONTH($A105,6)), 'I1 - Universal Data'!$E$14:$V$14, 0)))</f>
        <v>-</v>
      </c>
      <c r="G105" s="721" t="str">
        <f>IF($A105&lt;DATE(2018,7,1),"-",INDEX('I1 - Universal Data'!$E$15:$V$15, MATCH(YEAR(EOMONTH($A105,6)), 'I1 - Universal Data'!$E$14:$V$14, 0)))</f>
        <v>-</v>
      </c>
      <c r="H105" s="721" t="str">
        <f>IF($A105&lt;DATE(2018,7,1),"-",INDEX('I1 - Universal Data'!$E$17:$V$17, MATCH(YEAR(EOMONTH($A105,6)), 'I1 - Universal Data'!$E$14:$V$14, 0)))</f>
        <v>-</v>
      </c>
      <c r="I105" s="722">
        <f t="shared" si="7"/>
        <v>83.1</v>
      </c>
      <c r="J105" s="722">
        <f t="shared" si="8"/>
        <v>206.1</v>
      </c>
      <c r="K105" s="722">
        <f t="shared" si="9"/>
        <v>81.5</v>
      </c>
      <c r="X105" s="710"/>
    </row>
    <row r="106" spans="1:24">
      <c r="A106" s="719">
        <f t="shared" si="6"/>
        <v>39325</v>
      </c>
      <c r="B106" s="720">
        <f t="shared" si="5"/>
        <v>2008</v>
      </c>
      <c r="C106" s="794">
        <v>83.4</v>
      </c>
      <c r="D106" s="794">
        <v>207.3</v>
      </c>
      <c r="E106" s="794">
        <v>81.8</v>
      </c>
      <c r="F106" s="721" t="str">
        <f>IF($A106&lt;DATE(2018,7,1),"-",INDEX('I1 - Universal Data'!$E$16:$V$16, MATCH(YEAR(EOMONTH($A106,6)), 'I1 - Universal Data'!$E$14:$V$14, 0)))</f>
        <v>-</v>
      </c>
      <c r="G106" s="721" t="str">
        <f>IF($A106&lt;DATE(2018,7,1),"-",INDEX('I1 - Universal Data'!$E$15:$V$15, MATCH(YEAR(EOMONTH($A106,6)), 'I1 - Universal Data'!$E$14:$V$14, 0)))</f>
        <v>-</v>
      </c>
      <c r="H106" s="721" t="str">
        <f>IF($A106&lt;DATE(2018,7,1),"-",INDEX('I1 - Universal Data'!$E$17:$V$17, MATCH(YEAR(EOMONTH($A106,6)), 'I1 - Universal Data'!$E$14:$V$14, 0)))</f>
        <v>-</v>
      </c>
      <c r="I106" s="722">
        <f t="shared" si="7"/>
        <v>83.4</v>
      </c>
      <c r="J106" s="722">
        <f t="shared" si="8"/>
        <v>207.3</v>
      </c>
      <c r="K106" s="722">
        <f t="shared" si="9"/>
        <v>81.8</v>
      </c>
      <c r="X106" s="710"/>
    </row>
    <row r="107" spans="1:24">
      <c r="A107" s="719">
        <f t="shared" si="6"/>
        <v>39355</v>
      </c>
      <c r="B107" s="720">
        <f t="shared" si="5"/>
        <v>2008</v>
      </c>
      <c r="C107" s="794">
        <v>83.5</v>
      </c>
      <c r="D107" s="794">
        <v>208</v>
      </c>
      <c r="E107" s="794">
        <v>81.900000000000006</v>
      </c>
      <c r="F107" s="721" t="str">
        <f>IF($A107&lt;DATE(2018,7,1),"-",INDEX('I1 - Universal Data'!$E$16:$V$16, MATCH(YEAR(EOMONTH($A107,6)), 'I1 - Universal Data'!$E$14:$V$14, 0)))</f>
        <v>-</v>
      </c>
      <c r="G107" s="721" t="str">
        <f>IF($A107&lt;DATE(2018,7,1),"-",INDEX('I1 - Universal Data'!$E$15:$V$15, MATCH(YEAR(EOMONTH($A107,6)), 'I1 - Universal Data'!$E$14:$V$14, 0)))</f>
        <v>-</v>
      </c>
      <c r="H107" s="721" t="str">
        <f>IF($A107&lt;DATE(2018,7,1),"-",INDEX('I1 - Universal Data'!$E$17:$V$17, MATCH(YEAR(EOMONTH($A107,6)), 'I1 - Universal Data'!$E$14:$V$14, 0)))</f>
        <v>-</v>
      </c>
      <c r="I107" s="722">
        <f t="shared" si="7"/>
        <v>83.5</v>
      </c>
      <c r="J107" s="722">
        <f t="shared" si="8"/>
        <v>208</v>
      </c>
      <c r="K107" s="722">
        <f t="shared" si="9"/>
        <v>81.900000000000006</v>
      </c>
      <c r="X107" s="710"/>
    </row>
    <row r="108" spans="1:24">
      <c r="A108" s="719">
        <f t="shared" si="6"/>
        <v>39386</v>
      </c>
      <c r="B108" s="720">
        <f t="shared" si="5"/>
        <v>2008</v>
      </c>
      <c r="C108" s="794">
        <v>83.8</v>
      </c>
      <c r="D108" s="794">
        <v>208.9</v>
      </c>
      <c r="E108" s="794">
        <v>82.3</v>
      </c>
      <c r="F108" s="721" t="str">
        <f>IF($A108&lt;DATE(2018,7,1),"-",INDEX('I1 - Universal Data'!$E$16:$V$16, MATCH(YEAR(EOMONTH($A108,6)), 'I1 - Universal Data'!$E$14:$V$14, 0)))</f>
        <v>-</v>
      </c>
      <c r="G108" s="721" t="str">
        <f>IF($A108&lt;DATE(2018,7,1),"-",INDEX('I1 - Universal Data'!$E$15:$V$15, MATCH(YEAR(EOMONTH($A108,6)), 'I1 - Universal Data'!$E$14:$V$14, 0)))</f>
        <v>-</v>
      </c>
      <c r="H108" s="721" t="str">
        <f>IF($A108&lt;DATE(2018,7,1),"-",INDEX('I1 - Universal Data'!$E$17:$V$17, MATCH(YEAR(EOMONTH($A108,6)), 'I1 - Universal Data'!$E$14:$V$14, 0)))</f>
        <v>-</v>
      </c>
      <c r="I108" s="722">
        <f t="shared" si="7"/>
        <v>83.8</v>
      </c>
      <c r="J108" s="722">
        <f t="shared" si="8"/>
        <v>208.9</v>
      </c>
      <c r="K108" s="722">
        <f t="shared" si="9"/>
        <v>82.3</v>
      </c>
      <c r="X108" s="710"/>
    </row>
    <row r="109" spans="1:24">
      <c r="A109" s="719">
        <f t="shared" si="6"/>
        <v>39416</v>
      </c>
      <c r="B109" s="720">
        <f t="shared" si="5"/>
        <v>2008</v>
      </c>
      <c r="C109" s="794">
        <v>84.1</v>
      </c>
      <c r="D109" s="794">
        <v>209.7</v>
      </c>
      <c r="E109" s="794">
        <v>82.5</v>
      </c>
      <c r="F109" s="721" t="str">
        <f>IF($A109&lt;DATE(2018,7,1),"-",INDEX('I1 - Universal Data'!$E$16:$V$16, MATCH(YEAR(EOMONTH($A109,6)), 'I1 - Universal Data'!$E$14:$V$14, 0)))</f>
        <v>-</v>
      </c>
      <c r="G109" s="721" t="str">
        <f>IF($A109&lt;DATE(2018,7,1),"-",INDEX('I1 - Universal Data'!$E$15:$V$15, MATCH(YEAR(EOMONTH($A109,6)), 'I1 - Universal Data'!$E$14:$V$14, 0)))</f>
        <v>-</v>
      </c>
      <c r="H109" s="721" t="str">
        <f>IF($A109&lt;DATE(2018,7,1),"-",INDEX('I1 - Universal Data'!$E$17:$V$17, MATCH(YEAR(EOMONTH($A109,6)), 'I1 - Universal Data'!$E$14:$V$14, 0)))</f>
        <v>-</v>
      </c>
      <c r="I109" s="722">
        <f t="shared" si="7"/>
        <v>84.1</v>
      </c>
      <c r="J109" s="722">
        <f t="shared" si="8"/>
        <v>209.7</v>
      </c>
      <c r="K109" s="722">
        <f t="shared" si="9"/>
        <v>82.5</v>
      </c>
      <c r="X109" s="710"/>
    </row>
    <row r="110" spans="1:24">
      <c r="A110" s="719">
        <f t="shared" si="6"/>
        <v>39447</v>
      </c>
      <c r="B110" s="720">
        <f t="shared" si="5"/>
        <v>2008</v>
      </c>
      <c r="C110" s="794">
        <v>84.5</v>
      </c>
      <c r="D110" s="794">
        <v>210.9</v>
      </c>
      <c r="E110" s="794">
        <v>83</v>
      </c>
      <c r="F110" s="721" t="str">
        <f>IF($A110&lt;DATE(2018,7,1),"-",INDEX('I1 - Universal Data'!$E$16:$V$16, MATCH(YEAR(EOMONTH($A110,6)), 'I1 - Universal Data'!$E$14:$V$14, 0)))</f>
        <v>-</v>
      </c>
      <c r="G110" s="721" t="str">
        <f>IF($A110&lt;DATE(2018,7,1),"-",INDEX('I1 - Universal Data'!$E$15:$V$15, MATCH(YEAR(EOMONTH($A110,6)), 'I1 - Universal Data'!$E$14:$V$14, 0)))</f>
        <v>-</v>
      </c>
      <c r="H110" s="721" t="str">
        <f>IF($A110&lt;DATE(2018,7,1),"-",INDEX('I1 - Universal Data'!$E$17:$V$17, MATCH(YEAR(EOMONTH($A110,6)), 'I1 - Universal Data'!$E$14:$V$14, 0)))</f>
        <v>-</v>
      </c>
      <c r="I110" s="722">
        <f t="shared" si="7"/>
        <v>84.5</v>
      </c>
      <c r="J110" s="722">
        <f t="shared" si="8"/>
        <v>210.9</v>
      </c>
      <c r="K110" s="722">
        <f t="shared" si="9"/>
        <v>83</v>
      </c>
      <c r="X110" s="710"/>
    </row>
    <row r="111" spans="1:24">
      <c r="A111" s="719">
        <f t="shared" si="6"/>
        <v>39478</v>
      </c>
      <c r="B111" s="720">
        <f t="shared" si="5"/>
        <v>2008</v>
      </c>
      <c r="C111" s="794">
        <v>84.1</v>
      </c>
      <c r="D111" s="794">
        <v>209.8</v>
      </c>
      <c r="E111" s="794">
        <v>82.4</v>
      </c>
      <c r="F111" s="721" t="str">
        <f>IF($A111&lt;DATE(2018,7,1),"-",INDEX('I1 - Universal Data'!$E$16:$V$16, MATCH(YEAR(EOMONTH($A111,6)), 'I1 - Universal Data'!$E$14:$V$14, 0)))</f>
        <v>-</v>
      </c>
      <c r="G111" s="721" t="str">
        <f>IF($A111&lt;DATE(2018,7,1),"-",INDEX('I1 - Universal Data'!$E$15:$V$15, MATCH(YEAR(EOMONTH($A111,6)), 'I1 - Universal Data'!$E$14:$V$14, 0)))</f>
        <v>-</v>
      </c>
      <c r="H111" s="721" t="str">
        <f>IF($A111&lt;DATE(2018,7,1),"-",INDEX('I1 - Universal Data'!$E$17:$V$17, MATCH(YEAR(EOMONTH($A111,6)), 'I1 - Universal Data'!$E$14:$V$14, 0)))</f>
        <v>-</v>
      </c>
      <c r="I111" s="722">
        <f t="shared" si="7"/>
        <v>84.1</v>
      </c>
      <c r="J111" s="722">
        <f t="shared" si="8"/>
        <v>209.8</v>
      </c>
      <c r="K111" s="722">
        <f t="shared" si="9"/>
        <v>82.4</v>
      </c>
      <c r="X111" s="710"/>
    </row>
    <row r="112" spans="1:24">
      <c r="A112" s="719">
        <f t="shared" si="6"/>
        <v>39507</v>
      </c>
      <c r="B112" s="720">
        <f t="shared" si="5"/>
        <v>2008</v>
      </c>
      <c r="C112" s="794">
        <v>84.6</v>
      </c>
      <c r="D112" s="794">
        <v>211.4</v>
      </c>
      <c r="E112" s="794">
        <v>83</v>
      </c>
      <c r="F112" s="721" t="str">
        <f>IF($A112&lt;DATE(2018,7,1),"-",INDEX('I1 - Universal Data'!$E$16:$V$16, MATCH(YEAR(EOMONTH($A112,6)), 'I1 - Universal Data'!$E$14:$V$14, 0)))</f>
        <v>-</v>
      </c>
      <c r="G112" s="721" t="str">
        <f>IF($A112&lt;DATE(2018,7,1),"-",INDEX('I1 - Universal Data'!$E$15:$V$15, MATCH(YEAR(EOMONTH($A112,6)), 'I1 - Universal Data'!$E$14:$V$14, 0)))</f>
        <v>-</v>
      </c>
      <c r="H112" s="721" t="str">
        <f>IF($A112&lt;DATE(2018,7,1),"-",INDEX('I1 - Universal Data'!$E$17:$V$17, MATCH(YEAR(EOMONTH($A112,6)), 'I1 - Universal Data'!$E$14:$V$14, 0)))</f>
        <v>-</v>
      </c>
      <c r="I112" s="722">
        <f t="shared" si="7"/>
        <v>84.6</v>
      </c>
      <c r="J112" s="722">
        <f t="shared" si="8"/>
        <v>211.4</v>
      </c>
      <c r="K112" s="722">
        <f t="shared" si="9"/>
        <v>83</v>
      </c>
      <c r="X112" s="710"/>
    </row>
    <row r="113" spans="1:24">
      <c r="A113" s="719">
        <f t="shared" si="6"/>
        <v>39538</v>
      </c>
      <c r="B113" s="720">
        <f t="shared" si="5"/>
        <v>2008</v>
      </c>
      <c r="C113" s="794">
        <v>84.9</v>
      </c>
      <c r="D113" s="794">
        <v>212.1</v>
      </c>
      <c r="E113" s="794">
        <v>83.4</v>
      </c>
      <c r="F113" s="721" t="str">
        <f>IF($A113&lt;DATE(2018,7,1),"-",INDEX('I1 - Universal Data'!$E$16:$V$16, MATCH(YEAR(EOMONTH($A113,6)), 'I1 - Universal Data'!$E$14:$V$14, 0)))</f>
        <v>-</v>
      </c>
      <c r="G113" s="721" t="str">
        <f>IF($A113&lt;DATE(2018,7,1),"-",INDEX('I1 - Universal Data'!$E$15:$V$15, MATCH(YEAR(EOMONTH($A113,6)), 'I1 - Universal Data'!$E$14:$V$14, 0)))</f>
        <v>-</v>
      </c>
      <c r="H113" s="721" t="str">
        <f>IF($A113&lt;DATE(2018,7,1),"-",INDEX('I1 - Universal Data'!$E$17:$V$17, MATCH(YEAR(EOMONTH($A113,6)), 'I1 - Universal Data'!$E$14:$V$14, 0)))</f>
        <v>-</v>
      </c>
      <c r="I113" s="722">
        <f t="shared" si="7"/>
        <v>84.9</v>
      </c>
      <c r="J113" s="722">
        <f t="shared" si="8"/>
        <v>212.1</v>
      </c>
      <c r="K113" s="722">
        <f t="shared" si="9"/>
        <v>83.4</v>
      </c>
      <c r="X113" s="710"/>
    </row>
    <row r="114" spans="1:24">
      <c r="A114" s="719">
        <f t="shared" si="6"/>
        <v>39568</v>
      </c>
      <c r="B114" s="720">
        <f t="shared" si="5"/>
        <v>2009</v>
      </c>
      <c r="C114" s="794">
        <v>85.6</v>
      </c>
      <c r="D114" s="794">
        <v>214</v>
      </c>
      <c r="E114" s="794">
        <v>84</v>
      </c>
      <c r="F114" s="721" t="str">
        <f>IF($A114&lt;DATE(2018,7,1),"-",INDEX('I1 - Universal Data'!$E$16:$V$16, MATCH(YEAR(EOMONTH($A114,6)), 'I1 - Universal Data'!$E$14:$V$14, 0)))</f>
        <v>-</v>
      </c>
      <c r="G114" s="721" t="str">
        <f>IF($A114&lt;DATE(2018,7,1),"-",INDEX('I1 - Universal Data'!$E$15:$V$15, MATCH(YEAR(EOMONTH($A114,6)), 'I1 - Universal Data'!$E$14:$V$14, 0)))</f>
        <v>-</v>
      </c>
      <c r="H114" s="721" t="str">
        <f>IF($A114&lt;DATE(2018,7,1),"-",INDEX('I1 - Universal Data'!$E$17:$V$17, MATCH(YEAR(EOMONTH($A114,6)), 'I1 - Universal Data'!$E$14:$V$14, 0)))</f>
        <v>-</v>
      </c>
      <c r="I114" s="722">
        <f t="shared" si="7"/>
        <v>85.6</v>
      </c>
      <c r="J114" s="722">
        <f t="shared" si="8"/>
        <v>214</v>
      </c>
      <c r="K114" s="722">
        <f t="shared" si="9"/>
        <v>84</v>
      </c>
      <c r="X114" s="710"/>
    </row>
    <row r="115" spans="1:24">
      <c r="A115" s="719">
        <f t="shared" si="6"/>
        <v>39599</v>
      </c>
      <c r="B115" s="720">
        <f t="shared" si="5"/>
        <v>2009</v>
      </c>
      <c r="C115" s="794">
        <v>86.1</v>
      </c>
      <c r="D115" s="794">
        <v>215.1</v>
      </c>
      <c r="E115" s="794">
        <v>84.6</v>
      </c>
      <c r="F115" s="721" t="str">
        <f>IF($A115&lt;DATE(2018,7,1),"-",INDEX('I1 - Universal Data'!$E$16:$V$16, MATCH(YEAR(EOMONTH($A115,6)), 'I1 - Universal Data'!$E$14:$V$14, 0)))</f>
        <v>-</v>
      </c>
      <c r="G115" s="721" t="str">
        <f>IF($A115&lt;DATE(2018,7,1),"-",INDEX('I1 - Universal Data'!$E$15:$V$15, MATCH(YEAR(EOMONTH($A115,6)), 'I1 - Universal Data'!$E$14:$V$14, 0)))</f>
        <v>-</v>
      </c>
      <c r="H115" s="721" t="str">
        <f>IF($A115&lt;DATE(2018,7,1),"-",INDEX('I1 - Universal Data'!$E$17:$V$17, MATCH(YEAR(EOMONTH($A115,6)), 'I1 - Universal Data'!$E$14:$V$14, 0)))</f>
        <v>-</v>
      </c>
      <c r="I115" s="722">
        <f t="shared" si="7"/>
        <v>86.1</v>
      </c>
      <c r="J115" s="722">
        <f t="shared" si="8"/>
        <v>215.1</v>
      </c>
      <c r="K115" s="722">
        <f t="shared" si="9"/>
        <v>84.6</v>
      </c>
      <c r="X115" s="710"/>
    </row>
    <row r="116" spans="1:24">
      <c r="A116" s="719">
        <f t="shared" si="6"/>
        <v>39629</v>
      </c>
      <c r="B116" s="720">
        <f t="shared" si="5"/>
        <v>2009</v>
      </c>
      <c r="C116" s="794">
        <v>86.6</v>
      </c>
      <c r="D116" s="794">
        <v>216.8</v>
      </c>
      <c r="E116" s="794">
        <v>85.2</v>
      </c>
      <c r="F116" s="721" t="str">
        <f>IF($A116&lt;DATE(2018,7,1),"-",INDEX('I1 - Universal Data'!$E$16:$V$16, MATCH(YEAR(EOMONTH($A116,6)), 'I1 - Universal Data'!$E$14:$V$14, 0)))</f>
        <v>-</v>
      </c>
      <c r="G116" s="721" t="str">
        <f>IF($A116&lt;DATE(2018,7,1),"-",INDEX('I1 - Universal Data'!$E$15:$V$15, MATCH(YEAR(EOMONTH($A116,6)), 'I1 - Universal Data'!$E$14:$V$14, 0)))</f>
        <v>-</v>
      </c>
      <c r="H116" s="721" t="str">
        <f>IF($A116&lt;DATE(2018,7,1),"-",INDEX('I1 - Universal Data'!$E$17:$V$17, MATCH(YEAR(EOMONTH($A116,6)), 'I1 - Universal Data'!$E$14:$V$14, 0)))</f>
        <v>-</v>
      </c>
      <c r="I116" s="722">
        <f t="shared" si="7"/>
        <v>86.6</v>
      </c>
      <c r="J116" s="722">
        <f t="shared" si="8"/>
        <v>216.8</v>
      </c>
      <c r="K116" s="722">
        <f t="shared" si="9"/>
        <v>85.2</v>
      </c>
      <c r="X116" s="710"/>
    </row>
    <row r="117" spans="1:24">
      <c r="A117" s="719">
        <f t="shared" si="6"/>
        <v>39660</v>
      </c>
      <c r="B117" s="720">
        <f t="shared" si="5"/>
        <v>2009</v>
      </c>
      <c r="C117" s="794">
        <v>86.6</v>
      </c>
      <c r="D117" s="794">
        <v>216.5</v>
      </c>
      <c r="E117" s="794">
        <v>85.1</v>
      </c>
      <c r="F117" s="721" t="str">
        <f>IF($A117&lt;DATE(2018,7,1),"-",INDEX('I1 - Universal Data'!$E$16:$V$16, MATCH(YEAR(EOMONTH($A117,6)), 'I1 - Universal Data'!$E$14:$V$14, 0)))</f>
        <v>-</v>
      </c>
      <c r="G117" s="721" t="str">
        <f>IF($A117&lt;DATE(2018,7,1),"-",INDEX('I1 - Universal Data'!$E$15:$V$15, MATCH(YEAR(EOMONTH($A117,6)), 'I1 - Universal Data'!$E$14:$V$14, 0)))</f>
        <v>-</v>
      </c>
      <c r="H117" s="721" t="str">
        <f>IF($A117&lt;DATE(2018,7,1),"-",INDEX('I1 - Universal Data'!$E$17:$V$17, MATCH(YEAR(EOMONTH($A117,6)), 'I1 - Universal Data'!$E$14:$V$14, 0)))</f>
        <v>-</v>
      </c>
      <c r="I117" s="722">
        <f t="shared" si="7"/>
        <v>86.6</v>
      </c>
      <c r="J117" s="722">
        <f t="shared" si="8"/>
        <v>216.5</v>
      </c>
      <c r="K117" s="722">
        <f t="shared" si="9"/>
        <v>85.1</v>
      </c>
      <c r="X117" s="710"/>
    </row>
    <row r="118" spans="1:24">
      <c r="A118" s="719">
        <f t="shared" si="6"/>
        <v>39691</v>
      </c>
      <c r="B118" s="720">
        <f t="shared" si="5"/>
        <v>2009</v>
      </c>
      <c r="C118" s="794">
        <v>87.1</v>
      </c>
      <c r="D118" s="794">
        <v>217.2</v>
      </c>
      <c r="E118" s="794">
        <v>85.7</v>
      </c>
      <c r="F118" s="721" t="str">
        <f>IF($A118&lt;DATE(2018,7,1),"-",INDEX('I1 - Universal Data'!$E$16:$V$16, MATCH(YEAR(EOMONTH($A118,6)), 'I1 - Universal Data'!$E$14:$V$14, 0)))</f>
        <v>-</v>
      </c>
      <c r="G118" s="721" t="str">
        <f>IF($A118&lt;DATE(2018,7,1),"-",INDEX('I1 - Universal Data'!$E$15:$V$15, MATCH(YEAR(EOMONTH($A118,6)), 'I1 - Universal Data'!$E$14:$V$14, 0)))</f>
        <v>-</v>
      </c>
      <c r="H118" s="721" t="str">
        <f>IF($A118&lt;DATE(2018,7,1),"-",INDEX('I1 - Universal Data'!$E$17:$V$17, MATCH(YEAR(EOMONTH($A118,6)), 'I1 - Universal Data'!$E$14:$V$14, 0)))</f>
        <v>-</v>
      </c>
      <c r="I118" s="722">
        <f t="shared" si="7"/>
        <v>87.1</v>
      </c>
      <c r="J118" s="722">
        <f t="shared" si="8"/>
        <v>217.2</v>
      </c>
      <c r="K118" s="722">
        <f t="shared" si="9"/>
        <v>85.7</v>
      </c>
      <c r="X118" s="710"/>
    </row>
    <row r="119" spans="1:24">
      <c r="A119" s="719">
        <f t="shared" si="6"/>
        <v>39721</v>
      </c>
      <c r="B119" s="720">
        <f t="shared" si="5"/>
        <v>2009</v>
      </c>
      <c r="C119" s="794">
        <v>87.5</v>
      </c>
      <c r="D119" s="794">
        <v>218.4</v>
      </c>
      <c r="E119" s="794">
        <v>86.1</v>
      </c>
      <c r="F119" s="721" t="str">
        <f>IF($A119&lt;DATE(2018,7,1),"-",INDEX('I1 - Universal Data'!$E$16:$V$16, MATCH(YEAR(EOMONTH($A119,6)), 'I1 - Universal Data'!$E$14:$V$14, 0)))</f>
        <v>-</v>
      </c>
      <c r="G119" s="721" t="str">
        <f>IF($A119&lt;DATE(2018,7,1),"-",INDEX('I1 - Universal Data'!$E$15:$V$15, MATCH(YEAR(EOMONTH($A119,6)), 'I1 - Universal Data'!$E$14:$V$14, 0)))</f>
        <v>-</v>
      </c>
      <c r="H119" s="721" t="str">
        <f>IF($A119&lt;DATE(2018,7,1),"-",INDEX('I1 - Universal Data'!$E$17:$V$17, MATCH(YEAR(EOMONTH($A119,6)), 'I1 - Universal Data'!$E$14:$V$14, 0)))</f>
        <v>-</v>
      </c>
      <c r="I119" s="722">
        <f t="shared" si="7"/>
        <v>87.5</v>
      </c>
      <c r="J119" s="722">
        <f t="shared" si="8"/>
        <v>218.4</v>
      </c>
      <c r="K119" s="722">
        <f t="shared" si="9"/>
        <v>86.1</v>
      </c>
      <c r="X119" s="710"/>
    </row>
    <row r="120" spans="1:24">
      <c r="A120" s="719">
        <f t="shared" si="6"/>
        <v>39752</v>
      </c>
      <c r="B120" s="720">
        <f t="shared" si="5"/>
        <v>2009</v>
      </c>
      <c r="C120" s="794">
        <v>87.3</v>
      </c>
      <c r="D120" s="794">
        <v>217.7</v>
      </c>
      <c r="E120" s="794">
        <v>85.9</v>
      </c>
      <c r="F120" s="721" t="str">
        <f>IF($A120&lt;DATE(2018,7,1),"-",INDEX('I1 - Universal Data'!$E$16:$V$16, MATCH(YEAR(EOMONTH($A120,6)), 'I1 - Universal Data'!$E$14:$V$14, 0)))</f>
        <v>-</v>
      </c>
      <c r="G120" s="721" t="str">
        <f>IF($A120&lt;DATE(2018,7,1),"-",INDEX('I1 - Universal Data'!$E$15:$V$15, MATCH(YEAR(EOMONTH($A120,6)), 'I1 - Universal Data'!$E$14:$V$14, 0)))</f>
        <v>-</v>
      </c>
      <c r="H120" s="721" t="str">
        <f>IF($A120&lt;DATE(2018,7,1),"-",INDEX('I1 - Universal Data'!$E$17:$V$17, MATCH(YEAR(EOMONTH($A120,6)), 'I1 - Universal Data'!$E$14:$V$14, 0)))</f>
        <v>-</v>
      </c>
      <c r="I120" s="722">
        <f t="shared" si="7"/>
        <v>87.3</v>
      </c>
      <c r="J120" s="722">
        <f t="shared" si="8"/>
        <v>217.7</v>
      </c>
      <c r="K120" s="722">
        <f t="shared" si="9"/>
        <v>85.9</v>
      </c>
      <c r="X120" s="710"/>
    </row>
    <row r="121" spans="1:24">
      <c r="A121" s="719">
        <f t="shared" si="6"/>
        <v>39782</v>
      </c>
      <c r="B121" s="720">
        <f t="shared" si="5"/>
        <v>2009</v>
      </c>
      <c r="C121" s="794">
        <v>87.3</v>
      </c>
      <c r="D121" s="794">
        <v>216</v>
      </c>
      <c r="E121" s="794">
        <v>85.8</v>
      </c>
      <c r="F121" s="721" t="str">
        <f>IF($A121&lt;DATE(2018,7,1),"-",INDEX('I1 - Universal Data'!$E$16:$V$16, MATCH(YEAR(EOMONTH($A121,6)), 'I1 - Universal Data'!$E$14:$V$14, 0)))</f>
        <v>-</v>
      </c>
      <c r="G121" s="721" t="str">
        <f>IF($A121&lt;DATE(2018,7,1),"-",INDEX('I1 - Universal Data'!$E$15:$V$15, MATCH(YEAR(EOMONTH($A121,6)), 'I1 - Universal Data'!$E$14:$V$14, 0)))</f>
        <v>-</v>
      </c>
      <c r="H121" s="721" t="str">
        <f>IF($A121&lt;DATE(2018,7,1),"-",INDEX('I1 - Universal Data'!$E$17:$V$17, MATCH(YEAR(EOMONTH($A121,6)), 'I1 - Universal Data'!$E$14:$V$14, 0)))</f>
        <v>-</v>
      </c>
      <c r="I121" s="722">
        <f t="shared" si="7"/>
        <v>87.3</v>
      </c>
      <c r="J121" s="722">
        <f t="shared" si="8"/>
        <v>216</v>
      </c>
      <c r="K121" s="722">
        <f t="shared" si="9"/>
        <v>85.8</v>
      </c>
      <c r="X121" s="710"/>
    </row>
    <row r="122" spans="1:24">
      <c r="A122" s="719">
        <f t="shared" si="6"/>
        <v>39813</v>
      </c>
      <c r="B122" s="720">
        <f t="shared" si="5"/>
        <v>2009</v>
      </c>
      <c r="C122" s="794">
        <v>87.1</v>
      </c>
      <c r="D122" s="794">
        <v>212.9</v>
      </c>
      <c r="E122" s="794">
        <v>85.5</v>
      </c>
      <c r="F122" s="721" t="str">
        <f>IF($A122&lt;DATE(2018,7,1),"-",INDEX('I1 - Universal Data'!$E$16:$V$16, MATCH(YEAR(EOMONTH($A122,6)), 'I1 - Universal Data'!$E$14:$V$14, 0)))</f>
        <v>-</v>
      </c>
      <c r="G122" s="721" t="str">
        <f>IF($A122&lt;DATE(2018,7,1),"-",INDEX('I1 - Universal Data'!$E$15:$V$15, MATCH(YEAR(EOMONTH($A122,6)), 'I1 - Universal Data'!$E$14:$V$14, 0)))</f>
        <v>-</v>
      </c>
      <c r="H122" s="721" t="str">
        <f>IF($A122&lt;DATE(2018,7,1),"-",INDEX('I1 - Universal Data'!$E$17:$V$17, MATCH(YEAR(EOMONTH($A122,6)), 'I1 - Universal Data'!$E$14:$V$14, 0)))</f>
        <v>-</v>
      </c>
      <c r="I122" s="722">
        <f t="shared" si="7"/>
        <v>87.1</v>
      </c>
      <c r="J122" s="722">
        <f t="shared" si="8"/>
        <v>212.9</v>
      </c>
      <c r="K122" s="722">
        <f t="shared" si="9"/>
        <v>85.5</v>
      </c>
      <c r="X122" s="710"/>
    </row>
    <row r="123" spans="1:24">
      <c r="A123" s="719">
        <f t="shared" si="6"/>
        <v>39844</v>
      </c>
      <c r="B123" s="720">
        <f t="shared" si="5"/>
        <v>2009</v>
      </c>
      <c r="C123" s="794">
        <v>86.6</v>
      </c>
      <c r="D123" s="794">
        <v>210.1</v>
      </c>
      <c r="E123" s="794">
        <v>84.9</v>
      </c>
      <c r="F123" s="721" t="str">
        <f>IF($A123&lt;DATE(2018,7,1),"-",INDEX('I1 - Universal Data'!$E$16:$V$16, MATCH(YEAR(EOMONTH($A123,6)), 'I1 - Universal Data'!$E$14:$V$14, 0)))</f>
        <v>-</v>
      </c>
      <c r="G123" s="721" t="str">
        <f>IF($A123&lt;DATE(2018,7,1),"-",INDEX('I1 - Universal Data'!$E$15:$V$15, MATCH(YEAR(EOMONTH($A123,6)), 'I1 - Universal Data'!$E$14:$V$14, 0)))</f>
        <v>-</v>
      </c>
      <c r="H123" s="721" t="str">
        <f>IF($A123&lt;DATE(2018,7,1),"-",INDEX('I1 - Universal Data'!$E$17:$V$17, MATCH(YEAR(EOMONTH($A123,6)), 'I1 - Universal Data'!$E$14:$V$14, 0)))</f>
        <v>-</v>
      </c>
      <c r="I123" s="722">
        <f t="shared" si="7"/>
        <v>86.6</v>
      </c>
      <c r="J123" s="722">
        <f t="shared" si="8"/>
        <v>210.1</v>
      </c>
      <c r="K123" s="722">
        <f t="shared" si="9"/>
        <v>84.9</v>
      </c>
      <c r="X123" s="710"/>
    </row>
    <row r="124" spans="1:24">
      <c r="A124" s="719">
        <f t="shared" si="6"/>
        <v>39872</v>
      </c>
      <c r="B124" s="720">
        <f t="shared" si="5"/>
        <v>2009</v>
      </c>
      <c r="C124" s="794">
        <v>87.2</v>
      </c>
      <c r="D124" s="794">
        <v>211.4</v>
      </c>
      <c r="E124" s="794">
        <v>85.6</v>
      </c>
      <c r="F124" s="721" t="str">
        <f>IF($A124&lt;DATE(2018,7,1),"-",INDEX('I1 - Universal Data'!$E$16:$V$16, MATCH(YEAR(EOMONTH($A124,6)), 'I1 - Universal Data'!$E$14:$V$14, 0)))</f>
        <v>-</v>
      </c>
      <c r="G124" s="721" t="str">
        <f>IF($A124&lt;DATE(2018,7,1),"-",INDEX('I1 - Universal Data'!$E$15:$V$15, MATCH(YEAR(EOMONTH($A124,6)), 'I1 - Universal Data'!$E$14:$V$14, 0)))</f>
        <v>-</v>
      </c>
      <c r="H124" s="721" t="str">
        <f>IF($A124&lt;DATE(2018,7,1),"-",INDEX('I1 - Universal Data'!$E$17:$V$17, MATCH(YEAR(EOMONTH($A124,6)), 'I1 - Universal Data'!$E$14:$V$14, 0)))</f>
        <v>-</v>
      </c>
      <c r="I124" s="722">
        <f t="shared" si="7"/>
        <v>87.2</v>
      </c>
      <c r="J124" s="722">
        <f t="shared" si="8"/>
        <v>211.4</v>
      </c>
      <c r="K124" s="722">
        <f t="shared" si="9"/>
        <v>85.6</v>
      </c>
      <c r="X124" s="710"/>
    </row>
    <row r="125" spans="1:24">
      <c r="A125" s="719">
        <f t="shared" si="6"/>
        <v>39903</v>
      </c>
      <c r="B125" s="720">
        <f t="shared" si="5"/>
        <v>2009</v>
      </c>
      <c r="C125" s="794">
        <v>87.3</v>
      </c>
      <c r="D125" s="794">
        <v>211.3</v>
      </c>
      <c r="E125" s="794">
        <v>85.8</v>
      </c>
      <c r="F125" s="721" t="str">
        <f>IF($A125&lt;DATE(2018,7,1),"-",INDEX('I1 - Universal Data'!$E$16:$V$16, MATCH(YEAR(EOMONTH($A125,6)), 'I1 - Universal Data'!$E$14:$V$14, 0)))</f>
        <v>-</v>
      </c>
      <c r="G125" s="721" t="str">
        <f>IF($A125&lt;DATE(2018,7,1),"-",INDEX('I1 - Universal Data'!$E$15:$V$15, MATCH(YEAR(EOMONTH($A125,6)), 'I1 - Universal Data'!$E$14:$V$14, 0)))</f>
        <v>-</v>
      </c>
      <c r="H125" s="721" t="str">
        <f>IF($A125&lt;DATE(2018,7,1),"-",INDEX('I1 - Universal Data'!$E$17:$V$17, MATCH(YEAR(EOMONTH($A125,6)), 'I1 - Universal Data'!$E$14:$V$14, 0)))</f>
        <v>-</v>
      </c>
      <c r="I125" s="722">
        <f t="shared" si="7"/>
        <v>87.3</v>
      </c>
      <c r="J125" s="722">
        <f t="shared" si="8"/>
        <v>211.3</v>
      </c>
      <c r="K125" s="722">
        <f t="shared" si="9"/>
        <v>85.8</v>
      </c>
      <c r="X125" s="710"/>
    </row>
    <row r="126" spans="1:24">
      <c r="A126" s="719">
        <f t="shared" si="6"/>
        <v>39933</v>
      </c>
      <c r="B126" s="720">
        <f t="shared" si="5"/>
        <v>2010</v>
      </c>
      <c r="C126" s="794">
        <v>87.5</v>
      </c>
      <c r="D126" s="794">
        <v>211.5</v>
      </c>
      <c r="E126" s="794">
        <v>86</v>
      </c>
      <c r="F126" s="721" t="str">
        <f>IF($A126&lt;DATE(2018,7,1),"-",INDEX('I1 - Universal Data'!$E$16:$V$16, MATCH(YEAR(EOMONTH($A126,6)), 'I1 - Universal Data'!$E$14:$V$14, 0)))</f>
        <v>-</v>
      </c>
      <c r="G126" s="721" t="str">
        <f>IF($A126&lt;DATE(2018,7,1),"-",INDEX('I1 - Universal Data'!$E$15:$V$15, MATCH(YEAR(EOMONTH($A126,6)), 'I1 - Universal Data'!$E$14:$V$14, 0)))</f>
        <v>-</v>
      </c>
      <c r="H126" s="721" t="str">
        <f>IF($A126&lt;DATE(2018,7,1),"-",INDEX('I1 - Universal Data'!$E$17:$V$17, MATCH(YEAR(EOMONTH($A126,6)), 'I1 - Universal Data'!$E$14:$V$14, 0)))</f>
        <v>-</v>
      </c>
      <c r="I126" s="722">
        <f t="shared" si="7"/>
        <v>87.5</v>
      </c>
      <c r="J126" s="722">
        <f t="shared" si="8"/>
        <v>211.5</v>
      </c>
      <c r="K126" s="722">
        <f t="shared" si="9"/>
        <v>86</v>
      </c>
      <c r="X126" s="710"/>
    </row>
    <row r="127" spans="1:24">
      <c r="A127" s="719">
        <f t="shared" si="6"/>
        <v>39964</v>
      </c>
      <c r="B127" s="720">
        <f t="shared" si="5"/>
        <v>2010</v>
      </c>
      <c r="C127" s="794">
        <v>87.9</v>
      </c>
      <c r="D127" s="794">
        <v>212.8</v>
      </c>
      <c r="E127" s="794">
        <v>86.4</v>
      </c>
      <c r="F127" s="721" t="str">
        <f>IF($A127&lt;DATE(2018,7,1),"-",INDEX('I1 - Universal Data'!$E$16:$V$16, MATCH(YEAR(EOMONTH($A127,6)), 'I1 - Universal Data'!$E$14:$V$14, 0)))</f>
        <v>-</v>
      </c>
      <c r="G127" s="721" t="str">
        <f>IF($A127&lt;DATE(2018,7,1),"-",INDEX('I1 - Universal Data'!$E$15:$V$15, MATCH(YEAR(EOMONTH($A127,6)), 'I1 - Universal Data'!$E$14:$V$14, 0)))</f>
        <v>-</v>
      </c>
      <c r="H127" s="721" t="str">
        <f>IF($A127&lt;DATE(2018,7,1),"-",INDEX('I1 - Universal Data'!$E$17:$V$17, MATCH(YEAR(EOMONTH($A127,6)), 'I1 - Universal Data'!$E$14:$V$14, 0)))</f>
        <v>-</v>
      </c>
      <c r="I127" s="722">
        <f t="shared" si="7"/>
        <v>87.9</v>
      </c>
      <c r="J127" s="722">
        <f t="shared" si="8"/>
        <v>212.8</v>
      </c>
      <c r="K127" s="722">
        <f t="shared" si="9"/>
        <v>86.4</v>
      </c>
      <c r="X127" s="710"/>
    </row>
    <row r="128" spans="1:24">
      <c r="A128" s="719">
        <f t="shared" si="6"/>
        <v>39994</v>
      </c>
      <c r="B128" s="720">
        <f t="shared" si="5"/>
        <v>2010</v>
      </c>
      <c r="C128" s="794">
        <v>88.1</v>
      </c>
      <c r="D128" s="794">
        <v>213.4</v>
      </c>
      <c r="E128" s="794">
        <v>86.7</v>
      </c>
      <c r="F128" s="721" t="str">
        <f>IF($A128&lt;DATE(2018,7,1),"-",INDEX('I1 - Universal Data'!$E$16:$V$16, MATCH(YEAR(EOMONTH($A128,6)), 'I1 - Universal Data'!$E$14:$V$14, 0)))</f>
        <v>-</v>
      </c>
      <c r="G128" s="721" t="str">
        <f>IF($A128&lt;DATE(2018,7,1),"-",INDEX('I1 - Universal Data'!$E$15:$V$15, MATCH(YEAR(EOMONTH($A128,6)), 'I1 - Universal Data'!$E$14:$V$14, 0)))</f>
        <v>-</v>
      </c>
      <c r="H128" s="721" t="str">
        <f>IF($A128&lt;DATE(2018,7,1),"-",INDEX('I1 - Universal Data'!$E$17:$V$17, MATCH(YEAR(EOMONTH($A128,6)), 'I1 - Universal Data'!$E$14:$V$14, 0)))</f>
        <v>-</v>
      </c>
      <c r="I128" s="722">
        <f t="shared" si="7"/>
        <v>88.1</v>
      </c>
      <c r="J128" s="722">
        <f t="shared" si="8"/>
        <v>213.4</v>
      </c>
      <c r="K128" s="722">
        <f t="shared" si="9"/>
        <v>86.7</v>
      </c>
      <c r="X128" s="710"/>
    </row>
    <row r="129" spans="1:24">
      <c r="A129" s="719">
        <f t="shared" si="6"/>
        <v>40025</v>
      </c>
      <c r="B129" s="720">
        <f t="shared" si="5"/>
        <v>2010</v>
      </c>
      <c r="C129" s="794">
        <v>88</v>
      </c>
      <c r="D129" s="794">
        <v>213.4</v>
      </c>
      <c r="E129" s="794">
        <v>86.7</v>
      </c>
      <c r="F129" s="721" t="str">
        <f>IF($A129&lt;DATE(2018,7,1),"-",INDEX('I1 - Universal Data'!$E$16:$V$16, MATCH(YEAR(EOMONTH($A129,6)), 'I1 - Universal Data'!$E$14:$V$14, 0)))</f>
        <v>-</v>
      </c>
      <c r="G129" s="721" t="str">
        <f>IF($A129&lt;DATE(2018,7,1),"-",INDEX('I1 - Universal Data'!$E$15:$V$15, MATCH(YEAR(EOMONTH($A129,6)), 'I1 - Universal Data'!$E$14:$V$14, 0)))</f>
        <v>-</v>
      </c>
      <c r="H129" s="721" t="str">
        <f>IF($A129&lt;DATE(2018,7,1),"-",INDEX('I1 - Universal Data'!$E$17:$V$17, MATCH(YEAR(EOMONTH($A129,6)), 'I1 - Universal Data'!$E$14:$V$14, 0)))</f>
        <v>-</v>
      </c>
      <c r="I129" s="722">
        <f t="shared" si="7"/>
        <v>88</v>
      </c>
      <c r="J129" s="722">
        <f t="shared" si="8"/>
        <v>213.4</v>
      </c>
      <c r="K129" s="722">
        <f t="shared" si="9"/>
        <v>86.7</v>
      </c>
      <c r="X129" s="710"/>
    </row>
    <row r="130" spans="1:24">
      <c r="A130" s="719">
        <f t="shared" si="6"/>
        <v>40056</v>
      </c>
      <c r="B130" s="720">
        <f t="shared" si="5"/>
        <v>2010</v>
      </c>
      <c r="C130" s="794">
        <v>88.3</v>
      </c>
      <c r="D130" s="794">
        <v>214.4</v>
      </c>
      <c r="E130" s="794">
        <v>87</v>
      </c>
      <c r="F130" s="721" t="str">
        <f>IF($A130&lt;DATE(2018,7,1),"-",INDEX('I1 - Universal Data'!$E$16:$V$16, MATCH(YEAR(EOMONTH($A130,6)), 'I1 - Universal Data'!$E$14:$V$14, 0)))</f>
        <v>-</v>
      </c>
      <c r="G130" s="721" t="str">
        <f>IF($A130&lt;DATE(2018,7,1),"-",INDEX('I1 - Universal Data'!$E$15:$V$15, MATCH(YEAR(EOMONTH($A130,6)), 'I1 - Universal Data'!$E$14:$V$14, 0)))</f>
        <v>-</v>
      </c>
      <c r="H130" s="721" t="str">
        <f>IF($A130&lt;DATE(2018,7,1),"-",INDEX('I1 - Universal Data'!$E$17:$V$17, MATCH(YEAR(EOMONTH($A130,6)), 'I1 - Universal Data'!$E$14:$V$14, 0)))</f>
        <v>-</v>
      </c>
      <c r="I130" s="722">
        <f t="shared" si="7"/>
        <v>88.3</v>
      </c>
      <c r="J130" s="722">
        <f t="shared" si="8"/>
        <v>214.4</v>
      </c>
      <c r="K130" s="722">
        <f t="shared" si="9"/>
        <v>87</v>
      </c>
      <c r="X130" s="710"/>
    </row>
    <row r="131" spans="1:24">
      <c r="A131" s="719">
        <f t="shared" si="6"/>
        <v>40086</v>
      </c>
      <c r="B131" s="720">
        <f t="shared" si="5"/>
        <v>2010</v>
      </c>
      <c r="C131" s="794">
        <v>88.3</v>
      </c>
      <c r="D131" s="794">
        <v>215.3</v>
      </c>
      <c r="E131" s="794">
        <v>87.1</v>
      </c>
      <c r="F131" s="721" t="str">
        <f>IF($A131&lt;DATE(2018,7,1),"-",INDEX('I1 - Universal Data'!$E$16:$V$16, MATCH(YEAR(EOMONTH($A131,6)), 'I1 - Universal Data'!$E$14:$V$14, 0)))</f>
        <v>-</v>
      </c>
      <c r="G131" s="721" t="str">
        <f>IF($A131&lt;DATE(2018,7,1),"-",INDEX('I1 - Universal Data'!$E$15:$V$15, MATCH(YEAR(EOMONTH($A131,6)), 'I1 - Universal Data'!$E$14:$V$14, 0)))</f>
        <v>-</v>
      </c>
      <c r="H131" s="721" t="str">
        <f>IF($A131&lt;DATE(2018,7,1),"-",INDEX('I1 - Universal Data'!$E$17:$V$17, MATCH(YEAR(EOMONTH($A131,6)), 'I1 - Universal Data'!$E$14:$V$14, 0)))</f>
        <v>-</v>
      </c>
      <c r="I131" s="722">
        <f t="shared" si="7"/>
        <v>88.3</v>
      </c>
      <c r="J131" s="722">
        <f t="shared" si="8"/>
        <v>215.3</v>
      </c>
      <c r="K131" s="722">
        <f t="shared" si="9"/>
        <v>87.1</v>
      </c>
      <c r="X131" s="710"/>
    </row>
    <row r="132" spans="1:24">
      <c r="A132" s="719">
        <f t="shared" si="6"/>
        <v>40117</v>
      </c>
      <c r="B132" s="720">
        <f t="shared" si="5"/>
        <v>2010</v>
      </c>
      <c r="C132" s="794">
        <v>88.4</v>
      </c>
      <c r="D132" s="794">
        <v>216</v>
      </c>
      <c r="E132" s="794">
        <v>87.2</v>
      </c>
      <c r="F132" s="721" t="str">
        <f>IF($A132&lt;DATE(2018,7,1),"-",INDEX('I1 - Universal Data'!$E$16:$V$16, MATCH(YEAR(EOMONTH($A132,6)), 'I1 - Universal Data'!$E$14:$V$14, 0)))</f>
        <v>-</v>
      </c>
      <c r="G132" s="721" t="str">
        <f>IF($A132&lt;DATE(2018,7,1),"-",INDEX('I1 - Universal Data'!$E$15:$V$15, MATCH(YEAR(EOMONTH($A132,6)), 'I1 - Universal Data'!$E$14:$V$14, 0)))</f>
        <v>-</v>
      </c>
      <c r="H132" s="721" t="str">
        <f>IF($A132&lt;DATE(2018,7,1),"-",INDEX('I1 - Universal Data'!$E$17:$V$17, MATCH(YEAR(EOMONTH($A132,6)), 'I1 - Universal Data'!$E$14:$V$14, 0)))</f>
        <v>-</v>
      </c>
      <c r="I132" s="722">
        <f t="shared" si="7"/>
        <v>88.4</v>
      </c>
      <c r="J132" s="722">
        <f t="shared" si="8"/>
        <v>216</v>
      </c>
      <c r="K132" s="722">
        <f t="shared" si="9"/>
        <v>87.2</v>
      </c>
      <c r="X132" s="710"/>
    </row>
    <row r="133" spans="1:24">
      <c r="A133" s="719">
        <f t="shared" si="6"/>
        <v>40147</v>
      </c>
      <c r="B133" s="720">
        <f t="shared" si="5"/>
        <v>2010</v>
      </c>
      <c r="C133" s="794">
        <v>88.6</v>
      </c>
      <c r="D133" s="794">
        <v>216.6</v>
      </c>
      <c r="E133" s="794">
        <v>87.5</v>
      </c>
      <c r="F133" s="721" t="str">
        <f>IF($A133&lt;DATE(2018,7,1),"-",INDEX('I1 - Universal Data'!$E$16:$V$16, MATCH(YEAR(EOMONTH($A133,6)), 'I1 - Universal Data'!$E$14:$V$14, 0)))</f>
        <v>-</v>
      </c>
      <c r="G133" s="721" t="str">
        <f>IF($A133&lt;DATE(2018,7,1),"-",INDEX('I1 - Universal Data'!$E$15:$V$15, MATCH(YEAR(EOMONTH($A133,6)), 'I1 - Universal Data'!$E$14:$V$14, 0)))</f>
        <v>-</v>
      </c>
      <c r="H133" s="721" t="str">
        <f>IF($A133&lt;DATE(2018,7,1),"-",INDEX('I1 - Universal Data'!$E$17:$V$17, MATCH(YEAR(EOMONTH($A133,6)), 'I1 - Universal Data'!$E$14:$V$14, 0)))</f>
        <v>-</v>
      </c>
      <c r="I133" s="722">
        <f t="shared" si="7"/>
        <v>88.6</v>
      </c>
      <c r="J133" s="722">
        <f t="shared" si="8"/>
        <v>216.6</v>
      </c>
      <c r="K133" s="722">
        <f t="shared" si="9"/>
        <v>87.5</v>
      </c>
      <c r="X133" s="710"/>
    </row>
    <row r="134" spans="1:24">
      <c r="A134" s="719">
        <f t="shared" si="6"/>
        <v>40178</v>
      </c>
      <c r="B134" s="720">
        <f t="shared" ref="B134:B197" si="10">IF(MONTH(A134)&gt;=4,YEAR(A134)+1,YEAR(A134))</f>
        <v>2010</v>
      </c>
      <c r="C134" s="794">
        <v>88.9</v>
      </c>
      <c r="D134" s="794">
        <v>218</v>
      </c>
      <c r="E134" s="794">
        <v>88</v>
      </c>
      <c r="F134" s="721" t="str">
        <f>IF($A134&lt;DATE(2018,7,1),"-",INDEX('I1 - Universal Data'!$E$16:$V$16, MATCH(YEAR(EOMONTH($A134,6)), 'I1 - Universal Data'!$E$14:$V$14, 0)))</f>
        <v>-</v>
      </c>
      <c r="G134" s="721" t="str">
        <f>IF($A134&lt;DATE(2018,7,1),"-",INDEX('I1 - Universal Data'!$E$15:$V$15, MATCH(YEAR(EOMONTH($A134,6)), 'I1 - Universal Data'!$E$14:$V$14, 0)))</f>
        <v>-</v>
      </c>
      <c r="H134" s="721" t="str">
        <f>IF($A134&lt;DATE(2018,7,1),"-",INDEX('I1 - Universal Data'!$E$17:$V$17, MATCH(YEAR(EOMONTH($A134,6)), 'I1 - Universal Data'!$E$14:$V$14, 0)))</f>
        <v>-</v>
      </c>
      <c r="I134" s="722">
        <f t="shared" si="7"/>
        <v>88.9</v>
      </c>
      <c r="J134" s="722">
        <f t="shared" si="8"/>
        <v>218</v>
      </c>
      <c r="K134" s="722">
        <f t="shared" si="9"/>
        <v>88</v>
      </c>
      <c r="X134" s="710"/>
    </row>
    <row r="135" spans="1:24">
      <c r="A135" s="719">
        <f t="shared" ref="A135:A198" si="11">IF(MONTH(A134) = 12, EOMONTH(DATE(YEAR(A134) + 1, 1, 1), 0), EOMONTH(DATE(YEAR(A134), MONTH(A134) + 1, 1), 0))</f>
        <v>40209</v>
      </c>
      <c r="B135" s="720">
        <f t="shared" si="10"/>
        <v>2010</v>
      </c>
      <c r="C135" s="794">
        <v>88.8</v>
      </c>
      <c r="D135" s="794">
        <v>217.9</v>
      </c>
      <c r="E135" s="794">
        <v>87.8</v>
      </c>
      <c r="F135" s="721" t="str">
        <f>IF($A135&lt;DATE(2018,7,1),"-",INDEX('I1 - Universal Data'!$E$16:$V$16, MATCH(YEAR(EOMONTH($A135,6)), 'I1 - Universal Data'!$E$14:$V$14, 0)))</f>
        <v>-</v>
      </c>
      <c r="G135" s="721" t="str">
        <f>IF($A135&lt;DATE(2018,7,1),"-",INDEX('I1 - Universal Data'!$E$15:$V$15, MATCH(YEAR(EOMONTH($A135,6)), 'I1 - Universal Data'!$E$14:$V$14, 0)))</f>
        <v>-</v>
      </c>
      <c r="H135" s="721" t="str">
        <f>IF($A135&lt;DATE(2018,7,1),"-",INDEX('I1 - Universal Data'!$E$17:$V$17, MATCH(YEAR(EOMONTH($A135,6)), 'I1 - Universal Data'!$E$14:$V$14, 0)))</f>
        <v>-</v>
      </c>
      <c r="I135" s="722">
        <f t="shared" ref="I135:I198" si="12">IF(ISBLANK(C135),I134*((1+F135)^(1/12)),C135)</f>
        <v>88.8</v>
      </c>
      <c r="J135" s="722">
        <f t="shared" ref="J135:J198" si="13">IF(ISBLANK(D135),J134*((1+G135)^(1/12)),D135)</f>
        <v>217.9</v>
      </c>
      <c r="K135" s="722">
        <f t="shared" ref="K135:K198" si="14">IF(ISBLANK(E135),K134*((1+H135)^(1/12)),E135)</f>
        <v>87.8</v>
      </c>
      <c r="X135" s="710"/>
    </row>
    <row r="136" spans="1:24">
      <c r="A136" s="719">
        <f t="shared" si="11"/>
        <v>40237</v>
      </c>
      <c r="B136" s="720">
        <f t="shared" si="10"/>
        <v>2010</v>
      </c>
      <c r="C136" s="794">
        <v>89</v>
      </c>
      <c r="D136" s="794">
        <v>219.2</v>
      </c>
      <c r="E136" s="794">
        <v>88.2</v>
      </c>
      <c r="F136" s="721" t="str">
        <f>IF($A136&lt;DATE(2018,7,1),"-",INDEX('I1 - Universal Data'!$E$16:$V$16, MATCH(YEAR(EOMONTH($A136,6)), 'I1 - Universal Data'!$E$14:$V$14, 0)))</f>
        <v>-</v>
      </c>
      <c r="G136" s="721" t="str">
        <f>IF($A136&lt;DATE(2018,7,1),"-",INDEX('I1 - Universal Data'!$E$15:$V$15, MATCH(YEAR(EOMONTH($A136,6)), 'I1 - Universal Data'!$E$14:$V$14, 0)))</f>
        <v>-</v>
      </c>
      <c r="H136" s="721" t="str">
        <f>IF($A136&lt;DATE(2018,7,1),"-",INDEX('I1 - Universal Data'!$E$17:$V$17, MATCH(YEAR(EOMONTH($A136,6)), 'I1 - Universal Data'!$E$14:$V$14, 0)))</f>
        <v>-</v>
      </c>
      <c r="I136" s="722">
        <f t="shared" si="12"/>
        <v>89</v>
      </c>
      <c r="J136" s="722">
        <f t="shared" si="13"/>
        <v>219.2</v>
      </c>
      <c r="K136" s="722">
        <f t="shared" si="14"/>
        <v>88.2</v>
      </c>
      <c r="X136" s="710"/>
    </row>
    <row r="137" spans="1:24">
      <c r="A137" s="719">
        <f t="shared" si="11"/>
        <v>40268</v>
      </c>
      <c r="B137" s="720">
        <f t="shared" si="10"/>
        <v>2010</v>
      </c>
      <c r="C137" s="794">
        <v>89.4</v>
      </c>
      <c r="D137" s="794">
        <v>220.7</v>
      </c>
      <c r="E137" s="794">
        <v>88.7</v>
      </c>
      <c r="F137" s="721" t="str">
        <f>IF($A137&lt;DATE(2018,7,1),"-",INDEX('I1 - Universal Data'!$E$16:$V$16, MATCH(YEAR(EOMONTH($A137,6)), 'I1 - Universal Data'!$E$14:$V$14, 0)))</f>
        <v>-</v>
      </c>
      <c r="G137" s="721" t="str">
        <f>IF($A137&lt;DATE(2018,7,1),"-",INDEX('I1 - Universal Data'!$E$15:$V$15, MATCH(YEAR(EOMONTH($A137,6)), 'I1 - Universal Data'!$E$14:$V$14, 0)))</f>
        <v>-</v>
      </c>
      <c r="H137" s="721" t="str">
        <f>IF($A137&lt;DATE(2018,7,1),"-",INDEX('I1 - Universal Data'!$E$17:$V$17, MATCH(YEAR(EOMONTH($A137,6)), 'I1 - Universal Data'!$E$14:$V$14, 0)))</f>
        <v>-</v>
      </c>
      <c r="I137" s="722">
        <f t="shared" si="12"/>
        <v>89.4</v>
      </c>
      <c r="J137" s="722">
        <f t="shared" si="13"/>
        <v>220.7</v>
      </c>
      <c r="K137" s="722">
        <f t="shared" si="14"/>
        <v>88.7</v>
      </c>
      <c r="X137" s="710"/>
    </row>
    <row r="138" spans="1:24">
      <c r="A138" s="719">
        <f t="shared" si="11"/>
        <v>40298</v>
      </c>
      <c r="B138" s="720">
        <f t="shared" si="10"/>
        <v>2011</v>
      </c>
      <c r="C138" s="794">
        <v>89.9</v>
      </c>
      <c r="D138" s="794">
        <v>222.8</v>
      </c>
      <c r="E138" s="794">
        <v>89.2</v>
      </c>
      <c r="F138" s="721" t="str">
        <f>IF($A138&lt;DATE(2018,7,1),"-",INDEX('I1 - Universal Data'!$E$16:$V$16, MATCH(YEAR(EOMONTH($A138,6)), 'I1 - Universal Data'!$E$14:$V$14, 0)))</f>
        <v>-</v>
      </c>
      <c r="G138" s="721" t="str">
        <f>IF($A138&lt;DATE(2018,7,1),"-",INDEX('I1 - Universal Data'!$E$15:$V$15, MATCH(YEAR(EOMONTH($A138,6)), 'I1 - Universal Data'!$E$14:$V$14, 0)))</f>
        <v>-</v>
      </c>
      <c r="H138" s="721" t="str">
        <f>IF($A138&lt;DATE(2018,7,1),"-",INDEX('I1 - Universal Data'!$E$17:$V$17, MATCH(YEAR(EOMONTH($A138,6)), 'I1 - Universal Data'!$E$14:$V$14, 0)))</f>
        <v>-</v>
      </c>
      <c r="I138" s="722">
        <f t="shared" si="12"/>
        <v>89.9</v>
      </c>
      <c r="J138" s="722">
        <f t="shared" si="13"/>
        <v>222.8</v>
      </c>
      <c r="K138" s="722">
        <f t="shared" si="14"/>
        <v>89.2</v>
      </c>
      <c r="X138" s="710"/>
    </row>
    <row r="139" spans="1:24">
      <c r="A139" s="719">
        <f t="shared" si="11"/>
        <v>40329</v>
      </c>
      <c r="B139" s="720">
        <f t="shared" si="10"/>
        <v>2011</v>
      </c>
      <c r="C139" s="794">
        <v>90.1</v>
      </c>
      <c r="D139" s="794">
        <v>223.6</v>
      </c>
      <c r="E139" s="794">
        <v>89.4</v>
      </c>
      <c r="F139" s="721" t="str">
        <f>IF($A139&lt;DATE(2018,7,1),"-",INDEX('I1 - Universal Data'!$E$16:$V$16, MATCH(YEAR(EOMONTH($A139,6)), 'I1 - Universal Data'!$E$14:$V$14, 0)))</f>
        <v>-</v>
      </c>
      <c r="G139" s="721" t="str">
        <f>IF($A139&lt;DATE(2018,7,1),"-",INDEX('I1 - Universal Data'!$E$15:$V$15, MATCH(YEAR(EOMONTH($A139,6)), 'I1 - Universal Data'!$E$14:$V$14, 0)))</f>
        <v>-</v>
      </c>
      <c r="H139" s="721" t="str">
        <f>IF($A139&lt;DATE(2018,7,1),"-",INDEX('I1 - Universal Data'!$E$17:$V$17, MATCH(YEAR(EOMONTH($A139,6)), 'I1 - Universal Data'!$E$14:$V$14, 0)))</f>
        <v>-</v>
      </c>
      <c r="I139" s="722">
        <f t="shared" si="12"/>
        <v>90.1</v>
      </c>
      <c r="J139" s="722">
        <f t="shared" si="13"/>
        <v>223.6</v>
      </c>
      <c r="K139" s="722">
        <f t="shared" si="14"/>
        <v>89.4</v>
      </c>
      <c r="X139" s="710"/>
    </row>
    <row r="140" spans="1:24">
      <c r="A140" s="719">
        <f t="shared" si="11"/>
        <v>40359</v>
      </c>
      <c r="B140" s="720">
        <f t="shared" si="10"/>
        <v>2011</v>
      </c>
      <c r="C140" s="794">
        <v>90.2</v>
      </c>
      <c r="D140" s="794">
        <v>224.1</v>
      </c>
      <c r="E140" s="794">
        <v>89.5</v>
      </c>
      <c r="F140" s="721" t="str">
        <f>IF($A140&lt;DATE(2018,7,1),"-",INDEX('I1 - Universal Data'!$E$16:$V$16, MATCH(YEAR(EOMONTH($A140,6)), 'I1 - Universal Data'!$E$14:$V$14, 0)))</f>
        <v>-</v>
      </c>
      <c r="G140" s="721" t="str">
        <f>IF($A140&lt;DATE(2018,7,1),"-",INDEX('I1 - Universal Data'!$E$15:$V$15, MATCH(YEAR(EOMONTH($A140,6)), 'I1 - Universal Data'!$E$14:$V$14, 0)))</f>
        <v>-</v>
      </c>
      <c r="H140" s="721" t="str">
        <f>IF($A140&lt;DATE(2018,7,1),"-",INDEX('I1 - Universal Data'!$E$17:$V$17, MATCH(YEAR(EOMONTH($A140,6)), 'I1 - Universal Data'!$E$14:$V$14, 0)))</f>
        <v>-</v>
      </c>
      <c r="I140" s="722">
        <f t="shared" si="12"/>
        <v>90.2</v>
      </c>
      <c r="J140" s="722">
        <f t="shared" si="13"/>
        <v>224.1</v>
      </c>
      <c r="K140" s="722">
        <f t="shared" si="14"/>
        <v>89.5</v>
      </c>
      <c r="X140" s="710"/>
    </row>
    <row r="141" spans="1:24">
      <c r="A141" s="719">
        <f t="shared" si="11"/>
        <v>40390</v>
      </c>
      <c r="B141" s="720">
        <f t="shared" si="10"/>
        <v>2011</v>
      </c>
      <c r="C141" s="794">
        <v>90</v>
      </c>
      <c r="D141" s="794">
        <v>223.6</v>
      </c>
      <c r="E141" s="794">
        <v>89.3</v>
      </c>
      <c r="F141" s="721" t="str">
        <f>IF($A141&lt;DATE(2018,7,1),"-",INDEX('I1 - Universal Data'!$E$16:$V$16, MATCH(YEAR(EOMONTH($A141,6)), 'I1 - Universal Data'!$E$14:$V$14, 0)))</f>
        <v>-</v>
      </c>
      <c r="G141" s="721" t="str">
        <f>IF($A141&lt;DATE(2018,7,1),"-",INDEX('I1 - Universal Data'!$E$15:$V$15, MATCH(YEAR(EOMONTH($A141,6)), 'I1 - Universal Data'!$E$14:$V$14, 0)))</f>
        <v>-</v>
      </c>
      <c r="H141" s="721" t="str">
        <f>IF($A141&lt;DATE(2018,7,1),"-",INDEX('I1 - Universal Data'!$E$17:$V$17, MATCH(YEAR(EOMONTH($A141,6)), 'I1 - Universal Data'!$E$14:$V$14, 0)))</f>
        <v>-</v>
      </c>
      <c r="I141" s="722">
        <f t="shared" si="12"/>
        <v>90</v>
      </c>
      <c r="J141" s="722">
        <f t="shared" si="13"/>
        <v>223.6</v>
      </c>
      <c r="K141" s="722">
        <f t="shared" si="14"/>
        <v>89.3</v>
      </c>
      <c r="X141" s="710"/>
    </row>
    <row r="142" spans="1:24">
      <c r="A142" s="719">
        <f t="shared" si="11"/>
        <v>40421</v>
      </c>
      <c r="B142" s="720">
        <f t="shared" si="10"/>
        <v>2011</v>
      </c>
      <c r="C142" s="794">
        <v>90.4</v>
      </c>
      <c r="D142" s="794">
        <v>224.5</v>
      </c>
      <c r="E142" s="794">
        <v>89.8</v>
      </c>
      <c r="F142" s="721" t="str">
        <f>IF($A142&lt;DATE(2018,7,1),"-",INDEX('I1 - Universal Data'!$E$16:$V$16, MATCH(YEAR(EOMONTH($A142,6)), 'I1 - Universal Data'!$E$14:$V$14, 0)))</f>
        <v>-</v>
      </c>
      <c r="G142" s="721" t="str">
        <f>IF($A142&lt;DATE(2018,7,1),"-",INDEX('I1 - Universal Data'!$E$15:$V$15, MATCH(YEAR(EOMONTH($A142,6)), 'I1 - Universal Data'!$E$14:$V$14, 0)))</f>
        <v>-</v>
      </c>
      <c r="H142" s="721" t="str">
        <f>IF($A142&lt;DATE(2018,7,1),"-",INDEX('I1 - Universal Data'!$E$17:$V$17, MATCH(YEAR(EOMONTH($A142,6)), 'I1 - Universal Data'!$E$14:$V$14, 0)))</f>
        <v>-</v>
      </c>
      <c r="I142" s="722">
        <f t="shared" si="12"/>
        <v>90.4</v>
      </c>
      <c r="J142" s="722">
        <f t="shared" si="13"/>
        <v>224.5</v>
      </c>
      <c r="K142" s="722">
        <f t="shared" si="14"/>
        <v>89.8</v>
      </c>
      <c r="X142" s="710"/>
    </row>
    <row r="143" spans="1:24">
      <c r="A143" s="719">
        <f t="shared" si="11"/>
        <v>40451</v>
      </c>
      <c r="B143" s="720">
        <f t="shared" si="10"/>
        <v>2011</v>
      </c>
      <c r="C143" s="794">
        <v>90.4</v>
      </c>
      <c r="D143" s="794">
        <v>225.3</v>
      </c>
      <c r="E143" s="794">
        <v>89.8</v>
      </c>
      <c r="F143" s="721" t="str">
        <f>IF($A143&lt;DATE(2018,7,1),"-",INDEX('I1 - Universal Data'!$E$16:$V$16, MATCH(YEAR(EOMONTH($A143,6)), 'I1 - Universal Data'!$E$14:$V$14, 0)))</f>
        <v>-</v>
      </c>
      <c r="G143" s="721" t="str">
        <f>IF($A143&lt;DATE(2018,7,1),"-",INDEX('I1 - Universal Data'!$E$15:$V$15, MATCH(YEAR(EOMONTH($A143,6)), 'I1 - Universal Data'!$E$14:$V$14, 0)))</f>
        <v>-</v>
      </c>
      <c r="H143" s="721" t="str">
        <f>IF($A143&lt;DATE(2018,7,1),"-",INDEX('I1 - Universal Data'!$E$17:$V$17, MATCH(YEAR(EOMONTH($A143,6)), 'I1 - Universal Data'!$E$14:$V$14, 0)))</f>
        <v>-</v>
      </c>
      <c r="I143" s="722">
        <f t="shared" si="12"/>
        <v>90.4</v>
      </c>
      <c r="J143" s="722">
        <f t="shared" si="13"/>
        <v>225.3</v>
      </c>
      <c r="K143" s="722">
        <f t="shared" si="14"/>
        <v>89.8</v>
      </c>
      <c r="X143" s="710"/>
    </row>
    <row r="144" spans="1:24">
      <c r="A144" s="719">
        <f t="shared" si="11"/>
        <v>40482</v>
      </c>
      <c r="B144" s="720">
        <f t="shared" si="10"/>
        <v>2011</v>
      </c>
      <c r="C144" s="794">
        <v>90.6</v>
      </c>
      <c r="D144" s="794">
        <v>225.8</v>
      </c>
      <c r="E144" s="794">
        <v>90</v>
      </c>
      <c r="F144" s="721" t="str">
        <f>IF($A144&lt;DATE(2018,7,1),"-",INDEX('I1 - Universal Data'!$E$16:$V$16, MATCH(YEAR(EOMONTH($A144,6)), 'I1 - Universal Data'!$E$14:$V$14, 0)))</f>
        <v>-</v>
      </c>
      <c r="G144" s="721" t="str">
        <f>IF($A144&lt;DATE(2018,7,1),"-",INDEX('I1 - Universal Data'!$E$15:$V$15, MATCH(YEAR(EOMONTH($A144,6)), 'I1 - Universal Data'!$E$14:$V$14, 0)))</f>
        <v>-</v>
      </c>
      <c r="H144" s="721" t="str">
        <f>IF($A144&lt;DATE(2018,7,1),"-",INDEX('I1 - Universal Data'!$E$17:$V$17, MATCH(YEAR(EOMONTH($A144,6)), 'I1 - Universal Data'!$E$14:$V$14, 0)))</f>
        <v>-</v>
      </c>
      <c r="I144" s="722">
        <f t="shared" si="12"/>
        <v>90.6</v>
      </c>
      <c r="J144" s="722">
        <f t="shared" si="13"/>
        <v>225.8</v>
      </c>
      <c r="K144" s="722">
        <f t="shared" si="14"/>
        <v>90</v>
      </c>
      <c r="X144" s="710"/>
    </row>
    <row r="145" spans="1:24">
      <c r="A145" s="719">
        <f t="shared" si="11"/>
        <v>40512</v>
      </c>
      <c r="B145" s="720">
        <f t="shared" si="10"/>
        <v>2011</v>
      </c>
      <c r="C145" s="794">
        <v>90.9</v>
      </c>
      <c r="D145" s="794">
        <v>226.8</v>
      </c>
      <c r="E145" s="794">
        <v>90.3</v>
      </c>
      <c r="F145" s="721" t="str">
        <f>IF($A145&lt;DATE(2018,7,1),"-",INDEX('I1 - Universal Data'!$E$16:$V$16, MATCH(YEAR(EOMONTH($A145,6)), 'I1 - Universal Data'!$E$14:$V$14, 0)))</f>
        <v>-</v>
      </c>
      <c r="G145" s="721" t="str">
        <f>IF($A145&lt;DATE(2018,7,1),"-",INDEX('I1 - Universal Data'!$E$15:$V$15, MATCH(YEAR(EOMONTH($A145,6)), 'I1 - Universal Data'!$E$14:$V$14, 0)))</f>
        <v>-</v>
      </c>
      <c r="H145" s="721" t="str">
        <f>IF($A145&lt;DATE(2018,7,1),"-",INDEX('I1 - Universal Data'!$E$17:$V$17, MATCH(YEAR(EOMONTH($A145,6)), 'I1 - Universal Data'!$E$14:$V$14, 0)))</f>
        <v>-</v>
      </c>
      <c r="I145" s="722">
        <f t="shared" si="12"/>
        <v>90.9</v>
      </c>
      <c r="J145" s="722">
        <f t="shared" si="13"/>
        <v>226.8</v>
      </c>
      <c r="K145" s="722">
        <f t="shared" si="14"/>
        <v>90.3</v>
      </c>
      <c r="X145" s="710"/>
    </row>
    <row r="146" spans="1:24">
      <c r="A146" s="719">
        <f t="shared" si="11"/>
        <v>40543</v>
      </c>
      <c r="B146" s="720">
        <f t="shared" si="10"/>
        <v>2011</v>
      </c>
      <c r="C146" s="794">
        <v>91.7</v>
      </c>
      <c r="D146" s="794">
        <v>228.4</v>
      </c>
      <c r="E146" s="794">
        <v>91.2</v>
      </c>
      <c r="F146" s="721" t="str">
        <f>IF($A146&lt;DATE(2018,7,1),"-",INDEX('I1 - Universal Data'!$E$16:$V$16, MATCH(YEAR(EOMONTH($A146,6)), 'I1 - Universal Data'!$E$14:$V$14, 0)))</f>
        <v>-</v>
      </c>
      <c r="G146" s="721" t="str">
        <f>IF($A146&lt;DATE(2018,7,1),"-",INDEX('I1 - Universal Data'!$E$15:$V$15, MATCH(YEAR(EOMONTH($A146,6)), 'I1 - Universal Data'!$E$14:$V$14, 0)))</f>
        <v>-</v>
      </c>
      <c r="H146" s="721" t="str">
        <f>IF($A146&lt;DATE(2018,7,1),"-",INDEX('I1 - Universal Data'!$E$17:$V$17, MATCH(YEAR(EOMONTH($A146,6)), 'I1 - Universal Data'!$E$14:$V$14, 0)))</f>
        <v>-</v>
      </c>
      <c r="I146" s="722">
        <f t="shared" si="12"/>
        <v>91.7</v>
      </c>
      <c r="J146" s="722">
        <f t="shared" si="13"/>
        <v>228.4</v>
      </c>
      <c r="K146" s="722">
        <f t="shared" si="14"/>
        <v>91.2</v>
      </c>
      <c r="X146" s="710"/>
    </row>
    <row r="147" spans="1:24">
      <c r="A147" s="719">
        <f t="shared" si="11"/>
        <v>40574</v>
      </c>
      <c r="B147" s="720">
        <f t="shared" si="10"/>
        <v>2011</v>
      </c>
      <c r="C147" s="794">
        <v>91.8</v>
      </c>
      <c r="D147" s="794">
        <v>229</v>
      </c>
      <c r="E147" s="794">
        <v>91.3</v>
      </c>
      <c r="F147" s="721" t="str">
        <f>IF($A147&lt;DATE(2018,7,1),"-",INDEX('I1 - Universal Data'!$E$16:$V$16, MATCH(YEAR(EOMONTH($A147,6)), 'I1 - Universal Data'!$E$14:$V$14, 0)))</f>
        <v>-</v>
      </c>
      <c r="G147" s="721" t="str">
        <f>IF($A147&lt;DATE(2018,7,1),"-",INDEX('I1 - Universal Data'!$E$15:$V$15, MATCH(YEAR(EOMONTH($A147,6)), 'I1 - Universal Data'!$E$14:$V$14, 0)))</f>
        <v>-</v>
      </c>
      <c r="H147" s="721" t="str">
        <f>IF($A147&lt;DATE(2018,7,1),"-",INDEX('I1 - Universal Data'!$E$17:$V$17, MATCH(YEAR(EOMONTH($A147,6)), 'I1 - Universal Data'!$E$14:$V$14, 0)))</f>
        <v>-</v>
      </c>
      <c r="I147" s="722">
        <f t="shared" si="12"/>
        <v>91.8</v>
      </c>
      <c r="J147" s="722">
        <f t="shared" si="13"/>
        <v>229</v>
      </c>
      <c r="K147" s="722">
        <f t="shared" si="14"/>
        <v>91.3</v>
      </c>
      <c r="X147" s="710"/>
    </row>
    <row r="148" spans="1:24">
      <c r="A148" s="719">
        <f t="shared" si="11"/>
        <v>40602</v>
      </c>
      <c r="B148" s="720">
        <f t="shared" si="10"/>
        <v>2011</v>
      </c>
      <c r="C148" s="794">
        <v>92.3</v>
      </c>
      <c r="D148" s="794">
        <v>231.3</v>
      </c>
      <c r="E148" s="794">
        <v>92</v>
      </c>
      <c r="F148" s="721" t="str">
        <f>IF($A148&lt;DATE(2018,7,1),"-",INDEX('I1 - Universal Data'!$E$16:$V$16, MATCH(YEAR(EOMONTH($A148,6)), 'I1 - Universal Data'!$E$14:$V$14, 0)))</f>
        <v>-</v>
      </c>
      <c r="G148" s="721" t="str">
        <f>IF($A148&lt;DATE(2018,7,1),"-",INDEX('I1 - Universal Data'!$E$15:$V$15, MATCH(YEAR(EOMONTH($A148,6)), 'I1 - Universal Data'!$E$14:$V$14, 0)))</f>
        <v>-</v>
      </c>
      <c r="H148" s="721" t="str">
        <f>IF($A148&lt;DATE(2018,7,1),"-",INDEX('I1 - Universal Data'!$E$17:$V$17, MATCH(YEAR(EOMONTH($A148,6)), 'I1 - Universal Data'!$E$14:$V$14, 0)))</f>
        <v>-</v>
      </c>
      <c r="I148" s="722">
        <f t="shared" si="12"/>
        <v>92.3</v>
      </c>
      <c r="J148" s="722">
        <f t="shared" si="13"/>
        <v>231.3</v>
      </c>
      <c r="K148" s="722">
        <f t="shared" si="14"/>
        <v>92</v>
      </c>
      <c r="X148" s="710"/>
    </row>
    <row r="149" spans="1:24">
      <c r="A149" s="719">
        <f t="shared" si="11"/>
        <v>40633</v>
      </c>
      <c r="B149" s="720">
        <f t="shared" si="10"/>
        <v>2011</v>
      </c>
      <c r="C149" s="794">
        <v>92.6</v>
      </c>
      <c r="D149" s="794">
        <v>232.5</v>
      </c>
      <c r="E149" s="794">
        <v>92.2</v>
      </c>
      <c r="F149" s="721" t="str">
        <f>IF($A149&lt;DATE(2018,7,1),"-",INDEX('I1 - Universal Data'!$E$16:$V$16, MATCH(YEAR(EOMONTH($A149,6)), 'I1 - Universal Data'!$E$14:$V$14, 0)))</f>
        <v>-</v>
      </c>
      <c r="G149" s="721" t="str">
        <f>IF($A149&lt;DATE(2018,7,1),"-",INDEX('I1 - Universal Data'!$E$15:$V$15, MATCH(YEAR(EOMONTH($A149,6)), 'I1 - Universal Data'!$E$14:$V$14, 0)))</f>
        <v>-</v>
      </c>
      <c r="H149" s="721" t="str">
        <f>IF($A149&lt;DATE(2018,7,1),"-",INDEX('I1 - Universal Data'!$E$17:$V$17, MATCH(YEAR(EOMONTH($A149,6)), 'I1 - Universal Data'!$E$14:$V$14, 0)))</f>
        <v>-</v>
      </c>
      <c r="I149" s="722">
        <f t="shared" si="12"/>
        <v>92.6</v>
      </c>
      <c r="J149" s="722">
        <f t="shared" si="13"/>
        <v>232.5</v>
      </c>
      <c r="K149" s="722">
        <f t="shared" si="14"/>
        <v>92.2</v>
      </c>
      <c r="X149" s="710"/>
    </row>
    <row r="150" spans="1:24">
      <c r="A150" s="719">
        <f t="shared" si="11"/>
        <v>40663</v>
      </c>
      <c r="B150" s="720">
        <f t="shared" si="10"/>
        <v>2012</v>
      </c>
      <c r="C150" s="794">
        <v>93.3</v>
      </c>
      <c r="D150" s="794">
        <v>234.4</v>
      </c>
      <c r="E150" s="794">
        <v>93.2</v>
      </c>
      <c r="F150" s="721" t="str">
        <f>IF($A150&lt;DATE(2018,7,1),"-",INDEX('I1 - Universal Data'!$E$16:$V$16, MATCH(YEAR(EOMONTH($A150,6)), 'I1 - Universal Data'!$E$14:$V$14, 0)))</f>
        <v>-</v>
      </c>
      <c r="G150" s="721" t="str">
        <f>IF($A150&lt;DATE(2018,7,1),"-",INDEX('I1 - Universal Data'!$E$15:$V$15, MATCH(YEAR(EOMONTH($A150,6)), 'I1 - Universal Data'!$E$14:$V$14, 0)))</f>
        <v>-</v>
      </c>
      <c r="H150" s="721" t="str">
        <f>IF($A150&lt;DATE(2018,7,1),"-",INDEX('I1 - Universal Data'!$E$17:$V$17, MATCH(YEAR(EOMONTH($A150,6)), 'I1 - Universal Data'!$E$14:$V$14, 0)))</f>
        <v>-</v>
      </c>
      <c r="I150" s="722">
        <f t="shared" si="12"/>
        <v>93.3</v>
      </c>
      <c r="J150" s="722">
        <f t="shared" si="13"/>
        <v>234.4</v>
      </c>
      <c r="K150" s="722">
        <f t="shared" si="14"/>
        <v>93.2</v>
      </c>
      <c r="X150" s="710"/>
    </row>
    <row r="151" spans="1:24">
      <c r="A151" s="719">
        <f t="shared" si="11"/>
        <v>40694</v>
      </c>
      <c r="B151" s="720">
        <f t="shared" si="10"/>
        <v>2012</v>
      </c>
      <c r="C151" s="794">
        <v>93.5</v>
      </c>
      <c r="D151" s="794">
        <v>235.2</v>
      </c>
      <c r="E151" s="794">
        <v>93.4</v>
      </c>
      <c r="F151" s="721" t="str">
        <f>IF($A151&lt;DATE(2018,7,1),"-",INDEX('I1 - Universal Data'!$E$16:$V$16, MATCH(YEAR(EOMONTH($A151,6)), 'I1 - Universal Data'!$E$14:$V$14, 0)))</f>
        <v>-</v>
      </c>
      <c r="G151" s="721" t="str">
        <f>IF($A151&lt;DATE(2018,7,1),"-",INDEX('I1 - Universal Data'!$E$15:$V$15, MATCH(YEAR(EOMONTH($A151,6)), 'I1 - Universal Data'!$E$14:$V$14, 0)))</f>
        <v>-</v>
      </c>
      <c r="H151" s="721" t="str">
        <f>IF($A151&lt;DATE(2018,7,1),"-",INDEX('I1 - Universal Data'!$E$17:$V$17, MATCH(YEAR(EOMONTH($A151,6)), 'I1 - Universal Data'!$E$14:$V$14, 0)))</f>
        <v>-</v>
      </c>
      <c r="I151" s="722">
        <f t="shared" si="12"/>
        <v>93.5</v>
      </c>
      <c r="J151" s="722">
        <f t="shared" si="13"/>
        <v>235.2</v>
      </c>
      <c r="K151" s="722">
        <f t="shared" si="14"/>
        <v>93.4</v>
      </c>
      <c r="X151" s="710"/>
    </row>
    <row r="152" spans="1:24">
      <c r="A152" s="719">
        <f t="shared" si="11"/>
        <v>40724</v>
      </c>
      <c r="B152" s="720">
        <f t="shared" si="10"/>
        <v>2012</v>
      </c>
      <c r="C152" s="794">
        <v>93.5</v>
      </c>
      <c r="D152" s="794">
        <v>235.2</v>
      </c>
      <c r="E152" s="794">
        <v>93.3</v>
      </c>
      <c r="F152" s="721" t="str">
        <f>IF($A152&lt;DATE(2018,7,1),"-",INDEX('I1 - Universal Data'!$E$16:$V$16, MATCH(YEAR(EOMONTH($A152,6)), 'I1 - Universal Data'!$E$14:$V$14, 0)))</f>
        <v>-</v>
      </c>
      <c r="G152" s="721" t="str">
        <f>IF($A152&lt;DATE(2018,7,1),"-",INDEX('I1 - Universal Data'!$E$15:$V$15, MATCH(YEAR(EOMONTH($A152,6)), 'I1 - Universal Data'!$E$14:$V$14, 0)))</f>
        <v>-</v>
      </c>
      <c r="H152" s="721" t="str">
        <f>IF($A152&lt;DATE(2018,7,1),"-",INDEX('I1 - Universal Data'!$E$17:$V$17, MATCH(YEAR(EOMONTH($A152,6)), 'I1 - Universal Data'!$E$14:$V$14, 0)))</f>
        <v>-</v>
      </c>
      <c r="I152" s="722">
        <f t="shared" si="12"/>
        <v>93.5</v>
      </c>
      <c r="J152" s="722">
        <f t="shared" si="13"/>
        <v>235.2</v>
      </c>
      <c r="K152" s="722">
        <f t="shared" si="14"/>
        <v>93.3</v>
      </c>
      <c r="X152" s="710"/>
    </row>
    <row r="153" spans="1:24">
      <c r="A153" s="719">
        <f t="shared" si="11"/>
        <v>40755</v>
      </c>
      <c r="B153" s="720">
        <f t="shared" si="10"/>
        <v>2012</v>
      </c>
      <c r="C153" s="794">
        <v>93.5</v>
      </c>
      <c r="D153" s="794">
        <v>234.7</v>
      </c>
      <c r="E153" s="794">
        <v>93.3</v>
      </c>
      <c r="F153" s="721" t="str">
        <f>IF($A153&lt;DATE(2018,7,1),"-",INDEX('I1 - Universal Data'!$E$16:$V$16, MATCH(YEAR(EOMONTH($A153,6)), 'I1 - Universal Data'!$E$14:$V$14, 0)))</f>
        <v>-</v>
      </c>
      <c r="G153" s="721" t="str">
        <f>IF($A153&lt;DATE(2018,7,1),"-",INDEX('I1 - Universal Data'!$E$15:$V$15, MATCH(YEAR(EOMONTH($A153,6)), 'I1 - Universal Data'!$E$14:$V$14, 0)))</f>
        <v>-</v>
      </c>
      <c r="H153" s="721" t="str">
        <f>IF($A153&lt;DATE(2018,7,1),"-",INDEX('I1 - Universal Data'!$E$17:$V$17, MATCH(YEAR(EOMONTH($A153,6)), 'I1 - Universal Data'!$E$14:$V$14, 0)))</f>
        <v>-</v>
      </c>
      <c r="I153" s="722">
        <f t="shared" si="12"/>
        <v>93.5</v>
      </c>
      <c r="J153" s="722">
        <f t="shared" si="13"/>
        <v>234.7</v>
      </c>
      <c r="K153" s="722">
        <f t="shared" si="14"/>
        <v>93.3</v>
      </c>
      <c r="X153" s="710"/>
    </row>
    <row r="154" spans="1:24">
      <c r="A154" s="719">
        <f t="shared" si="11"/>
        <v>40786</v>
      </c>
      <c r="B154" s="720">
        <f t="shared" si="10"/>
        <v>2012</v>
      </c>
      <c r="C154" s="794">
        <v>93.9</v>
      </c>
      <c r="D154" s="794">
        <v>236.1</v>
      </c>
      <c r="E154" s="794">
        <v>93.8</v>
      </c>
      <c r="F154" s="721" t="str">
        <f>IF($A154&lt;DATE(2018,7,1),"-",INDEX('I1 - Universal Data'!$E$16:$V$16, MATCH(YEAR(EOMONTH($A154,6)), 'I1 - Universal Data'!$E$14:$V$14, 0)))</f>
        <v>-</v>
      </c>
      <c r="G154" s="721" t="str">
        <f>IF($A154&lt;DATE(2018,7,1),"-",INDEX('I1 - Universal Data'!$E$15:$V$15, MATCH(YEAR(EOMONTH($A154,6)), 'I1 - Universal Data'!$E$14:$V$14, 0)))</f>
        <v>-</v>
      </c>
      <c r="H154" s="721" t="str">
        <f>IF($A154&lt;DATE(2018,7,1),"-",INDEX('I1 - Universal Data'!$E$17:$V$17, MATCH(YEAR(EOMONTH($A154,6)), 'I1 - Universal Data'!$E$14:$V$14, 0)))</f>
        <v>-</v>
      </c>
      <c r="I154" s="722">
        <f t="shared" si="12"/>
        <v>93.9</v>
      </c>
      <c r="J154" s="722">
        <f t="shared" si="13"/>
        <v>236.1</v>
      </c>
      <c r="K154" s="722">
        <f t="shared" si="14"/>
        <v>93.8</v>
      </c>
      <c r="X154" s="710"/>
    </row>
    <row r="155" spans="1:24">
      <c r="A155" s="719">
        <f t="shared" si="11"/>
        <v>40816</v>
      </c>
      <c r="B155" s="720">
        <f t="shared" si="10"/>
        <v>2012</v>
      </c>
      <c r="C155" s="794">
        <v>94.5</v>
      </c>
      <c r="D155" s="794">
        <v>237.9</v>
      </c>
      <c r="E155" s="794">
        <v>94.4</v>
      </c>
      <c r="F155" s="721" t="str">
        <f>IF($A155&lt;DATE(2018,7,1),"-",INDEX('I1 - Universal Data'!$E$16:$V$16, MATCH(YEAR(EOMONTH($A155,6)), 'I1 - Universal Data'!$E$14:$V$14, 0)))</f>
        <v>-</v>
      </c>
      <c r="G155" s="721" t="str">
        <f>IF($A155&lt;DATE(2018,7,1),"-",INDEX('I1 - Universal Data'!$E$15:$V$15, MATCH(YEAR(EOMONTH($A155,6)), 'I1 - Universal Data'!$E$14:$V$14, 0)))</f>
        <v>-</v>
      </c>
      <c r="H155" s="721" t="str">
        <f>IF($A155&lt;DATE(2018,7,1),"-",INDEX('I1 - Universal Data'!$E$17:$V$17, MATCH(YEAR(EOMONTH($A155,6)), 'I1 - Universal Data'!$E$14:$V$14, 0)))</f>
        <v>-</v>
      </c>
      <c r="I155" s="722">
        <f t="shared" si="12"/>
        <v>94.5</v>
      </c>
      <c r="J155" s="722">
        <f t="shared" si="13"/>
        <v>237.9</v>
      </c>
      <c r="K155" s="722">
        <f t="shared" si="14"/>
        <v>94.4</v>
      </c>
      <c r="X155" s="710"/>
    </row>
    <row r="156" spans="1:24">
      <c r="A156" s="719">
        <f t="shared" si="11"/>
        <v>40847</v>
      </c>
      <c r="B156" s="720">
        <f t="shared" si="10"/>
        <v>2012</v>
      </c>
      <c r="C156" s="794">
        <v>94.5</v>
      </c>
      <c r="D156" s="794">
        <v>238</v>
      </c>
      <c r="E156" s="794">
        <v>94.5</v>
      </c>
      <c r="F156" s="721" t="str">
        <f>IF($A156&lt;DATE(2018,7,1),"-",INDEX('I1 - Universal Data'!$E$16:$V$16, MATCH(YEAR(EOMONTH($A156,6)), 'I1 - Universal Data'!$E$14:$V$14, 0)))</f>
        <v>-</v>
      </c>
      <c r="G156" s="721" t="str">
        <f>IF($A156&lt;DATE(2018,7,1),"-",INDEX('I1 - Universal Data'!$E$15:$V$15, MATCH(YEAR(EOMONTH($A156,6)), 'I1 - Universal Data'!$E$14:$V$14, 0)))</f>
        <v>-</v>
      </c>
      <c r="H156" s="721" t="str">
        <f>IF($A156&lt;DATE(2018,7,1),"-",INDEX('I1 - Universal Data'!$E$17:$V$17, MATCH(YEAR(EOMONTH($A156,6)), 'I1 - Universal Data'!$E$14:$V$14, 0)))</f>
        <v>-</v>
      </c>
      <c r="I156" s="722">
        <f t="shared" si="12"/>
        <v>94.5</v>
      </c>
      <c r="J156" s="722">
        <f t="shared" si="13"/>
        <v>238</v>
      </c>
      <c r="K156" s="722">
        <f t="shared" si="14"/>
        <v>94.5</v>
      </c>
      <c r="X156" s="710"/>
    </row>
    <row r="157" spans="1:24">
      <c r="A157" s="719">
        <f t="shared" si="11"/>
        <v>40877</v>
      </c>
      <c r="B157" s="720">
        <f t="shared" si="10"/>
        <v>2012</v>
      </c>
      <c r="C157" s="794">
        <v>94.7</v>
      </c>
      <c r="D157" s="794">
        <v>238.5</v>
      </c>
      <c r="E157" s="794">
        <v>94.6</v>
      </c>
      <c r="F157" s="721" t="str">
        <f>IF($A157&lt;DATE(2018,7,1),"-",INDEX('I1 - Universal Data'!$E$16:$V$16, MATCH(YEAR(EOMONTH($A157,6)), 'I1 - Universal Data'!$E$14:$V$14, 0)))</f>
        <v>-</v>
      </c>
      <c r="G157" s="721" t="str">
        <f>IF($A157&lt;DATE(2018,7,1),"-",INDEX('I1 - Universal Data'!$E$15:$V$15, MATCH(YEAR(EOMONTH($A157,6)), 'I1 - Universal Data'!$E$14:$V$14, 0)))</f>
        <v>-</v>
      </c>
      <c r="H157" s="721" t="str">
        <f>IF($A157&lt;DATE(2018,7,1),"-",INDEX('I1 - Universal Data'!$E$17:$V$17, MATCH(YEAR(EOMONTH($A157,6)), 'I1 - Universal Data'!$E$14:$V$14, 0)))</f>
        <v>-</v>
      </c>
      <c r="I157" s="722">
        <f t="shared" si="12"/>
        <v>94.7</v>
      </c>
      <c r="J157" s="722">
        <f t="shared" si="13"/>
        <v>238.5</v>
      </c>
      <c r="K157" s="722">
        <f t="shared" si="14"/>
        <v>94.6</v>
      </c>
      <c r="X157" s="710"/>
    </row>
    <row r="158" spans="1:24">
      <c r="A158" s="719">
        <f t="shared" si="11"/>
        <v>40908</v>
      </c>
      <c r="B158" s="720">
        <f t="shared" si="10"/>
        <v>2012</v>
      </c>
      <c r="C158" s="794">
        <v>95</v>
      </c>
      <c r="D158" s="794">
        <v>239.4</v>
      </c>
      <c r="E158" s="794">
        <v>95.1</v>
      </c>
      <c r="F158" s="721" t="str">
        <f>IF($A158&lt;DATE(2018,7,1),"-",INDEX('I1 - Universal Data'!$E$16:$V$16, MATCH(YEAR(EOMONTH($A158,6)), 'I1 - Universal Data'!$E$14:$V$14, 0)))</f>
        <v>-</v>
      </c>
      <c r="G158" s="721" t="str">
        <f>IF($A158&lt;DATE(2018,7,1),"-",INDEX('I1 - Universal Data'!$E$15:$V$15, MATCH(YEAR(EOMONTH($A158,6)), 'I1 - Universal Data'!$E$14:$V$14, 0)))</f>
        <v>-</v>
      </c>
      <c r="H158" s="721" t="str">
        <f>IF($A158&lt;DATE(2018,7,1),"-",INDEX('I1 - Universal Data'!$E$17:$V$17, MATCH(YEAR(EOMONTH($A158,6)), 'I1 - Universal Data'!$E$14:$V$14, 0)))</f>
        <v>-</v>
      </c>
      <c r="I158" s="722">
        <f t="shared" si="12"/>
        <v>95</v>
      </c>
      <c r="J158" s="722">
        <f t="shared" si="13"/>
        <v>239.4</v>
      </c>
      <c r="K158" s="722">
        <f t="shared" si="14"/>
        <v>95.1</v>
      </c>
      <c r="X158" s="710"/>
    </row>
    <row r="159" spans="1:24">
      <c r="A159" s="719">
        <f t="shared" si="11"/>
        <v>40939</v>
      </c>
      <c r="B159" s="720">
        <f t="shared" si="10"/>
        <v>2012</v>
      </c>
      <c r="C159" s="794">
        <v>94.7</v>
      </c>
      <c r="D159" s="794">
        <v>238</v>
      </c>
      <c r="E159" s="794">
        <v>94.6</v>
      </c>
      <c r="F159" s="721" t="str">
        <f>IF($A159&lt;DATE(2018,7,1),"-",INDEX('I1 - Universal Data'!$E$16:$V$16, MATCH(YEAR(EOMONTH($A159,6)), 'I1 - Universal Data'!$E$14:$V$14, 0)))</f>
        <v>-</v>
      </c>
      <c r="G159" s="721" t="str">
        <f>IF($A159&lt;DATE(2018,7,1),"-",INDEX('I1 - Universal Data'!$E$15:$V$15, MATCH(YEAR(EOMONTH($A159,6)), 'I1 - Universal Data'!$E$14:$V$14, 0)))</f>
        <v>-</v>
      </c>
      <c r="H159" s="721" t="str">
        <f>IF($A159&lt;DATE(2018,7,1),"-",INDEX('I1 - Universal Data'!$E$17:$V$17, MATCH(YEAR(EOMONTH($A159,6)), 'I1 - Universal Data'!$E$14:$V$14, 0)))</f>
        <v>-</v>
      </c>
      <c r="I159" s="722">
        <f t="shared" si="12"/>
        <v>94.7</v>
      </c>
      <c r="J159" s="722">
        <f t="shared" si="13"/>
        <v>238</v>
      </c>
      <c r="K159" s="722">
        <f t="shared" si="14"/>
        <v>94.6</v>
      </c>
      <c r="X159" s="710"/>
    </row>
    <row r="160" spans="1:24">
      <c r="A160" s="719">
        <f t="shared" si="11"/>
        <v>40968</v>
      </c>
      <c r="B160" s="720">
        <f t="shared" si="10"/>
        <v>2012</v>
      </c>
      <c r="C160" s="794">
        <v>95.2</v>
      </c>
      <c r="D160" s="794">
        <v>239.9</v>
      </c>
      <c r="E160" s="794">
        <v>95.1</v>
      </c>
      <c r="F160" s="721" t="str">
        <f>IF($A160&lt;DATE(2018,7,1),"-",INDEX('I1 - Universal Data'!$E$16:$V$16, MATCH(YEAR(EOMONTH($A160,6)), 'I1 - Universal Data'!$E$14:$V$14, 0)))</f>
        <v>-</v>
      </c>
      <c r="G160" s="721" t="str">
        <f>IF($A160&lt;DATE(2018,7,1),"-",INDEX('I1 - Universal Data'!$E$15:$V$15, MATCH(YEAR(EOMONTH($A160,6)), 'I1 - Universal Data'!$E$14:$V$14, 0)))</f>
        <v>-</v>
      </c>
      <c r="H160" s="721" t="str">
        <f>IF($A160&lt;DATE(2018,7,1),"-",INDEX('I1 - Universal Data'!$E$17:$V$17, MATCH(YEAR(EOMONTH($A160,6)), 'I1 - Universal Data'!$E$14:$V$14, 0)))</f>
        <v>-</v>
      </c>
      <c r="I160" s="722">
        <f t="shared" si="12"/>
        <v>95.2</v>
      </c>
      <c r="J160" s="722">
        <f t="shared" si="13"/>
        <v>239.9</v>
      </c>
      <c r="K160" s="722">
        <f t="shared" si="14"/>
        <v>95.1</v>
      </c>
      <c r="X160" s="710"/>
    </row>
    <row r="161" spans="1:24">
      <c r="A161" s="719">
        <f t="shared" si="11"/>
        <v>40999</v>
      </c>
      <c r="B161" s="720">
        <f t="shared" si="10"/>
        <v>2012</v>
      </c>
      <c r="C161" s="794">
        <v>95.4</v>
      </c>
      <c r="D161" s="794">
        <v>240.8</v>
      </c>
      <c r="E161" s="794">
        <v>95.4</v>
      </c>
      <c r="F161" s="721" t="str">
        <f>IF($A161&lt;DATE(2018,7,1),"-",INDEX('I1 - Universal Data'!$E$16:$V$16, MATCH(YEAR(EOMONTH($A161,6)), 'I1 - Universal Data'!$E$14:$V$14, 0)))</f>
        <v>-</v>
      </c>
      <c r="G161" s="721" t="str">
        <f>IF($A161&lt;DATE(2018,7,1),"-",INDEX('I1 - Universal Data'!$E$15:$V$15, MATCH(YEAR(EOMONTH($A161,6)), 'I1 - Universal Data'!$E$14:$V$14, 0)))</f>
        <v>-</v>
      </c>
      <c r="H161" s="721" t="str">
        <f>IF($A161&lt;DATE(2018,7,1),"-",INDEX('I1 - Universal Data'!$E$17:$V$17, MATCH(YEAR(EOMONTH($A161,6)), 'I1 - Universal Data'!$E$14:$V$14, 0)))</f>
        <v>-</v>
      </c>
      <c r="I161" s="722">
        <f t="shared" si="12"/>
        <v>95.4</v>
      </c>
      <c r="J161" s="722">
        <f t="shared" si="13"/>
        <v>240.8</v>
      </c>
      <c r="K161" s="722">
        <f t="shared" si="14"/>
        <v>95.4</v>
      </c>
      <c r="X161" s="710"/>
    </row>
    <row r="162" spans="1:24">
      <c r="A162" s="719">
        <f t="shared" si="11"/>
        <v>41029</v>
      </c>
      <c r="B162" s="720">
        <f t="shared" si="10"/>
        <v>2013</v>
      </c>
      <c r="C162" s="794">
        <v>95.9</v>
      </c>
      <c r="D162" s="794">
        <v>242.5</v>
      </c>
      <c r="E162" s="794">
        <v>96</v>
      </c>
      <c r="F162" s="721" t="str">
        <f>IF($A162&lt;DATE(2018,7,1),"-",INDEX('I1 - Universal Data'!$E$16:$V$16, MATCH(YEAR(EOMONTH($A162,6)), 'I1 - Universal Data'!$E$14:$V$14, 0)))</f>
        <v>-</v>
      </c>
      <c r="G162" s="721" t="str">
        <f>IF($A162&lt;DATE(2018,7,1),"-",INDEX('I1 - Universal Data'!$E$15:$V$15, MATCH(YEAR(EOMONTH($A162,6)), 'I1 - Universal Data'!$E$14:$V$14, 0)))</f>
        <v>-</v>
      </c>
      <c r="H162" s="721" t="str">
        <f>IF($A162&lt;DATE(2018,7,1),"-",INDEX('I1 - Universal Data'!$E$17:$V$17, MATCH(YEAR(EOMONTH($A162,6)), 'I1 - Universal Data'!$E$14:$V$14, 0)))</f>
        <v>-</v>
      </c>
      <c r="I162" s="722">
        <f t="shared" si="12"/>
        <v>95.9</v>
      </c>
      <c r="J162" s="722">
        <f t="shared" si="13"/>
        <v>242.5</v>
      </c>
      <c r="K162" s="722">
        <f t="shared" si="14"/>
        <v>96</v>
      </c>
      <c r="X162" s="710"/>
    </row>
    <row r="163" spans="1:24">
      <c r="A163" s="719">
        <f t="shared" si="11"/>
        <v>41060</v>
      </c>
      <c r="B163" s="720">
        <f t="shared" si="10"/>
        <v>2013</v>
      </c>
      <c r="C163" s="794">
        <v>95.9</v>
      </c>
      <c r="D163" s="794">
        <v>242.4</v>
      </c>
      <c r="E163" s="794">
        <v>95.9</v>
      </c>
      <c r="F163" s="721" t="str">
        <f>IF($A163&lt;DATE(2018,7,1),"-",INDEX('I1 - Universal Data'!$E$16:$V$16, MATCH(YEAR(EOMONTH($A163,6)), 'I1 - Universal Data'!$E$14:$V$14, 0)))</f>
        <v>-</v>
      </c>
      <c r="G163" s="721" t="str">
        <f>IF($A163&lt;DATE(2018,7,1),"-",INDEX('I1 - Universal Data'!$E$15:$V$15, MATCH(YEAR(EOMONTH($A163,6)), 'I1 - Universal Data'!$E$14:$V$14, 0)))</f>
        <v>-</v>
      </c>
      <c r="H163" s="721" t="str">
        <f>IF($A163&lt;DATE(2018,7,1),"-",INDEX('I1 - Universal Data'!$E$17:$V$17, MATCH(YEAR(EOMONTH($A163,6)), 'I1 - Universal Data'!$E$14:$V$14, 0)))</f>
        <v>-</v>
      </c>
      <c r="I163" s="722">
        <f t="shared" si="12"/>
        <v>95.9</v>
      </c>
      <c r="J163" s="722">
        <f t="shared" si="13"/>
        <v>242.4</v>
      </c>
      <c r="K163" s="722">
        <f t="shared" si="14"/>
        <v>95.9</v>
      </c>
      <c r="X163" s="710"/>
    </row>
    <row r="164" spans="1:24">
      <c r="A164" s="719">
        <f t="shared" si="11"/>
        <v>41090</v>
      </c>
      <c r="B164" s="720">
        <f t="shared" si="10"/>
        <v>2013</v>
      </c>
      <c r="C164" s="794">
        <v>95.6</v>
      </c>
      <c r="D164" s="794">
        <v>241.8</v>
      </c>
      <c r="E164" s="794">
        <v>95.5</v>
      </c>
      <c r="F164" s="721" t="str">
        <f>IF($A164&lt;DATE(2018,7,1),"-",INDEX('I1 - Universal Data'!$E$16:$V$16, MATCH(YEAR(EOMONTH($A164,6)), 'I1 - Universal Data'!$E$14:$V$14, 0)))</f>
        <v>-</v>
      </c>
      <c r="G164" s="721" t="str">
        <f>IF($A164&lt;DATE(2018,7,1),"-",INDEX('I1 - Universal Data'!$E$15:$V$15, MATCH(YEAR(EOMONTH($A164,6)), 'I1 - Universal Data'!$E$14:$V$14, 0)))</f>
        <v>-</v>
      </c>
      <c r="H164" s="721" t="str">
        <f>IF($A164&lt;DATE(2018,7,1),"-",INDEX('I1 - Universal Data'!$E$17:$V$17, MATCH(YEAR(EOMONTH($A164,6)), 'I1 - Universal Data'!$E$14:$V$14, 0)))</f>
        <v>-</v>
      </c>
      <c r="I164" s="722">
        <f t="shared" si="12"/>
        <v>95.6</v>
      </c>
      <c r="J164" s="722">
        <f t="shared" si="13"/>
        <v>241.8</v>
      </c>
      <c r="K164" s="722">
        <f t="shared" si="14"/>
        <v>95.5</v>
      </c>
      <c r="X164" s="710"/>
    </row>
    <row r="165" spans="1:24">
      <c r="A165" s="719">
        <f t="shared" si="11"/>
        <v>41121</v>
      </c>
      <c r="B165" s="720">
        <f t="shared" si="10"/>
        <v>2013</v>
      </c>
      <c r="C165" s="794">
        <v>95.7</v>
      </c>
      <c r="D165" s="794">
        <v>242.1</v>
      </c>
      <c r="E165" s="794">
        <v>95.6</v>
      </c>
      <c r="F165" s="721" t="str">
        <f>IF($A165&lt;DATE(2018,7,1),"-",INDEX('I1 - Universal Data'!$E$16:$V$16, MATCH(YEAR(EOMONTH($A165,6)), 'I1 - Universal Data'!$E$14:$V$14, 0)))</f>
        <v>-</v>
      </c>
      <c r="G165" s="721" t="str">
        <f>IF($A165&lt;DATE(2018,7,1),"-",INDEX('I1 - Universal Data'!$E$15:$V$15, MATCH(YEAR(EOMONTH($A165,6)), 'I1 - Universal Data'!$E$14:$V$14, 0)))</f>
        <v>-</v>
      </c>
      <c r="H165" s="721" t="str">
        <f>IF($A165&lt;DATE(2018,7,1),"-",INDEX('I1 - Universal Data'!$E$17:$V$17, MATCH(YEAR(EOMONTH($A165,6)), 'I1 - Universal Data'!$E$14:$V$14, 0)))</f>
        <v>-</v>
      </c>
      <c r="I165" s="722">
        <f t="shared" si="12"/>
        <v>95.7</v>
      </c>
      <c r="J165" s="722">
        <f t="shared" si="13"/>
        <v>242.1</v>
      </c>
      <c r="K165" s="722">
        <f t="shared" si="14"/>
        <v>95.6</v>
      </c>
      <c r="X165" s="710"/>
    </row>
    <row r="166" spans="1:24">
      <c r="A166" s="719">
        <f t="shared" si="11"/>
        <v>41152</v>
      </c>
      <c r="B166" s="720">
        <f t="shared" si="10"/>
        <v>2013</v>
      </c>
      <c r="C166" s="794">
        <v>96.1</v>
      </c>
      <c r="D166" s="794">
        <v>243</v>
      </c>
      <c r="E166" s="794">
        <v>96.1</v>
      </c>
      <c r="F166" s="721" t="str">
        <f>IF($A166&lt;DATE(2018,7,1),"-",INDEX('I1 - Universal Data'!$E$16:$V$16, MATCH(YEAR(EOMONTH($A166,6)), 'I1 - Universal Data'!$E$14:$V$14, 0)))</f>
        <v>-</v>
      </c>
      <c r="G166" s="721" t="str">
        <f>IF($A166&lt;DATE(2018,7,1),"-",INDEX('I1 - Universal Data'!$E$15:$V$15, MATCH(YEAR(EOMONTH($A166,6)), 'I1 - Universal Data'!$E$14:$V$14, 0)))</f>
        <v>-</v>
      </c>
      <c r="H166" s="721" t="str">
        <f>IF($A166&lt;DATE(2018,7,1),"-",INDEX('I1 - Universal Data'!$E$17:$V$17, MATCH(YEAR(EOMONTH($A166,6)), 'I1 - Universal Data'!$E$14:$V$14, 0)))</f>
        <v>-</v>
      </c>
      <c r="I166" s="722">
        <f t="shared" si="12"/>
        <v>96.1</v>
      </c>
      <c r="J166" s="722">
        <f t="shared" si="13"/>
        <v>243</v>
      </c>
      <c r="K166" s="722">
        <f t="shared" si="14"/>
        <v>96.1</v>
      </c>
      <c r="X166" s="710"/>
    </row>
    <row r="167" spans="1:24">
      <c r="A167" s="719">
        <f t="shared" si="11"/>
        <v>41182</v>
      </c>
      <c r="B167" s="720">
        <f t="shared" si="10"/>
        <v>2013</v>
      </c>
      <c r="C167" s="794">
        <v>96.4</v>
      </c>
      <c r="D167" s="794">
        <v>244.2</v>
      </c>
      <c r="E167" s="794">
        <v>96.5</v>
      </c>
      <c r="F167" s="721" t="str">
        <f>IF($A167&lt;DATE(2018,7,1),"-",INDEX('I1 - Universal Data'!$E$16:$V$16, MATCH(YEAR(EOMONTH($A167,6)), 'I1 - Universal Data'!$E$14:$V$14, 0)))</f>
        <v>-</v>
      </c>
      <c r="G167" s="721" t="str">
        <f>IF($A167&lt;DATE(2018,7,1),"-",INDEX('I1 - Universal Data'!$E$15:$V$15, MATCH(YEAR(EOMONTH($A167,6)), 'I1 - Universal Data'!$E$14:$V$14, 0)))</f>
        <v>-</v>
      </c>
      <c r="H167" s="721" t="str">
        <f>IF($A167&lt;DATE(2018,7,1),"-",INDEX('I1 - Universal Data'!$E$17:$V$17, MATCH(YEAR(EOMONTH($A167,6)), 'I1 - Universal Data'!$E$14:$V$14, 0)))</f>
        <v>-</v>
      </c>
      <c r="I167" s="722">
        <f t="shared" si="12"/>
        <v>96.4</v>
      </c>
      <c r="J167" s="722">
        <f t="shared" si="13"/>
        <v>244.2</v>
      </c>
      <c r="K167" s="722">
        <f t="shared" si="14"/>
        <v>96.5</v>
      </c>
      <c r="X167" s="710"/>
    </row>
    <row r="168" spans="1:24">
      <c r="A168" s="719">
        <f t="shared" si="11"/>
        <v>41213</v>
      </c>
      <c r="B168" s="720">
        <f t="shared" si="10"/>
        <v>2013</v>
      </c>
      <c r="C168" s="794">
        <v>96.8</v>
      </c>
      <c r="D168" s="794">
        <v>245.6</v>
      </c>
      <c r="E168" s="794">
        <v>97</v>
      </c>
      <c r="F168" s="721" t="str">
        <f>IF($A168&lt;DATE(2018,7,1),"-",INDEX('I1 - Universal Data'!$E$16:$V$16, MATCH(YEAR(EOMONTH($A168,6)), 'I1 - Universal Data'!$E$14:$V$14, 0)))</f>
        <v>-</v>
      </c>
      <c r="G168" s="721" t="str">
        <f>IF($A168&lt;DATE(2018,7,1),"-",INDEX('I1 - Universal Data'!$E$15:$V$15, MATCH(YEAR(EOMONTH($A168,6)), 'I1 - Universal Data'!$E$14:$V$14, 0)))</f>
        <v>-</v>
      </c>
      <c r="H168" s="721" t="str">
        <f>IF($A168&lt;DATE(2018,7,1),"-",INDEX('I1 - Universal Data'!$E$17:$V$17, MATCH(YEAR(EOMONTH($A168,6)), 'I1 - Universal Data'!$E$14:$V$14, 0)))</f>
        <v>-</v>
      </c>
      <c r="I168" s="722">
        <f t="shared" si="12"/>
        <v>96.8</v>
      </c>
      <c r="J168" s="722">
        <f t="shared" si="13"/>
        <v>245.6</v>
      </c>
      <c r="K168" s="722">
        <f t="shared" si="14"/>
        <v>97</v>
      </c>
      <c r="X168" s="710"/>
    </row>
    <row r="169" spans="1:24">
      <c r="A169" s="719">
        <f t="shared" si="11"/>
        <v>41243</v>
      </c>
      <c r="B169" s="720">
        <f t="shared" si="10"/>
        <v>2013</v>
      </c>
      <c r="C169" s="794">
        <v>97</v>
      </c>
      <c r="D169" s="794">
        <v>245.6</v>
      </c>
      <c r="E169" s="794">
        <v>97.2</v>
      </c>
      <c r="F169" s="721" t="str">
        <f>IF($A169&lt;DATE(2018,7,1),"-",INDEX('I1 - Universal Data'!$E$16:$V$16, MATCH(YEAR(EOMONTH($A169,6)), 'I1 - Universal Data'!$E$14:$V$14, 0)))</f>
        <v>-</v>
      </c>
      <c r="G169" s="721" t="str">
        <f>IF($A169&lt;DATE(2018,7,1),"-",INDEX('I1 - Universal Data'!$E$15:$V$15, MATCH(YEAR(EOMONTH($A169,6)), 'I1 - Universal Data'!$E$14:$V$14, 0)))</f>
        <v>-</v>
      </c>
      <c r="H169" s="721" t="str">
        <f>IF($A169&lt;DATE(2018,7,1),"-",INDEX('I1 - Universal Data'!$E$17:$V$17, MATCH(YEAR(EOMONTH($A169,6)), 'I1 - Universal Data'!$E$14:$V$14, 0)))</f>
        <v>-</v>
      </c>
      <c r="I169" s="722">
        <f t="shared" si="12"/>
        <v>97</v>
      </c>
      <c r="J169" s="722">
        <f t="shared" si="13"/>
        <v>245.6</v>
      </c>
      <c r="K169" s="722">
        <f t="shared" si="14"/>
        <v>97.2</v>
      </c>
      <c r="X169" s="710"/>
    </row>
    <row r="170" spans="1:24">
      <c r="A170" s="719">
        <f t="shared" si="11"/>
        <v>41274</v>
      </c>
      <c r="B170" s="720">
        <f t="shared" si="10"/>
        <v>2013</v>
      </c>
      <c r="C170" s="794">
        <v>97.3</v>
      </c>
      <c r="D170" s="794">
        <v>246.8</v>
      </c>
      <c r="E170" s="794">
        <v>97.6</v>
      </c>
      <c r="F170" s="721" t="str">
        <f>IF($A170&lt;DATE(2018,7,1),"-",INDEX('I1 - Universal Data'!$E$16:$V$16, MATCH(YEAR(EOMONTH($A170,6)), 'I1 - Universal Data'!$E$14:$V$14, 0)))</f>
        <v>-</v>
      </c>
      <c r="G170" s="721" t="str">
        <f>IF($A170&lt;DATE(2018,7,1),"-",INDEX('I1 - Universal Data'!$E$15:$V$15, MATCH(YEAR(EOMONTH($A170,6)), 'I1 - Universal Data'!$E$14:$V$14, 0)))</f>
        <v>-</v>
      </c>
      <c r="H170" s="721" t="str">
        <f>IF($A170&lt;DATE(2018,7,1),"-",INDEX('I1 - Universal Data'!$E$17:$V$17, MATCH(YEAR(EOMONTH($A170,6)), 'I1 - Universal Data'!$E$14:$V$14, 0)))</f>
        <v>-</v>
      </c>
      <c r="I170" s="722">
        <f t="shared" si="12"/>
        <v>97.3</v>
      </c>
      <c r="J170" s="722">
        <f t="shared" si="13"/>
        <v>246.8</v>
      </c>
      <c r="K170" s="722">
        <f t="shared" si="14"/>
        <v>97.6</v>
      </c>
      <c r="X170" s="710"/>
    </row>
    <row r="171" spans="1:24">
      <c r="A171" s="719">
        <f t="shared" si="11"/>
        <v>41305</v>
      </c>
      <c r="B171" s="720">
        <f t="shared" si="10"/>
        <v>2013</v>
      </c>
      <c r="C171" s="794">
        <v>97</v>
      </c>
      <c r="D171" s="794">
        <v>245.8</v>
      </c>
      <c r="E171" s="794">
        <v>97.1</v>
      </c>
      <c r="F171" s="721" t="str">
        <f>IF($A171&lt;DATE(2018,7,1),"-",INDEX('I1 - Universal Data'!$E$16:$V$16, MATCH(YEAR(EOMONTH($A171,6)), 'I1 - Universal Data'!$E$14:$V$14, 0)))</f>
        <v>-</v>
      </c>
      <c r="G171" s="721" t="str">
        <f>IF($A171&lt;DATE(2018,7,1),"-",INDEX('I1 - Universal Data'!$E$15:$V$15, MATCH(YEAR(EOMONTH($A171,6)), 'I1 - Universal Data'!$E$14:$V$14, 0)))</f>
        <v>-</v>
      </c>
      <c r="H171" s="721" t="str">
        <f>IF($A171&lt;DATE(2018,7,1),"-",INDEX('I1 - Universal Data'!$E$17:$V$17, MATCH(YEAR(EOMONTH($A171,6)), 'I1 - Universal Data'!$E$14:$V$14, 0)))</f>
        <v>-</v>
      </c>
      <c r="I171" s="722">
        <f t="shared" si="12"/>
        <v>97</v>
      </c>
      <c r="J171" s="722">
        <f t="shared" si="13"/>
        <v>245.8</v>
      </c>
      <c r="K171" s="722">
        <f t="shared" si="14"/>
        <v>97.1</v>
      </c>
      <c r="X171" s="710"/>
    </row>
    <row r="172" spans="1:24">
      <c r="A172" s="719">
        <f t="shared" si="11"/>
        <v>41333</v>
      </c>
      <c r="B172" s="720">
        <f t="shared" si="10"/>
        <v>2013</v>
      </c>
      <c r="C172" s="794">
        <v>97.5</v>
      </c>
      <c r="D172" s="794">
        <v>247.6</v>
      </c>
      <c r="E172" s="794">
        <v>97.8</v>
      </c>
      <c r="F172" s="721" t="str">
        <f>IF($A172&lt;DATE(2018,7,1),"-",INDEX('I1 - Universal Data'!$E$16:$V$16, MATCH(YEAR(EOMONTH($A172,6)), 'I1 - Universal Data'!$E$14:$V$14, 0)))</f>
        <v>-</v>
      </c>
      <c r="G172" s="721" t="str">
        <f>IF($A172&lt;DATE(2018,7,1),"-",INDEX('I1 - Universal Data'!$E$15:$V$15, MATCH(YEAR(EOMONTH($A172,6)), 'I1 - Universal Data'!$E$14:$V$14, 0)))</f>
        <v>-</v>
      </c>
      <c r="H172" s="721" t="str">
        <f>IF($A172&lt;DATE(2018,7,1),"-",INDEX('I1 - Universal Data'!$E$17:$V$17, MATCH(YEAR(EOMONTH($A172,6)), 'I1 - Universal Data'!$E$14:$V$14, 0)))</f>
        <v>-</v>
      </c>
      <c r="I172" s="722">
        <f t="shared" si="12"/>
        <v>97.5</v>
      </c>
      <c r="J172" s="722">
        <f t="shared" si="13"/>
        <v>247.6</v>
      </c>
      <c r="K172" s="722">
        <f t="shared" si="14"/>
        <v>97.8</v>
      </c>
      <c r="X172" s="710"/>
    </row>
    <row r="173" spans="1:24">
      <c r="A173" s="719">
        <f t="shared" si="11"/>
        <v>41364</v>
      </c>
      <c r="B173" s="720">
        <f t="shared" si="10"/>
        <v>2013</v>
      </c>
      <c r="C173" s="794">
        <v>97.8</v>
      </c>
      <c r="D173" s="794">
        <v>248.7</v>
      </c>
      <c r="E173" s="794">
        <v>98.1</v>
      </c>
      <c r="F173" s="721" t="str">
        <f>IF($A173&lt;DATE(2018,7,1),"-",INDEX('I1 - Universal Data'!$E$16:$V$16, MATCH(YEAR(EOMONTH($A173,6)), 'I1 - Universal Data'!$E$14:$V$14, 0)))</f>
        <v>-</v>
      </c>
      <c r="G173" s="721" t="str">
        <f>IF($A173&lt;DATE(2018,7,1),"-",INDEX('I1 - Universal Data'!$E$15:$V$15, MATCH(YEAR(EOMONTH($A173,6)), 'I1 - Universal Data'!$E$14:$V$14, 0)))</f>
        <v>-</v>
      </c>
      <c r="H173" s="721" t="str">
        <f>IF($A173&lt;DATE(2018,7,1),"-",INDEX('I1 - Universal Data'!$E$17:$V$17, MATCH(YEAR(EOMONTH($A173,6)), 'I1 - Universal Data'!$E$14:$V$14, 0)))</f>
        <v>-</v>
      </c>
      <c r="I173" s="722">
        <f t="shared" si="12"/>
        <v>97.8</v>
      </c>
      <c r="J173" s="722">
        <f t="shared" si="13"/>
        <v>248.7</v>
      </c>
      <c r="K173" s="722">
        <f t="shared" si="14"/>
        <v>98.1</v>
      </c>
      <c r="X173" s="710"/>
    </row>
    <row r="174" spans="1:24">
      <c r="A174" s="719">
        <f t="shared" si="11"/>
        <v>41394</v>
      </c>
      <c r="B174" s="720">
        <f t="shared" si="10"/>
        <v>2014</v>
      </c>
      <c r="C174" s="794">
        <v>98</v>
      </c>
      <c r="D174" s="794">
        <v>249.5</v>
      </c>
      <c r="E174" s="794">
        <v>98.3</v>
      </c>
      <c r="F174" s="721" t="str">
        <f>IF($A174&lt;DATE(2018,7,1),"-",INDEX('I1 - Universal Data'!$E$16:$V$16, MATCH(YEAR(EOMONTH($A174,6)), 'I1 - Universal Data'!$E$14:$V$14, 0)))</f>
        <v>-</v>
      </c>
      <c r="G174" s="721" t="str">
        <f>IF($A174&lt;DATE(2018,7,1),"-",INDEX('I1 - Universal Data'!$E$15:$V$15, MATCH(YEAR(EOMONTH($A174,6)), 'I1 - Universal Data'!$E$14:$V$14, 0)))</f>
        <v>-</v>
      </c>
      <c r="H174" s="721" t="str">
        <f>IF($A174&lt;DATE(2018,7,1),"-",INDEX('I1 - Universal Data'!$E$17:$V$17, MATCH(YEAR(EOMONTH($A174,6)), 'I1 - Universal Data'!$E$14:$V$14, 0)))</f>
        <v>-</v>
      </c>
      <c r="I174" s="722">
        <f t="shared" si="12"/>
        <v>98</v>
      </c>
      <c r="J174" s="722">
        <f t="shared" si="13"/>
        <v>249.5</v>
      </c>
      <c r="K174" s="722">
        <f t="shared" si="14"/>
        <v>98.3</v>
      </c>
      <c r="X174" s="710"/>
    </row>
    <row r="175" spans="1:24">
      <c r="A175" s="719">
        <f t="shared" si="11"/>
        <v>41425</v>
      </c>
      <c r="B175" s="720">
        <f t="shared" si="10"/>
        <v>2014</v>
      </c>
      <c r="C175" s="794">
        <v>98.2</v>
      </c>
      <c r="D175" s="794">
        <v>250</v>
      </c>
      <c r="E175" s="794">
        <v>98.5</v>
      </c>
      <c r="F175" s="721" t="str">
        <f>IF($A175&lt;DATE(2018,7,1),"-",INDEX('I1 - Universal Data'!$E$16:$V$16, MATCH(YEAR(EOMONTH($A175,6)), 'I1 - Universal Data'!$E$14:$V$14, 0)))</f>
        <v>-</v>
      </c>
      <c r="G175" s="721" t="str">
        <f>IF($A175&lt;DATE(2018,7,1),"-",INDEX('I1 - Universal Data'!$E$15:$V$15, MATCH(YEAR(EOMONTH($A175,6)), 'I1 - Universal Data'!$E$14:$V$14, 0)))</f>
        <v>-</v>
      </c>
      <c r="H175" s="721" t="str">
        <f>IF($A175&lt;DATE(2018,7,1),"-",INDEX('I1 - Universal Data'!$E$17:$V$17, MATCH(YEAR(EOMONTH($A175,6)), 'I1 - Universal Data'!$E$14:$V$14, 0)))</f>
        <v>-</v>
      </c>
      <c r="I175" s="722">
        <f t="shared" si="12"/>
        <v>98.2</v>
      </c>
      <c r="J175" s="722">
        <f t="shared" si="13"/>
        <v>250</v>
      </c>
      <c r="K175" s="722">
        <f t="shared" si="14"/>
        <v>98.5</v>
      </c>
      <c r="X175" s="710"/>
    </row>
    <row r="176" spans="1:24">
      <c r="A176" s="719">
        <f t="shared" si="11"/>
        <v>41455</v>
      </c>
      <c r="B176" s="720">
        <f t="shared" si="10"/>
        <v>2014</v>
      </c>
      <c r="C176" s="794">
        <v>98</v>
      </c>
      <c r="D176" s="794">
        <v>249.7</v>
      </c>
      <c r="E176" s="794">
        <v>98.3</v>
      </c>
      <c r="F176" s="721" t="str">
        <f>IF($A176&lt;DATE(2018,7,1),"-",INDEX('I1 - Universal Data'!$E$16:$V$16, MATCH(YEAR(EOMONTH($A176,6)), 'I1 - Universal Data'!$E$14:$V$14, 0)))</f>
        <v>-</v>
      </c>
      <c r="G176" s="721" t="str">
        <f>IF($A176&lt;DATE(2018,7,1),"-",INDEX('I1 - Universal Data'!$E$15:$V$15, MATCH(YEAR(EOMONTH($A176,6)), 'I1 - Universal Data'!$E$14:$V$14, 0)))</f>
        <v>-</v>
      </c>
      <c r="H176" s="721" t="str">
        <f>IF($A176&lt;DATE(2018,7,1),"-",INDEX('I1 - Universal Data'!$E$17:$V$17, MATCH(YEAR(EOMONTH($A176,6)), 'I1 - Universal Data'!$E$14:$V$14, 0)))</f>
        <v>-</v>
      </c>
      <c r="I176" s="722">
        <f t="shared" si="12"/>
        <v>98</v>
      </c>
      <c r="J176" s="722">
        <f t="shared" si="13"/>
        <v>249.7</v>
      </c>
      <c r="K176" s="722">
        <f t="shared" si="14"/>
        <v>98.3</v>
      </c>
      <c r="X176" s="710"/>
    </row>
    <row r="177" spans="1:24">
      <c r="A177" s="719">
        <f t="shared" si="11"/>
        <v>41486</v>
      </c>
      <c r="B177" s="720">
        <f t="shared" si="10"/>
        <v>2014</v>
      </c>
      <c r="C177" s="794">
        <v>98</v>
      </c>
      <c r="D177" s="794">
        <v>249.7</v>
      </c>
      <c r="E177" s="794">
        <v>98.3</v>
      </c>
      <c r="F177" s="721" t="str">
        <f>IF($A177&lt;DATE(2018,7,1),"-",INDEX('I1 - Universal Data'!$E$16:$V$16, MATCH(YEAR(EOMONTH($A177,6)), 'I1 - Universal Data'!$E$14:$V$14, 0)))</f>
        <v>-</v>
      </c>
      <c r="G177" s="721" t="str">
        <f>IF($A177&lt;DATE(2018,7,1),"-",INDEX('I1 - Universal Data'!$E$15:$V$15, MATCH(YEAR(EOMONTH($A177,6)), 'I1 - Universal Data'!$E$14:$V$14, 0)))</f>
        <v>-</v>
      </c>
      <c r="H177" s="721" t="str">
        <f>IF($A177&lt;DATE(2018,7,1),"-",INDEX('I1 - Universal Data'!$E$17:$V$17, MATCH(YEAR(EOMONTH($A177,6)), 'I1 - Universal Data'!$E$14:$V$14, 0)))</f>
        <v>-</v>
      </c>
      <c r="I177" s="722">
        <f t="shared" si="12"/>
        <v>98</v>
      </c>
      <c r="J177" s="722">
        <f t="shared" si="13"/>
        <v>249.7</v>
      </c>
      <c r="K177" s="722">
        <f t="shared" si="14"/>
        <v>98.3</v>
      </c>
      <c r="X177" s="710"/>
    </row>
    <row r="178" spans="1:24">
      <c r="A178" s="719">
        <f t="shared" si="11"/>
        <v>41517</v>
      </c>
      <c r="B178" s="720">
        <f t="shared" si="10"/>
        <v>2014</v>
      </c>
      <c r="C178" s="794">
        <v>98.4</v>
      </c>
      <c r="D178" s="794">
        <v>251</v>
      </c>
      <c r="E178" s="794">
        <v>98.7</v>
      </c>
      <c r="F178" s="721" t="str">
        <f>IF($A178&lt;DATE(2018,7,1),"-",INDEX('I1 - Universal Data'!$E$16:$V$16, MATCH(YEAR(EOMONTH($A178,6)), 'I1 - Universal Data'!$E$14:$V$14, 0)))</f>
        <v>-</v>
      </c>
      <c r="G178" s="721" t="str">
        <f>IF($A178&lt;DATE(2018,7,1),"-",INDEX('I1 - Universal Data'!$E$15:$V$15, MATCH(YEAR(EOMONTH($A178,6)), 'I1 - Universal Data'!$E$14:$V$14, 0)))</f>
        <v>-</v>
      </c>
      <c r="H178" s="721" t="str">
        <f>IF($A178&lt;DATE(2018,7,1),"-",INDEX('I1 - Universal Data'!$E$17:$V$17, MATCH(YEAR(EOMONTH($A178,6)), 'I1 - Universal Data'!$E$14:$V$14, 0)))</f>
        <v>-</v>
      </c>
      <c r="I178" s="722">
        <f t="shared" si="12"/>
        <v>98.4</v>
      </c>
      <c r="J178" s="722">
        <f t="shared" si="13"/>
        <v>251</v>
      </c>
      <c r="K178" s="722">
        <f t="shared" si="14"/>
        <v>98.7</v>
      </c>
      <c r="X178" s="710"/>
    </row>
    <row r="179" spans="1:24">
      <c r="A179" s="719">
        <f t="shared" si="11"/>
        <v>41547</v>
      </c>
      <c r="B179" s="720">
        <f t="shared" si="10"/>
        <v>2014</v>
      </c>
      <c r="C179" s="794">
        <v>98.7</v>
      </c>
      <c r="D179" s="794">
        <v>251.9</v>
      </c>
      <c r="E179" s="794">
        <v>99.1</v>
      </c>
      <c r="F179" s="721" t="str">
        <f>IF($A179&lt;DATE(2018,7,1),"-",INDEX('I1 - Universal Data'!$E$16:$V$16, MATCH(YEAR(EOMONTH($A179,6)), 'I1 - Universal Data'!$E$14:$V$14, 0)))</f>
        <v>-</v>
      </c>
      <c r="G179" s="721" t="str">
        <f>IF($A179&lt;DATE(2018,7,1),"-",INDEX('I1 - Universal Data'!$E$15:$V$15, MATCH(YEAR(EOMONTH($A179,6)), 'I1 - Universal Data'!$E$14:$V$14, 0)))</f>
        <v>-</v>
      </c>
      <c r="H179" s="721" t="str">
        <f>IF($A179&lt;DATE(2018,7,1),"-",INDEX('I1 - Universal Data'!$E$17:$V$17, MATCH(YEAR(EOMONTH($A179,6)), 'I1 - Universal Data'!$E$14:$V$14, 0)))</f>
        <v>-</v>
      </c>
      <c r="I179" s="722">
        <f t="shared" si="12"/>
        <v>98.7</v>
      </c>
      <c r="J179" s="722">
        <f t="shared" si="13"/>
        <v>251.9</v>
      </c>
      <c r="K179" s="722">
        <f t="shared" si="14"/>
        <v>99.1</v>
      </c>
      <c r="X179" s="710"/>
    </row>
    <row r="180" spans="1:24">
      <c r="A180" s="719">
        <f t="shared" si="11"/>
        <v>41578</v>
      </c>
      <c r="B180" s="720">
        <f t="shared" si="10"/>
        <v>2014</v>
      </c>
      <c r="C180" s="794">
        <v>98.8</v>
      </c>
      <c r="D180" s="794">
        <v>251.9</v>
      </c>
      <c r="E180" s="794">
        <v>99.1</v>
      </c>
      <c r="F180" s="721" t="str">
        <f>IF($A180&lt;DATE(2018,7,1),"-",INDEX('I1 - Universal Data'!$E$16:$V$16, MATCH(YEAR(EOMONTH($A180,6)), 'I1 - Universal Data'!$E$14:$V$14, 0)))</f>
        <v>-</v>
      </c>
      <c r="G180" s="721" t="str">
        <f>IF($A180&lt;DATE(2018,7,1),"-",INDEX('I1 - Universal Data'!$E$15:$V$15, MATCH(YEAR(EOMONTH($A180,6)), 'I1 - Universal Data'!$E$14:$V$14, 0)))</f>
        <v>-</v>
      </c>
      <c r="H180" s="721" t="str">
        <f>IF($A180&lt;DATE(2018,7,1),"-",INDEX('I1 - Universal Data'!$E$17:$V$17, MATCH(YEAR(EOMONTH($A180,6)), 'I1 - Universal Data'!$E$14:$V$14, 0)))</f>
        <v>-</v>
      </c>
      <c r="I180" s="722">
        <f t="shared" si="12"/>
        <v>98.8</v>
      </c>
      <c r="J180" s="722">
        <f t="shared" si="13"/>
        <v>251.9</v>
      </c>
      <c r="K180" s="722">
        <f t="shared" si="14"/>
        <v>99.1</v>
      </c>
      <c r="X180" s="710"/>
    </row>
    <row r="181" spans="1:24">
      <c r="A181" s="719">
        <f t="shared" si="11"/>
        <v>41608</v>
      </c>
      <c r="B181" s="720">
        <f t="shared" si="10"/>
        <v>2014</v>
      </c>
      <c r="C181" s="794">
        <v>98.8</v>
      </c>
      <c r="D181" s="794">
        <v>252.1</v>
      </c>
      <c r="E181" s="794">
        <v>99.2</v>
      </c>
      <c r="F181" s="721" t="str">
        <f>IF($A181&lt;DATE(2018,7,1),"-",INDEX('I1 - Universal Data'!$E$16:$V$16, MATCH(YEAR(EOMONTH($A181,6)), 'I1 - Universal Data'!$E$14:$V$14, 0)))</f>
        <v>-</v>
      </c>
      <c r="G181" s="721" t="str">
        <f>IF($A181&lt;DATE(2018,7,1),"-",INDEX('I1 - Universal Data'!$E$15:$V$15, MATCH(YEAR(EOMONTH($A181,6)), 'I1 - Universal Data'!$E$14:$V$14, 0)))</f>
        <v>-</v>
      </c>
      <c r="H181" s="721" t="str">
        <f>IF($A181&lt;DATE(2018,7,1),"-",INDEX('I1 - Universal Data'!$E$17:$V$17, MATCH(YEAR(EOMONTH($A181,6)), 'I1 - Universal Data'!$E$14:$V$14, 0)))</f>
        <v>-</v>
      </c>
      <c r="I181" s="722">
        <f t="shared" si="12"/>
        <v>98.8</v>
      </c>
      <c r="J181" s="722">
        <f t="shared" si="13"/>
        <v>252.1</v>
      </c>
      <c r="K181" s="722">
        <f t="shared" si="14"/>
        <v>99.2</v>
      </c>
      <c r="X181" s="710"/>
    </row>
    <row r="182" spans="1:24">
      <c r="A182" s="719">
        <f t="shared" si="11"/>
        <v>41639</v>
      </c>
      <c r="B182" s="720">
        <f t="shared" si="10"/>
        <v>2014</v>
      </c>
      <c r="C182" s="794">
        <v>99.2</v>
      </c>
      <c r="D182" s="794">
        <v>253.4</v>
      </c>
      <c r="E182" s="794">
        <v>99.6</v>
      </c>
      <c r="F182" s="721" t="str">
        <f>IF($A182&lt;DATE(2018,7,1),"-",INDEX('I1 - Universal Data'!$E$16:$V$16, MATCH(YEAR(EOMONTH($A182,6)), 'I1 - Universal Data'!$E$14:$V$14, 0)))</f>
        <v>-</v>
      </c>
      <c r="G182" s="721" t="str">
        <f>IF($A182&lt;DATE(2018,7,1),"-",INDEX('I1 - Universal Data'!$E$15:$V$15, MATCH(YEAR(EOMONTH($A182,6)), 'I1 - Universal Data'!$E$14:$V$14, 0)))</f>
        <v>-</v>
      </c>
      <c r="H182" s="721" t="str">
        <f>IF($A182&lt;DATE(2018,7,1),"-",INDEX('I1 - Universal Data'!$E$17:$V$17, MATCH(YEAR(EOMONTH($A182,6)), 'I1 - Universal Data'!$E$14:$V$14, 0)))</f>
        <v>-</v>
      </c>
      <c r="I182" s="722">
        <f t="shared" si="12"/>
        <v>99.2</v>
      </c>
      <c r="J182" s="722">
        <f t="shared" si="13"/>
        <v>253.4</v>
      </c>
      <c r="K182" s="722">
        <f t="shared" si="14"/>
        <v>99.6</v>
      </c>
      <c r="X182" s="710"/>
    </row>
    <row r="183" spans="1:24">
      <c r="A183" s="719">
        <f t="shared" si="11"/>
        <v>41670</v>
      </c>
      <c r="B183" s="720">
        <f t="shared" si="10"/>
        <v>2014</v>
      </c>
      <c r="C183" s="794">
        <v>98.7</v>
      </c>
      <c r="D183" s="794">
        <v>252.6</v>
      </c>
      <c r="E183" s="794">
        <v>99</v>
      </c>
      <c r="F183" s="721" t="str">
        <f>IF($A183&lt;DATE(2018,7,1),"-",INDEX('I1 - Universal Data'!$E$16:$V$16, MATCH(YEAR(EOMONTH($A183,6)), 'I1 - Universal Data'!$E$14:$V$14, 0)))</f>
        <v>-</v>
      </c>
      <c r="G183" s="721" t="str">
        <f>IF($A183&lt;DATE(2018,7,1),"-",INDEX('I1 - Universal Data'!$E$15:$V$15, MATCH(YEAR(EOMONTH($A183,6)), 'I1 - Universal Data'!$E$14:$V$14, 0)))</f>
        <v>-</v>
      </c>
      <c r="H183" s="721" t="str">
        <f>IF($A183&lt;DATE(2018,7,1),"-",INDEX('I1 - Universal Data'!$E$17:$V$17, MATCH(YEAR(EOMONTH($A183,6)), 'I1 - Universal Data'!$E$14:$V$14, 0)))</f>
        <v>-</v>
      </c>
      <c r="I183" s="722">
        <f t="shared" si="12"/>
        <v>98.7</v>
      </c>
      <c r="J183" s="722">
        <f t="shared" si="13"/>
        <v>252.6</v>
      </c>
      <c r="K183" s="722">
        <f t="shared" si="14"/>
        <v>99</v>
      </c>
      <c r="X183" s="710"/>
    </row>
    <row r="184" spans="1:24">
      <c r="A184" s="719">
        <f t="shared" si="11"/>
        <v>41698</v>
      </c>
      <c r="B184" s="720">
        <f t="shared" si="10"/>
        <v>2014</v>
      </c>
      <c r="C184" s="794">
        <v>99.1</v>
      </c>
      <c r="D184" s="794">
        <v>254.2</v>
      </c>
      <c r="E184" s="794">
        <v>99.5</v>
      </c>
      <c r="F184" s="721" t="str">
        <f>IF($A184&lt;DATE(2018,7,1),"-",INDEX('I1 - Universal Data'!$E$16:$V$16, MATCH(YEAR(EOMONTH($A184,6)), 'I1 - Universal Data'!$E$14:$V$14, 0)))</f>
        <v>-</v>
      </c>
      <c r="G184" s="721" t="str">
        <f>IF($A184&lt;DATE(2018,7,1),"-",INDEX('I1 - Universal Data'!$E$15:$V$15, MATCH(YEAR(EOMONTH($A184,6)), 'I1 - Universal Data'!$E$14:$V$14, 0)))</f>
        <v>-</v>
      </c>
      <c r="H184" s="721" t="str">
        <f>IF($A184&lt;DATE(2018,7,1),"-",INDEX('I1 - Universal Data'!$E$17:$V$17, MATCH(YEAR(EOMONTH($A184,6)), 'I1 - Universal Data'!$E$14:$V$14, 0)))</f>
        <v>-</v>
      </c>
      <c r="I184" s="722">
        <f t="shared" si="12"/>
        <v>99.1</v>
      </c>
      <c r="J184" s="722">
        <f t="shared" si="13"/>
        <v>254.2</v>
      </c>
      <c r="K184" s="722">
        <f t="shared" si="14"/>
        <v>99.5</v>
      </c>
      <c r="X184" s="710"/>
    </row>
    <row r="185" spans="1:24">
      <c r="A185" s="719">
        <f t="shared" si="11"/>
        <v>41729</v>
      </c>
      <c r="B185" s="720">
        <f t="shared" si="10"/>
        <v>2014</v>
      </c>
      <c r="C185" s="794">
        <v>99.3</v>
      </c>
      <c r="D185" s="794">
        <v>254.8</v>
      </c>
      <c r="E185" s="794">
        <v>99.7</v>
      </c>
      <c r="F185" s="721" t="str">
        <f>IF($A185&lt;DATE(2018,7,1),"-",INDEX('I1 - Universal Data'!$E$16:$V$16, MATCH(YEAR(EOMONTH($A185,6)), 'I1 - Universal Data'!$E$14:$V$14, 0)))</f>
        <v>-</v>
      </c>
      <c r="G185" s="721" t="str">
        <f>IF($A185&lt;DATE(2018,7,1),"-",INDEX('I1 - Universal Data'!$E$15:$V$15, MATCH(YEAR(EOMONTH($A185,6)), 'I1 - Universal Data'!$E$14:$V$14, 0)))</f>
        <v>-</v>
      </c>
      <c r="H185" s="721" t="str">
        <f>IF($A185&lt;DATE(2018,7,1),"-",INDEX('I1 - Universal Data'!$E$17:$V$17, MATCH(YEAR(EOMONTH($A185,6)), 'I1 - Universal Data'!$E$14:$V$14, 0)))</f>
        <v>-</v>
      </c>
      <c r="I185" s="722">
        <f t="shared" si="12"/>
        <v>99.3</v>
      </c>
      <c r="J185" s="722">
        <f t="shared" si="13"/>
        <v>254.8</v>
      </c>
      <c r="K185" s="722">
        <f t="shared" si="14"/>
        <v>99.7</v>
      </c>
      <c r="X185" s="710"/>
    </row>
    <row r="186" spans="1:24">
      <c r="A186" s="719">
        <f t="shared" si="11"/>
        <v>41759</v>
      </c>
      <c r="B186" s="720">
        <f t="shared" si="10"/>
        <v>2015</v>
      </c>
      <c r="C186" s="794">
        <v>99.6</v>
      </c>
      <c r="D186" s="794">
        <v>255.7</v>
      </c>
      <c r="E186" s="794">
        <v>100.1</v>
      </c>
      <c r="F186" s="721" t="str">
        <f>IF($A186&lt;DATE(2018,7,1),"-",INDEX('I1 - Universal Data'!$E$16:$V$16, MATCH(YEAR(EOMONTH($A186,6)), 'I1 - Universal Data'!$E$14:$V$14, 0)))</f>
        <v>-</v>
      </c>
      <c r="G186" s="721" t="str">
        <f>IF($A186&lt;DATE(2018,7,1),"-",INDEX('I1 - Universal Data'!$E$15:$V$15, MATCH(YEAR(EOMONTH($A186,6)), 'I1 - Universal Data'!$E$14:$V$14, 0)))</f>
        <v>-</v>
      </c>
      <c r="H186" s="721" t="str">
        <f>IF($A186&lt;DATE(2018,7,1),"-",INDEX('I1 - Universal Data'!$E$17:$V$17, MATCH(YEAR(EOMONTH($A186,6)), 'I1 - Universal Data'!$E$14:$V$14, 0)))</f>
        <v>-</v>
      </c>
      <c r="I186" s="722">
        <f t="shared" si="12"/>
        <v>99.6</v>
      </c>
      <c r="J186" s="722">
        <f t="shared" si="13"/>
        <v>255.7</v>
      </c>
      <c r="K186" s="722">
        <f t="shared" si="14"/>
        <v>100.1</v>
      </c>
      <c r="X186" s="710"/>
    </row>
    <row r="187" spans="1:24">
      <c r="A187" s="719">
        <f t="shared" si="11"/>
        <v>41790</v>
      </c>
      <c r="B187" s="720">
        <f t="shared" si="10"/>
        <v>2015</v>
      </c>
      <c r="C187" s="794">
        <v>99.6</v>
      </c>
      <c r="D187" s="794">
        <v>255.9</v>
      </c>
      <c r="E187" s="794">
        <v>100</v>
      </c>
      <c r="F187" s="721" t="str">
        <f>IF($A187&lt;DATE(2018,7,1),"-",INDEX('I1 - Universal Data'!$E$16:$V$16, MATCH(YEAR(EOMONTH($A187,6)), 'I1 - Universal Data'!$E$14:$V$14, 0)))</f>
        <v>-</v>
      </c>
      <c r="G187" s="721" t="str">
        <f>IF($A187&lt;DATE(2018,7,1),"-",INDEX('I1 - Universal Data'!$E$15:$V$15, MATCH(YEAR(EOMONTH($A187,6)), 'I1 - Universal Data'!$E$14:$V$14, 0)))</f>
        <v>-</v>
      </c>
      <c r="H187" s="721" t="str">
        <f>IF($A187&lt;DATE(2018,7,1),"-",INDEX('I1 - Universal Data'!$E$17:$V$17, MATCH(YEAR(EOMONTH($A187,6)), 'I1 - Universal Data'!$E$14:$V$14, 0)))</f>
        <v>-</v>
      </c>
      <c r="I187" s="722">
        <f t="shared" si="12"/>
        <v>99.6</v>
      </c>
      <c r="J187" s="722">
        <f t="shared" si="13"/>
        <v>255.9</v>
      </c>
      <c r="K187" s="722">
        <f t="shared" si="14"/>
        <v>100</v>
      </c>
      <c r="X187" s="710"/>
    </row>
    <row r="188" spans="1:24">
      <c r="A188" s="719">
        <f t="shared" si="11"/>
        <v>41820</v>
      </c>
      <c r="B188" s="720">
        <f t="shared" si="10"/>
        <v>2015</v>
      </c>
      <c r="C188" s="794">
        <v>99.8</v>
      </c>
      <c r="D188" s="794">
        <v>256.3</v>
      </c>
      <c r="E188" s="794">
        <v>100.2</v>
      </c>
      <c r="F188" s="721" t="str">
        <f>IF($A188&lt;DATE(2018,7,1),"-",INDEX('I1 - Universal Data'!$E$16:$V$16, MATCH(YEAR(EOMONTH($A188,6)), 'I1 - Universal Data'!$E$14:$V$14, 0)))</f>
        <v>-</v>
      </c>
      <c r="G188" s="721" t="str">
        <f>IF($A188&lt;DATE(2018,7,1),"-",INDEX('I1 - Universal Data'!$E$15:$V$15, MATCH(YEAR(EOMONTH($A188,6)), 'I1 - Universal Data'!$E$14:$V$14, 0)))</f>
        <v>-</v>
      </c>
      <c r="H188" s="721" t="str">
        <f>IF($A188&lt;DATE(2018,7,1),"-",INDEX('I1 - Universal Data'!$E$17:$V$17, MATCH(YEAR(EOMONTH($A188,6)), 'I1 - Universal Data'!$E$14:$V$14, 0)))</f>
        <v>-</v>
      </c>
      <c r="I188" s="722">
        <f t="shared" si="12"/>
        <v>99.8</v>
      </c>
      <c r="J188" s="722">
        <f t="shared" si="13"/>
        <v>256.3</v>
      </c>
      <c r="K188" s="722">
        <f t="shared" si="14"/>
        <v>100.2</v>
      </c>
      <c r="X188" s="710"/>
    </row>
    <row r="189" spans="1:24">
      <c r="A189" s="719">
        <f t="shared" si="11"/>
        <v>41851</v>
      </c>
      <c r="B189" s="720">
        <f t="shared" si="10"/>
        <v>2015</v>
      </c>
      <c r="C189" s="794">
        <v>99.6</v>
      </c>
      <c r="D189" s="794">
        <v>256</v>
      </c>
      <c r="E189" s="794">
        <v>99.9</v>
      </c>
      <c r="F189" s="721" t="str">
        <f>IF($A189&lt;DATE(2018,7,1),"-",INDEX('I1 - Universal Data'!$E$16:$V$16, MATCH(YEAR(EOMONTH($A189,6)), 'I1 - Universal Data'!$E$14:$V$14, 0)))</f>
        <v>-</v>
      </c>
      <c r="G189" s="721" t="str">
        <f>IF($A189&lt;DATE(2018,7,1),"-",INDEX('I1 - Universal Data'!$E$15:$V$15, MATCH(YEAR(EOMONTH($A189,6)), 'I1 - Universal Data'!$E$14:$V$14, 0)))</f>
        <v>-</v>
      </c>
      <c r="H189" s="721" t="str">
        <f>IF($A189&lt;DATE(2018,7,1),"-",INDEX('I1 - Universal Data'!$E$17:$V$17, MATCH(YEAR(EOMONTH($A189,6)), 'I1 - Universal Data'!$E$14:$V$14, 0)))</f>
        <v>-</v>
      </c>
      <c r="I189" s="722">
        <f t="shared" si="12"/>
        <v>99.6</v>
      </c>
      <c r="J189" s="722">
        <f t="shared" si="13"/>
        <v>256</v>
      </c>
      <c r="K189" s="722">
        <f t="shared" si="14"/>
        <v>99.9</v>
      </c>
      <c r="X189" s="710"/>
    </row>
    <row r="190" spans="1:24">
      <c r="A190" s="719">
        <f t="shared" si="11"/>
        <v>41882</v>
      </c>
      <c r="B190" s="720">
        <f t="shared" si="10"/>
        <v>2015</v>
      </c>
      <c r="C190" s="794">
        <v>99.9</v>
      </c>
      <c r="D190" s="794">
        <v>257</v>
      </c>
      <c r="E190" s="794">
        <v>100.2</v>
      </c>
      <c r="F190" s="721" t="str">
        <f>IF($A190&lt;DATE(2018,7,1),"-",INDEX('I1 - Universal Data'!$E$16:$V$16, MATCH(YEAR(EOMONTH($A190,6)), 'I1 - Universal Data'!$E$14:$V$14, 0)))</f>
        <v>-</v>
      </c>
      <c r="G190" s="721" t="str">
        <f>IF($A190&lt;DATE(2018,7,1),"-",INDEX('I1 - Universal Data'!$E$15:$V$15, MATCH(YEAR(EOMONTH($A190,6)), 'I1 - Universal Data'!$E$14:$V$14, 0)))</f>
        <v>-</v>
      </c>
      <c r="H190" s="721" t="str">
        <f>IF($A190&lt;DATE(2018,7,1),"-",INDEX('I1 - Universal Data'!$E$17:$V$17, MATCH(YEAR(EOMONTH($A190,6)), 'I1 - Universal Data'!$E$14:$V$14, 0)))</f>
        <v>-</v>
      </c>
      <c r="I190" s="722">
        <f t="shared" si="12"/>
        <v>99.9</v>
      </c>
      <c r="J190" s="722">
        <f t="shared" si="13"/>
        <v>257</v>
      </c>
      <c r="K190" s="722">
        <f t="shared" si="14"/>
        <v>100.2</v>
      </c>
      <c r="X190" s="710"/>
    </row>
    <row r="191" spans="1:24">
      <c r="A191" s="719">
        <f t="shared" si="11"/>
        <v>41912</v>
      </c>
      <c r="B191" s="720">
        <f t="shared" si="10"/>
        <v>2015</v>
      </c>
      <c r="C191" s="794">
        <v>100</v>
      </c>
      <c r="D191" s="794">
        <v>257.60000000000002</v>
      </c>
      <c r="E191" s="794">
        <v>100.3</v>
      </c>
      <c r="F191" s="721" t="str">
        <f>IF($A191&lt;DATE(2018,7,1),"-",INDEX('I1 - Universal Data'!$E$16:$V$16, MATCH(YEAR(EOMONTH($A191,6)), 'I1 - Universal Data'!$E$14:$V$14, 0)))</f>
        <v>-</v>
      </c>
      <c r="G191" s="721" t="str">
        <f>IF($A191&lt;DATE(2018,7,1),"-",INDEX('I1 - Universal Data'!$E$15:$V$15, MATCH(YEAR(EOMONTH($A191,6)), 'I1 - Universal Data'!$E$14:$V$14, 0)))</f>
        <v>-</v>
      </c>
      <c r="H191" s="721" t="str">
        <f>IF($A191&lt;DATE(2018,7,1),"-",INDEX('I1 - Universal Data'!$E$17:$V$17, MATCH(YEAR(EOMONTH($A191,6)), 'I1 - Universal Data'!$E$14:$V$14, 0)))</f>
        <v>-</v>
      </c>
      <c r="I191" s="722">
        <f t="shared" si="12"/>
        <v>100</v>
      </c>
      <c r="J191" s="722">
        <f t="shared" si="13"/>
        <v>257.60000000000002</v>
      </c>
      <c r="K191" s="722">
        <f t="shared" si="14"/>
        <v>100.3</v>
      </c>
      <c r="X191" s="710"/>
    </row>
    <row r="192" spans="1:24">
      <c r="A192" s="719">
        <f t="shared" si="11"/>
        <v>41943</v>
      </c>
      <c r="B192" s="720">
        <f t="shared" si="10"/>
        <v>2015</v>
      </c>
      <c r="C192" s="794">
        <v>100.1</v>
      </c>
      <c r="D192" s="794">
        <v>257.7</v>
      </c>
      <c r="E192" s="794">
        <v>100.4</v>
      </c>
      <c r="F192" s="721" t="str">
        <f>IF($A192&lt;DATE(2018,7,1),"-",INDEX('I1 - Universal Data'!$E$16:$V$16, MATCH(YEAR(EOMONTH($A192,6)), 'I1 - Universal Data'!$E$14:$V$14, 0)))</f>
        <v>-</v>
      </c>
      <c r="G192" s="721" t="str">
        <f>IF($A192&lt;DATE(2018,7,1),"-",INDEX('I1 - Universal Data'!$E$15:$V$15, MATCH(YEAR(EOMONTH($A192,6)), 'I1 - Universal Data'!$E$14:$V$14, 0)))</f>
        <v>-</v>
      </c>
      <c r="H192" s="721" t="str">
        <f>IF($A192&lt;DATE(2018,7,1),"-",INDEX('I1 - Universal Data'!$E$17:$V$17, MATCH(YEAR(EOMONTH($A192,6)), 'I1 - Universal Data'!$E$14:$V$14, 0)))</f>
        <v>-</v>
      </c>
      <c r="I192" s="722">
        <f t="shared" si="12"/>
        <v>100.1</v>
      </c>
      <c r="J192" s="722">
        <f t="shared" si="13"/>
        <v>257.7</v>
      </c>
      <c r="K192" s="722">
        <f t="shared" si="14"/>
        <v>100.4</v>
      </c>
      <c r="X192" s="710"/>
    </row>
    <row r="193" spans="1:24">
      <c r="A193" s="719">
        <f t="shared" si="11"/>
        <v>41973</v>
      </c>
      <c r="B193" s="720">
        <f t="shared" si="10"/>
        <v>2015</v>
      </c>
      <c r="C193" s="794">
        <v>99.9</v>
      </c>
      <c r="D193" s="794">
        <v>257.10000000000002</v>
      </c>
      <c r="E193" s="794">
        <v>100.1</v>
      </c>
      <c r="F193" s="721" t="str">
        <f>IF($A193&lt;DATE(2018,7,1),"-",INDEX('I1 - Universal Data'!$E$16:$V$16, MATCH(YEAR(EOMONTH($A193,6)), 'I1 - Universal Data'!$E$14:$V$14, 0)))</f>
        <v>-</v>
      </c>
      <c r="G193" s="721" t="str">
        <f>IF($A193&lt;DATE(2018,7,1),"-",INDEX('I1 - Universal Data'!$E$15:$V$15, MATCH(YEAR(EOMONTH($A193,6)), 'I1 - Universal Data'!$E$14:$V$14, 0)))</f>
        <v>-</v>
      </c>
      <c r="H193" s="721" t="str">
        <f>IF($A193&lt;DATE(2018,7,1),"-",INDEX('I1 - Universal Data'!$E$17:$V$17, MATCH(YEAR(EOMONTH($A193,6)), 'I1 - Universal Data'!$E$14:$V$14, 0)))</f>
        <v>-</v>
      </c>
      <c r="I193" s="722">
        <f t="shared" si="12"/>
        <v>99.9</v>
      </c>
      <c r="J193" s="722">
        <f t="shared" si="13"/>
        <v>257.10000000000002</v>
      </c>
      <c r="K193" s="722">
        <f t="shared" si="14"/>
        <v>100.1</v>
      </c>
      <c r="X193" s="710"/>
    </row>
    <row r="194" spans="1:24">
      <c r="A194" s="719">
        <f t="shared" si="11"/>
        <v>42004</v>
      </c>
      <c r="B194" s="720">
        <f t="shared" si="10"/>
        <v>2015</v>
      </c>
      <c r="C194" s="794">
        <v>99.9</v>
      </c>
      <c r="D194" s="794">
        <v>257.5</v>
      </c>
      <c r="E194" s="794">
        <v>100.1</v>
      </c>
      <c r="F194" s="721" t="str">
        <f>IF($A194&lt;DATE(2018,7,1),"-",INDEX('I1 - Universal Data'!$E$16:$V$16, MATCH(YEAR(EOMONTH($A194,6)), 'I1 - Universal Data'!$E$14:$V$14, 0)))</f>
        <v>-</v>
      </c>
      <c r="G194" s="721" t="str">
        <f>IF($A194&lt;DATE(2018,7,1),"-",INDEX('I1 - Universal Data'!$E$15:$V$15, MATCH(YEAR(EOMONTH($A194,6)), 'I1 - Universal Data'!$E$14:$V$14, 0)))</f>
        <v>-</v>
      </c>
      <c r="H194" s="721" t="str">
        <f>IF($A194&lt;DATE(2018,7,1),"-",INDEX('I1 - Universal Data'!$E$17:$V$17, MATCH(YEAR(EOMONTH($A194,6)), 'I1 - Universal Data'!$E$14:$V$14, 0)))</f>
        <v>-</v>
      </c>
      <c r="I194" s="722">
        <f t="shared" si="12"/>
        <v>99.9</v>
      </c>
      <c r="J194" s="722">
        <f t="shared" si="13"/>
        <v>257.5</v>
      </c>
      <c r="K194" s="722">
        <f t="shared" si="14"/>
        <v>100.1</v>
      </c>
      <c r="X194" s="710"/>
    </row>
    <row r="195" spans="1:24">
      <c r="A195" s="719">
        <f t="shared" si="11"/>
        <v>42035</v>
      </c>
      <c r="B195" s="720">
        <f t="shared" si="10"/>
        <v>2015</v>
      </c>
      <c r="C195" s="794">
        <v>99.2</v>
      </c>
      <c r="D195" s="794">
        <v>255.4</v>
      </c>
      <c r="E195" s="794">
        <v>99.3</v>
      </c>
      <c r="F195" s="721" t="str">
        <f>IF($A195&lt;DATE(2018,7,1),"-",INDEX('I1 - Universal Data'!$E$16:$V$16, MATCH(YEAR(EOMONTH($A195,6)), 'I1 - Universal Data'!$E$14:$V$14, 0)))</f>
        <v>-</v>
      </c>
      <c r="G195" s="721" t="str">
        <f>IF($A195&lt;DATE(2018,7,1),"-",INDEX('I1 - Universal Data'!$E$15:$V$15, MATCH(YEAR(EOMONTH($A195,6)), 'I1 - Universal Data'!$E$14:$V$14, 0)))</f>
        <v>-</v>
      </c>
      <c r="H195" s="721" t="str">
        <f>IF($A195&lt;DATE(2018,7,1),"-",INDEX('I1 - Universal Data'!$E$17:$V$17, MATCH(YEAR(EOMONTH($A195,6)), 'I1 - Universal Data'!$E$14:$V$14, 0)))</f>
        <v>-</v>
      </c>
      <c r="I195" s="722">
        <f t="shared" si="12"/>
        <v>99.2</v>
      </c>
      <c r="J195" s="722">
        <f t="shared" si="13"/>
        <v>255.4</v>
      </c>
      <c r="K195" s="722">
        <f t="shared" si="14"/>
        <v>99.3</v>
      </c>
      <c r="X195" s="710"/>
    </row>
    <row r="196" spans="1:24">
      <c r="A196" s="719">
        <f t="shared" si="11"/>
        <v>42063</v>
      </c>
      <c r="B196" s="720">
        <f t="shared" si="10"/>
        <v>2015</v>
      </c>
      <c r="C196" s="794">
        <v>99.5</v>
      </c>
      <c r="D196" s="794">
        <v>256.7</v>
      </c>
      <c r="E196" s="794">
        <v>99.5</v>
      </c>
      <c r="F196" s="721" t="str">
        <f>IF($A196&lt;DATE(2018,7,1),"-",INDEX('I1 - Universal Data'!$E$16:$V$16, MATCH(YEAR(EOMONTH($A196,6)), 'I1 - Universal Data'!$E$14:$V$14, 0)))</f>
        <v>-</v>
      </c>
      <c r="G196" s="721" t="str">
        <f>IF($A196&lt;DATE(2018,7,1),"-",INDEX('I1 - Universal Data'!$E$15:$V$15, MATCH(YEAR(EOMONTH($A196,6)), 'I1 - Universal Data'!$E$14:$V$14, 0)))</f>
        <v>-</v>
      </c>
      <c r="H196" s="721" t="str">
        <f>IF($A196&lt;DATE(2018,7,1),"-",INDEX('I1 - Universal Data'!$E$17:$V$17, MATCH(YEAR(EOMONTH($A196,6)), 'I1 - Universal Data'!$E$14:$V$14, 0)))</f>
        <v>-</v>
      </c>
      <c r="I196" s="722">
        <f t="shared" si="12"/>
        <v>99.5</v>
      </c>
      <c r="J196" s="722">
        <f t="shared" si="13"/>
        <v>256.7</v>
      </c>
      <c r="K196" s="722">
        <f t="shared" si="14"/>
        <v>99.5</v>
      </c>
      <c r="X196" s="710"/>
    </row>
    <row r="197" spans="1:24">
      <c r="A197" s="719">
        <f t="shared" si="11"/>
        <v>42094</v>
      </c>
      <c r="B197" s="720">
        <f t="shared" si="10"/>
        <v>2015</v>
      </c>
      <c r="C197" s="794">
        <v>99.6</v>
      </c>
      <c r="D197" s="794">
        <v>257.10000000000002</v>
      </c>
      <c r="E197" s="794">
        <v>99.7</v>
      </c>
      <c r="F197" s="721" t="str">
        <f>IF($A197&lt;DATE(2018,7,1),"-",INDEX('I1 - Universal Data'!$E$16:$V$16, MATCH(YEAR(EOMONTH($A197,6)), 'I1 - Universal Data'!$E$14:$V$14, 0)))</f>
        <v>-</v>
      </c>
      <c r="G197" s="721" t="str">
        <f>IF($A197&lt;DATE(2018,7,1),"-",INDEX('I1 - Universal Data'!$E$15:$V$15, MATCH(YEAR(EOMONTH($A197,6)), 'I1 - Universal Data'!$E$14:$V$14, 0)))</f>
        <v>-</v>
      </c>
      <c r="H197" s="721" t="str">
        <f>IF($A197&lt;DATE(2018,7,1),"-",INDEX('I1 - Universal Data'!$E$17:$V$17, MATCH(YEAR(EOMONTH($A197,6)), 'I1 - Universal Data'!$E$14:$V$14, 0)))</f>
        <v>-</v>
      </c>
      <c r="I197" s="722">
        <f t="shared" si="12"/>
        <v>99.6</v>
      </c>
      <c r="J197" s="722">
        <f t="shared" si="13"/>
        <v>257.10000000000002</v>
      </c>
      <c r="K197" s="722">
        <f t="shared" si="14"/>
        <v>99.7</v>
      </c>
      <c r="X197" s="710"/>
    </row>
    <row r="198" spans="1:24">
      <c r="A198" s="719">
        <f t="shared" si="11"/>
        <v>42124</v>
      </c>
      <c r="B198" s="720">
        <f t="shared" ref="B198:B261" si="15">IF(MONTH(A198)&gt;=4,YEAR(A198)+1,YEAR(A198))</f>
        <v>2016</v>
      </c>
      <c r="C198" s="794">
        <v>99.9</v>
      </c>
      <c r="D198" s="794">
        <v>258</v>
      </c>
      <c r="E198" s="794">
        <v>99.9</v>
      </c>
      <c r="F198" s="721" t="str">
        <f>IF($A198&lt;DATE(2018,7,1),"-",INDEX('I1 - Universal Data'!$E$16:$V$16, MATCH(YEAR(EOMONTH($A198,6)), 'I1 - Universal Data'!$E$14:$V$14, 0)))</f>
        <v>-</v>
      </c>
      <c r="G198" s="721" t="str">
        <f>IF($A198&lt;DATE(2018,7,1),"-",INDEX('I1 - Universal Data'!$E$15:$V$15, MATCH(YEAR(EOMONTH($A198,6)), 'I1 - Universal Data'!$E$14:$V$14, 0)))</f>
        <v>-</v>
      </c>
      <c r="H198" s="721" t="str">
        <f>IF($A198&lt;DATE(2018,7,1),"-",INDEX('I1 - Universal Data'!$E$17:$V$17, MATCH(YEAR(EOMONTH($A198,6)), 'I1 - Universal Data'!$E$14:$V$14, 0)))</f>
        <v>-</v>
      </c>
      <c r="I198" s="722">
        <f t="shared" si="12"/>
        <v>99.9</v>
      </c>
      <c r="J198" s="722">
        <f t="shared" si="13"/>
        <v>258</v>
      </c>
      <c r="K198" s="722">
        <f t="shared" si="14"/>
        <v>99.9</v>
      </c>
      <c r="X198" s="710"/>
    </row>
    <row r="199" spans="1:24">
      <c r="A199" s="719">
        <f t="shared" ref="A199:A262" si="16">IF(MONTH(A198) = 12, EOMONTH(DATE(YEAR(A198) + 1, 1, 1), 0), EOMONTH(DATE(YEAR(A198), MONTH(A198) + 1, 1), 0))</f>
        <v>42155</v>
      </c>
      <c r="B199" s="720">
        <f t="shared" si="15"/>
        <v>2016</v>
      </c>
      <c r="C199" s="794">
        <v>100.1</v>
      </c>
      <c r="D199" s="794">
        <v>258.5</v>
      </c>
      <c r="E199" s="794">
        <v>100.1</v>
      </c>
      <c r="F199" s="721" t="str">
        <f>IF($A199&lt;DATE(2018,7,1),"-",INDEX('I1 - Universal Data'!$E$16:$V$16, MATCH(YEAR(EOMONTH($A199,6)), 'I1 - Universal Data'!$E$14:$V$14, 0)))</f>
        <v>-</v>
      </c>
      <c r="G199" s="721" t="str">
        <f>IF($A199&lt;DATE(2018,7,1),"-",INDEX('I1 - Universal Data'!$E$15:$V$15, MATCH(YEAR(EOMONTH($A199,6)), 'I1 - Universal Data'!$E$14:$V$14, 0)))</f>
        <v>-</v>
      </c>
      <c r="H199" s="721" t="str">
        <f>IF($A199&lt;DATE(2018,7,1),"-",INDEX('I1 - Universal Data'!$E$17:$V$17, MATCH(YEAR(EOMONTH($A199,6)), 'I1 - Universal Data'!$E$14:$V$14, 0)))</f>
        <v>-</v>
      </c>
      <c r="I199" s="722">
        <f t="shared" ref="I199:I262" si="17">IF(ISBLANK(C199),I198*((1+F199)^(1/12)),C199)</f>
        <v>100.1</v>
      </c>
      <c r="J199" s="722">
        <f t="shared" ref="J199:J262" si="18">IF(ISBLANK(D199),J198*((1+G199)^(1/12)),D199)</f>
        <v>258.5</v>
      </c>
      <c r="K199" s="722">
        <f t="shared" ref="K199:K262" si="19">IF(ISBLANK(E199),K198*((1+H199)^(1/12)),E199)</f>
        <v>100.1</v>
      </c>
      <c r="X199" s="710"/>
    </row>
    <row r="200" spans="1:24">
      <c r="A200" s="719">
        <f t="shared" si="16"/>
        <v>42185</v>
      </c>
      <c r="B200" s="720">
        <f t="shared" si="15"/>
        <v>2016</v>
      </c>
      <c r="C200" s="794">
        <v>100.1</v>
      </c>
      <c r="D200" s="794">
        <v>258.89999999999998</v>
      </c>
      <c r="E200" s="794">
        <v>100.2</v>
      </c>
      <c r="F200" s="721" t="str">
        <f>IF($A200&lt;DATE(2018,7,1),"-",INDEX('I1 - Universal Data'!$E$16:$V$16, MATCH(YEAR(EOMONTH($A200,6)), 'I1 - Universal Data'!$E$14:$V$14, 0)))</f>
        <v>-</v>
      </c>
      <c r="G200" s="721" t="str">
        <f>IF($A200&lt;DATE(2018,7,1),"-",INDEX('I1 - Universal Data'!$E$15:$V$15, MATCH(YEAR(EOMONTH($A200,6)), 'I1 - Universal Data'!$E$14:$V$14, 0)))</f>
        <v>-</v>
      </c>
      <c r="H200" s="721" t="str">
        <f>IF($A200&lt;DATE(2018,7,1),"-",INDEX('I1 - Universal Data'!$E$17:$V$17, MATCH(YEAR(EOMONTH($A200,6)), 'I1 - Universal Data'!$E$14:$V$14, 0)))</f>
        <v>-</v>
      </c>
      <c r="I200" s="722">
        <f t="shared" si="17"/>
        <v>100.1</v>
      </c>
      <c r="J200" s="722">
        <f t="shared" si="18"/>
        <v>258.89999999999998</v>
      </c>
      <c r="K200" s="722">
        <f t="shared" si="19"/>
        <v>100.2</v>
      </c>
      <c r="X200" s="710"/>
    </row>
    <row r="201" spans="1:24">
      <c r="A201" s="719">
        <f t="shared" si="16"/>
        <v>42216</v>
      </c>
      <c r="B201" s="720">
        <f t="shared" si="15"/>
        <v>2016</v>
      </c>
      <c r="C201" s="794">
        <v>100</v>
      </c>
      <c r="D201" s="794">
        <v>258.60000000000002</v>
      </c>
      <c r="E201" s="794">
        <v>100</v>
      </c>
      <c r="F201" s="721" t="str">
        <f>IF($A201&lt;DATE(2018,7,1),"-",INDEX('I1 - Universal Data'!$E$16:$V$16, MATCH(YEAR(EOMONTH($A201,6)), 'I1 - Universal Data'!$E$14:$V$14, 0)))</f>
        <v>-</v>
      </c>
      <c r="G201" s="721" t="str">
        <f>IF($A201&lt;DATE(2018,7,1),"-",INDEX('I1 - Universal Data'!$E$15:$V$15, MATCH(YEAR(EOMONTH($A201,6)), 'I1 - Universal Data'!$E$14:$V$14, 0)))</f>
        <v>-</v>
      </c>
      <c r="H201" s="721" t="str">
        <f>IF($A201&lt;DATE(2018,7,1),"-",INDEX('I1 - Universal Data'!$E$17:$V$17, MATCH(YEAR(EOMONTH($A201,6)), 'I1 - Universal Data'!$E$14:$V$14, 0)))</f>
        <v>-</v>
      </c>
      <c r="I201" s="722">
        <f t="shared" si="17"/>
        <v>100</v>
      </c>
      <c r="J201" s="722">
        <f t="shared" si="18"/>
        <v>258.60000000000002</v>
      </c>
      <c r="K201" s="722">
        <f t="shared" si="19"/>
        <v>100</v>
      </c>
      <c r="X201" s="710"/>
    </row>
    <row r="202" spans="1:24">
      <c r="A202" s="719">
        <f t="shared" si="16"/>
        <v>42247</v>
      </c>
      <c r="B202" s="720">
        <f t="shared" si="15"/>
        <v>2016</v>
      </c>
      <c r="C202" s="794">
        <v>100.3</v>
      </c>
      <c r="D202" s="794">
        <v>259.8</v>
      </c>
      <c r="E202" s="794">
        <v>100.3</v>
      </c>
      <c r="F202" s="721" t="str">
        <f>IF($A202&lt;DATE(2018,7,1),"-",INDEX('I1 - Universal Data'!$E$16:$V$16, MATCH(YEAR(EOMONTH($A202,6)), 'I1 - Universal Data'!$E$14:$V$14, 0)))</f>
        <v>-</v>
      </c>
      <c r="G202" s="721" t="str">
        <f>IF($A202&lt;DATE(2018,7,1),"-",INDEX('I1 - Universal Data'!$E$15:$V$15, MATCH(YEAR(EOMONTH($A202,6)), 'I1 - Universal Data'!$E$14:$V$14, 0)))</f>
        <v>-</v>
      </c>
      <c r="H202" s="721" t="str">
        <f>IF($A202&lt;DATE(2018,7,1),"-",INDEX('I1 - Universal Data'!$E$17:$V$17, MATCH(YEAR(EOMONTH($A202,6)), 'I1 - Universal Data'!$E$14:$V$14, 0)))</f>
        <v>-</v>
      </c>
      <c r="I202" s="722">
        <f t="shared" si="17"/>
        <v>100.3</v>
      </c>
      <c r="J202" s="722">
        <f t="shared" si="18"/>
        <v>259.8</v>
      </c>
      <c r="K202" s="722">
        <f t="shared" si="19"/>
        <v>100.3</v>
      </c>
      <c r="X202" s="710"/>
    </row>
    <row r="203" spans="1:24">
      <c r="A203" s="719">
        <f t="shared" si="16"/>
        <v>42277</v>
      </c>
      <c r="B203" s="720">
        <f t="shared" si="15"/>
        <v>2016</v>
      </c>
      <c r="C203" s="794">
        <v>100.2</v>
      </c>
      <c r="D203" s="794">
        <v>259.60000000000002</v>
      </c>
      <c r="E203" s="794">
        <v>100.2</v>
      </c>
      <c r="F203" s="721" t="str">
        <f>IF($A203&lt;DATE(2018,7,1),"-",INDEX('I1 - Universal Data'!$E$16:$V$16, MATCH(YEAR(EOMONTH($A203,6)), 'I1 - Universal Data'!$E$14:$V$14, 0)))</f>
        <v>-</v>
      </c>
      <c r="G203" s="721" t="str">
        <f>IF($A203&lt;DATE(2018,7,1),"-",INDEX('I1 - Universal Data'!$E$15:$V$15, MATCH(YEAR(EOMONTH($A203,6)), 'I1 - Universal Data'!$E$14:$V$14, 0)))</f>
        <v>-</v>
      </c>
      <c r="H203" s="721" t="str">
        <f>IF($A203&lt;DATE(2018,7,1),"-",INDEX('I1 - Universal Data'!$E$17:$V$17, MATCH(YEAR(EOMONTH($A203,6)), 'I1 - Universal Data'!$E$14:$V$14, 0)))</f>
        <v>-</v>
      </c>
      <c r="I203" s="722">
        <f t="shared" si="17"/>
        <v>100.2</v>
      </c>
      <c r="J203" s="722">
        <f t="shared" si="18"/>
        <v>259.60000000000002</v>
      </c>
      <c r="K203" s="722">
        <f t="shared" si="19"/>
        <v>100.2</v>
      </c>
      <c r="X203" s="710"/>
    </row>
    <row r="204" spans="1:24">
      <c r="A204" s="719">
        <f t="shared" si="16"/>
        <v>42308</v>
      </c>
      <c r="B204" s="720">
        <f t="shared" si="15"/>
        <v>2016</v>
      </c>
      <c r="C204" s="794">
        <v>100.3</v>
      </c>
      <c r="D204" s="794">
        <v>259.5</v>
      </c>
      <c r="E204" s="794">
        <v>100.3</v>
      </c>
      <c r="F204" s="721" t="str">
        <f>IF($A204&lt;DATE(2018,7,1),"-",INDEX('I1 - Universal Data'!$E$16:$V$16, MATCH(YEAR(EOMONTH($A204,6)), 'I1 - Universal Data'!$E$14:$V$14, 0)))</f>
        <v>-</v>
      </c>
      <c r="G204" s="721" t="str">
        <f>IF($A204&lt;DATE(2018,7,1),"-",INDEX('I1 - Universal Data'!$E$15:$V$15, MATCH(YEAR(EOMONTH($A204,6)), 'I1 - Universal Data'!$E$14:$V$14, 0)))</f>
        <v>-</v>
      </c>
      <c r="H204" s="721" t="str">
        <f>IF($A204&lt;DATE(2018,7,1),"-",INDEX('I1 - Universal Data'!$E$17:$V$17, MATCH(YEAR(EOMONTH($A204,6)), 'I1 - Universal Data'!$E$14:$V$14, 0)))</f>
        <v>-</v>
      </c>
      <c r="I204" s="722">
        <f t="shared" si="17"/>
        <v>100.3</v>
      </c>
      <c r="J204" s="722">
        <f t="shared" si="18"/>
        <v>259.5</v>
      </c>
      <c r="K204" s="722">
        <f t="shared" si="19"/>
        <v>100.3</v>
      </c>
      <c r="X204" s="710"/>
    </row>
    <row r="205" spans="1:24">
      <c r="A205" s="719">
        <f t="shared" si="16"/>
        <v>42338</v>
      </c>
      <c r="B205" s="720">
        <f t="shared" si="15"/>
        <v>2016</v>
      </c>
      <c r="C205" s="794">
        <v>100.3</v>
      </c>
      <c r="D205" s="794">
        <v>259.8</v>
      </c>
      <c r="E205" s="794">
        <v>100.3</v>
      </c>
      <c r="F205" s="721" t="str">
        <f>IF($A205&lt;DATE(2018,7,1),"-",INDEX('I1 - Universal Data'!$E$16:$V$16, MATCH(YEAR(EOMONTH($A205,6)), 'I1 - Universal Data'!$E$14:$V$14, 0)))</f>
        <v>-</v>
      </c>
      <c r="G205" s="721" t="str">
        <f>IF($A205&lt;DATE(2018,7,1),"-",INDEX('I1 - Universal Data'!$E$15:$V$15, MATCH(YEAR(EOMONTH($A205,6)), 'I1 - Universal Data'!$E$14:$V$14, 0)))</f>
        <v>-</v>
      </c>
      <c r="H205" s="721" t="str">
        <f>IF($A205&lt;DATE(2018,7,1),"-",INDEX('I1 - Universal Data'!$E$17:$V$17, MATCH(YEAR(EOMONTH($A205,6)), 'I1 - Universal Data'!$E$14:$V$14, 0)))</f>
        <v>-</v>
      </c>
      <c r="I205" s="722">
        <f t="shared" si="17"/>
        <v>100.3</v>
      </c>
      <c r="J205" s="722">
        <f t="shared" si="18"/>
        <v>259.8</v>
      </c>
      <c r="K205" s="722">
        <f t="shared" si="19"/>
        <v>100.3</v>
      </c>
      <c r="X205" s="710"/>
    </row>
    <row r="206" spans="1:24">
      <c r="A206" s="719">
        <f t="shared" si="16"/>
        <v>42369</v>
      </c>
      <c r="B206" s="720">
        <f t="shared" si="15"/>
        <v>2016</v>
      </c>
      <c r="C206" s="794">
        <v>100.4</v>
      </c>
      <c r="D206" s="794">
        <v>260.60000000000002</v>
      </c>
      <c r="E206" s="794">
        <v>100.3</v>
      </c>
      <c r="F206" s="721" t="str">
        <f>IF($A206&lt;DATE(2018,7,1),"-",INDEX('I1 - Universal Data'!$E$16:$V$16, MATCH(YEAR(EOMONTH($A206,6)), 'I1 - Universal Data'!$E$14:$V$14, 0)))</f>
        <v>-</v>
      </c>
      <c r="G206" s="721" t="str">
        <f>IF($A206&lt;DATE(2018,7,1),"-",INDEX('I1 - Universal Data'!$E$15:$V$15, MATCH(YEAR(EOMONTH($A206,6)), 'I1 - Universal Data'!$E$14:$V$14, 0)))</f>
        <v>-</v>
      </c>
      <c r="H206" s="721" t="str">
        <f>IF($A206&lt;DATE(2018,7,1),"-",INDEX('I1 - Universal Data'!$E$17:$V$17, MATCH(YEAR(EOMONTH($A206,6)), 'I1 - Universal Data'!$E$14:$V$14, 0)))</f>
        <v>-</v>
      </c>
      <c r="I206" s="722">
        <f t="shared" si="17"/>
        <v>100.4</v>
      </c>
      <c r="J206" s="722">
        <f t="shared" si="18"/>
        <v>260.60000000000002</v>
      </c>
      <c r="K206" s="722">
        <f t="shared" si="19"/>
        <v>100.3</v>
      </c>
      <c r="X206" s="710"/>
    </row>
    <row r="207" spans="1:24">
      <c r="A207" s="719">
        <f t="shared" si="16"/>
        <v>42400</v>
      </c>
      <c r="B207" s="720">
        <f t="shared" si="15"/>
        <v>2016</v>
      </c>
      <c r="C207" s="794">
        <v>99.9</v>
      </c>
      <c r="D207" s="794">
        <v>258.8</v>
      </c>
      <c r="E207" s="794">
        <v>99.5</v>
      </c>
      <c r="F207" s="721" t="str">
        <f>IF($A207&lt;DATE(2018,7,1),"-",INDEX('I1 - Universal Data'!$E$16:$V$16, MATCH(YEAR(EOMONTH($A207,6)), 'I1 - Universal Data'!$E$14:$V$14, 0)))</f>
        <v>-</v>
      </c>
      <c r="G207" s="721" t="str">
        <f>IF($A207&lt;DATE(2018,7,1),"-",INDEX('I1 - Universal Data'!$E$15:$V$15, MATCH(YEAR(EOMONTH($A207,6)), 'I1 - Universal Data'!$E$14:$V$14, 0)))</f>
        <v>-</v>
      </c>
      <c r="H207" s="721" t="str">
        <f>IF($A207&lt;DATE(2018,7,1),"-",INDEX('I1 - Universal Data'!$E$17:$V$17, MATCH(YEAR(EOMONTH($A207,6)), 'I1 - Universal Data'!$E$14:$V$14, 0)))</f>
        <v>-</v>
      </c>
      <c r="I207" s="722">
        <f t="shared" si="17"/>
        <v>99.9</v>
      </c>
      <c r="J207" s="722">
        <f t="shared" si="18"/>
        <v>258.8</v>
      </c>
      <c r="K207" s="722">
        <f t="shared" si="19"/>
        <v>99.5</v>
      </c>
      <c r="X207" s="710"/>
    </row>
    <row r="208" spans="1:24">
      <c r="A208" s="719">
        <f t="shared" si="16"/>
        <v>42429</v>
      </c>
      <c r="B208" s="720">
        <f t="shared" si="15"/>
        <v>2016</v>
      </c>
      <c r="C208" s="794">
        <v>100.1</v>
      </c>
      <c r="D208" s="794">
        <v>260</v>
      </c>
      <c r="E208" s="794">
        <v>99.8</v>
      </c>
      <c r="F208" s="721" t="str">
        <f>IF($A208&lt;DATE(2018,7,1),"-",INDEX('I1 - Universal Data'!$E$16:$V$16, MATCH(YEAR(EOMONTH($A208,6)), 'I1 - Universal Data'!$E$14:$V$14, 0)))</f>
        <v>-</v>
      </c>
      <c r="G208" s="721" t="str">
        <f>IF($A208&lt;DATE(2018,7,1),"-",INDEX('I1 - Universal Data'!$E$15:$V$15, MATCH(YEAR(EOMONTH($A208,6)), 'I1 - Universal Data'!$E$14:$V$14, 0)))</f>
        <v>-</v>
      </c>
      <c r="H208" s="721" t="str">
        <f>IF($A208&lt;DATE(2018,7,1),"-",INDEX('I1 - Universal Data'!$E$17:$V$17, MATCH(YEAR(EOMONTH($A208,6)), 'I1 - Universal Data'!$E$14:$V$14, 0)))</f>
        <v>-</v>
      </c>
      <c r="I208" s="722">
        <f t="shared" si="17"/>
        <v>100.1</v>
      </c>
      <c r="J208" s="722">
        <f t="shared" si="18"/>
        <v>260</v>
      </c>
      <c r="K208" s="722">
        <f t="shared" si="19"/>
        <v>99.8</v>
      </c>
      <c r="X208" s="710"/>
    </row>
    <row r="209" spans="1:24">
      <c r="A209" s="719">
        <f t="shared" si="16"/>
        <v>42460</v>
      </c>
      <c r="B209" s="720">
        <f t="shared" si="15"/>
        <v>2016</v>
      </c>
      <c r="C209" s="794">
        <v>100.4</v>
      </c>
      <c r="D209" s="794">
        <v>261.10000000000002</v>
      </c>
      <c r="E209" s="794">
        <v>100.2</v>
      </c>
      <c r="F209" s="721" t="str">
        <f>IF($A209&lt;DATE(2018,7,1),"-",INDEX('I1 - Universal Data'!$E$16:$V$16, MATCH(YEAR(EOMONTH($A209,6)), 'I1 - Universal Data'!$E$14:$V$14, 0)))</f>
        <v>-</v>
      </c>
      <c r="G209" s="721" t="str">
        <f>IF($A209&lt;DATE(2018,7,1),"-",INDEX('I1 - Universal Data'!$E$15:$V$15, MATCH(YEAR(EOMONTH($A209,6)), 'I1 - Universal Data'!$E$14:$V$14, 0)))</f>
        <v>-</v>
      </c>
      <c r="H209" s="721" t="str">
        <f>IF($A209&lt;DATE(2018,7,1),"-",INDEX('I1 - Universal Data'!$E$17:$V$17, MATCH(YEAR(EOMONTH($A209,6)), 'I1 - Universal Data'!$E$14:$V$14, 0)))</f>
        <v>-</v>
      </c>
      <c r="I209" s="722">
        <f t="shared" si="17"/>
        <v>100.4</v>
      </c>
      <c r="J209" s="722">
        <f t="shared" si="18"/>
        <v>261.10000000000002</v>
      </c>
      <c r="K209" s="722">
        <f t="shared" si="19"/>
        <v>100.2</v>
      </c>
      <c r="X209" s="710"/>
    </row>
    <row r="210" spans="1:24">
      <c r="A210" s="719">
        <f t="shared" si="16"/>
        <v>42490</v>
      </c>
      <c r="B210" s="720">
        <f t="shared" si="15"/>
        <v>2017</v>
      </c>
      <c r="C210" s="794">
        <v>100.6</v>
      </c>
      <c r="D210" s="794">
        <v>261.39999999999998</v>
      </c>
      <c r="E210" s="794">
        <v>100.2</v>
      </c>
      <c r="F210" s="721" t="str">
        <f>IF($A210&lt;DATE(2018,7,1),"-",INDEX('I1 - Universal Data'!$E$16:$V$16, MATCH(YEAR(EOMONTH($A210,6)), 'I1 - Universal Data'!$E$14:$V$14, 0)))</f>
        <v>-</v>
      </c>
      <c r="G210" s="721" t="str">
        <f>IF($A210&lt;DATE(2018,7,1),"-",INDEX('I1 - Universal Data'!$E$15:$V$15, MATCH(YEAR(EOMONTH($A210,6)), 'I1 - Universal Data'!$E$14:$V$14, 0)))</f>
        <v>-</v>
      </c>
      <c r="H210" s="721" t="str">
        <f>IF($A210&lt;DATE(2018,7,1),"-",INDEX('I1 - Universal Data'!$E$17:$V$17, MATCH(YEAR(EOMONTH($A210,6)), 'I1 - Universal Data'!$E$14:$V$14, 0)))</f>
        <v>-</v>
      </c>
      <c r="I210" s="722">
        <f t="shared" si="17"/>
        <v>100.6</v>
      </c>
      <c r="J210" s="722">
        <f t="shared" si="18"/>
        <v>261.39999999999998</v>
      </c>
      <c r="K210" s="722">
        <f t="shared" si="19"/>
        <v>100.2</v>
      </c>
      <c r="X210" s="710"/>
    </row>
    <row r="211" spans="1:24">
      <c r="A211" s="719">
        <f t="shared" si="16"/>
        <v>42521</v>
      </c>
      <c r="B211" s="720">
        <f t="shared" si="15"/>
        <v>2017</v>
      </c>
      <c r="C211" s="794">
        <v>100.8</v>
      </c>
      <c r="D211" s="794">
        <v>262.10000000000002</v>
      </c>
      <c r="E211" s="794">
        <v>100.4</v>
      </c>
      <c r="F211" s="721" t="str">
        <f>IF($A211&lt;DATE(2018,7,1),"-",INDEX('I1 - Universal Data'!$E$16:$V$16, MATCH(YEAR(EOMONTH($A211,6)), 'I1 - Universal Data'!$E$14:$V$14, 0)))</f>
        <v>-</v>
      </c>
      <c r="G211" s="721" t="str">
        <f>IF($A211&lt;DATE(2018,7,1),"-",INDEX('I1 - Universal Data'!$E$15:$V$15, MATCH(YEAR(EOMONTH($A211,6)), 'I1 - Universal Data'!$E$14:$V$14, 0)))</f>
        <v>-</v>
      </c>
      <c r="H211" s="721" t="str">
        <f>IF($A211&lt;DATE(2018,7,1),"-",INDEX('I1 - Universal Data'!$E$17:$V$17, MATCH(YEAR(EOMONTH($A211,6)), 'I1 - Universal Data'!$E$14:$V$14, 0)))</f>
        <v>-</v>
      </c>
      <c r="I211" s="722">
        <f t="shared" si="17"/>
        <v>100.8</v>
      </c>
      <c r="J211" s="722">
        <f t="shared" si="18"/>
        <v>262.10000000000002</v>
      </c>
      <c r="K211" s="722">
        <f t="shared" si="19"/>
        <v>100.4</v>
      </c>
      <c r="X211" s="710"/>
    </row>
    <row r="212" spans="1:24">
      <c r="A212" s="719">
        <f t="shared" si="16"/>
        <v>42551</v>
      </c>
      <c r="B212" s="720">
        <f t="shared" si="15"/>
        <v>2017</v>
      </c>
      <c r="C212" s="794">
        <v>101</v>
      </c>
      <c r="D212" s="794">
        <v>263.10000000000002</v>
      </c>
      <c r="E212" s="794">
        <v>100.6</v>
      </c>
      <c r="F212" s="721" t="str">
        <f>IF($A212&lt;DATE(2018,7,1),"-",INDEX('I1 - Universal Data'!$E$16:$V$16, MATCH(YEAR(EOMONTH($A212,6)), 'I1 - Universal Data'!$E$14:$V$14, 0)))</f>
        <v>-</v>
      </c>
      <c r="G212" s="721" t="str">
        <f>IF($A212&lt;DATE(2018,7,1),"-",INDEX('I1 - Universal Data'!$E$15:$V$15, MATCH(YEAR(EOMONTH($A212,6)), 'I1 - Universal Data'!$E$14:$V$14, 0)))</f>
        <v>-</v>
      </c>
      <c r="H212" s="721" t="str">
        <f>IF($A212&lt;DATE(2018,7,1),"-",INDEX('I1 - Universal Data'!$E$17:$V$17, MATCH(YEAR(EOMONTH($A212,6)), 'I1 - Universal Data'!$E$14:$V$14, 0)))</f>
        <v>-</v>
      </c>
      <c r="I212" s="722">
        <f t="shared" si="17"/>
        <v>101</v>
      </c>
      <c r="J212" s="722">
        <f t="shared" si="18"/>
        <v>263.10000000000002</v>
      </c>
      <c r="K212" s="722">
        <f t="shared" si="19"/>
        <v>100.6</v>
      </c>
      <c r="X212" s="710"/>
    </row>
    <row r="213" spans="1:24">
      <c r="A213" s="719">
        <f t="shared" si="16"/>
        <v>42582</v>
      </c>
      <c r="B213" s="720">
        <f t="shared" si="15"/>
        <v>2017</v>
      </c>
      <c r="C213" s="794">
        <v>100.9</v>
      </c>
      <c r="D213" s="794">
        <v>263.39999999999998</v>
      </c>
      <c r="E213" s="794">
        <v>100.6</v>
      </c>
      <c r="F213" s="721" t="str">
        <f>IF($A213&lt;DATE(2018,7,1),"-",INDEX('I1 - Universal Data'!$E$16:$V$16, MATCH(YEAR(EOMONTH($A213,6)), 'I1 - Universal Data'!$E$14:$V$14, 0)))</f>
        <v>-</v>
      </c>
      <c r="G213" s="721" t="str">
        <f>IF($A213&lt;DATE(2018,7,1),"-",INDEX('I1 - Universal Data'!$E$15:$V$15, MATCH(YEAR(EOMONTH($A213,6)), 'I1 - Universal Data'!$E$14:$V$14, 0)))</f>
        <v>-</v>
      </c>
      <c r="H213" s="721" t="str">
        <f>IF($A213&lt;DATE(2018,7,1),"-",INDEX('I1 - Universal Data'!$E$17:$V$17, MATCH(YEAR(EOMONTH($A213,6)), 'I1 - Universal Data'!$E$14:$V$14, 0)))</f>
        <v>-</v>
      </c>
      <c r="I213" s="722">
        <f t="shared" si="17"/>
        <v>100.9</v>
      </c>
      <c r="J213" s="722">
        <f t="shared" si="18"/>
        <v>263.39999999999998</v>
      </c>
      <c r="K213" s="722">
        <f t="shared" si="19"/>
        <v>100.6</v>
      </c>
      <c r="X213" s="710"/>
    </row>
    <row r="214" spans="1:24">
      <c r="A214" s="719">
        <f t="shared" si="16"/>
        <v>42613</v>
      </c>
      <c r="B214" s="720">
        <f t="shared" si="15"/>
        <v>2017</v>
      </c>
      <c r="C214" s="794">
        <v>101.2</v>
      </c>
      <c r="D214" s="794">
        <v>264.39999999999998</v>
      </c>
      <c r="E214" s="794">
        <v>100.9</v>
      </c>
      <c r="F214" s="721" t="str">
        <f>IF($A214&lt;DATE(2018,7,1),"-",INDEX('I1 - Universal Data'!$E$16:$V$16, MATCH(YEAR(EOMONTH($A214,6)), 'I1 - Universal Data'!$E$14:$V$14, 0)))</f>
        <v>-</v>
      </c>
      <c r="G214" s="721" t="str">
        <f>IF($A214&lt;DATE(2018,7,1),"-",INDEX('I1 - Universal Data'!$E$15:$V$15, MATCH(YEAR(EOMONTH($A214,6)), 'I1 - Universal Data'!$E$14:$V$14, 0)))</f>
        <v>-</v>
      </c>
      <c r="H214" s="721" t="str">
        <f>IF($A214&lt;DATE(2018,7,1),"-",INDEX('I1 - Universal Data'!$E$17:$V$17, MATCH(YEAR(EOMONTH($A214,6)), 'I1 - Universal Data'!$E$14:$V$14, 0)))</f>
        <v>-</v>
      </c>
      <c r="I214" s="722">
        <f t="shared" si="17"/>
        <v>101.2</v>
      </c>
      <c r="J214" s="722">
        <f t="shared" si="18"/>
        <v>264.39999999999998</v>
      </c>
      <c r="K214" s="722">
        <f t="shared" si="19"/>
        <v>100.9</v>
      </c>
      <c r="X214" s="710"/>
    </row>
    <row r="215" spans="1:24">
      <c r="A215" s="719">
        <f t="shared" si="16"/>
        <v>42643</v>
      </c>
      <c r="B215" s="720">
        <f t="shared" si="15"/>
        <v>2017</v>
      </c>
      <c r="C215" s="794">
        <v>101.5</v>
      </c>
      <c r="D215" s="794">
        <v>264.89999999999998</v>
      </c>
      <c r="E215" s="794">
        <v>101.1</v>
      </c>
      <c r="F215" s="721" t="str">
        <f>IF($A215&lt;DATE(2018,7,1),"-",INDEX('I1 - Universal Data'!$E$16:$V$16, MATCH(YEAR(EOMONTH($A215,6)), 'I1 - Universal Data'!$E$14:$V$14, 0)))</f>
        <v>-</v>
      </c>
      <c r="G215" s="721" t="str">
        <f>IF($A215&lt;DATE(2018,7,1),"-",INDEX('I1 - Universal Data'!$E$15:$V$15, MATCH(YEAR(EOMONTH($A215,6)), 'I1 - Universal Data'!$E$14:$V$14, 0)))</f>
        <v>-</v>
      </c>
      <c r="H215" s="721" t="str">
        <f>IF($A215&lt;DATE(2018,7,1),"-",INDEX('I1 - Universal Data'!$E$17:$V$17, MATCH(YEAR(EOMONTH($A215,6)), 'I1 - Universal Data'!$E$14:$V$14, 0)))</f>
        <v>-</v>
      </c>
      <c r="I215" s="722">
        <f t="shared" si="17"/>
        <v>101.5</v>
      </c>
      <c r="J215" s="722">
        <f t="shared" si="18"/>
        <v>264.89999999999998</v>
      </c>
      <c r="K215" s="722">
        <f t="shared" si="19"/>
        <v>101.1</v>
      </c>
      <c r="X215" s="710"/>
    </row>
    <row r="216" spans="1:24">
      <c r="A216" s="719">
        <f t="shared" si="16"/>
        <v>42674</v>
      </c>
      <c r="B216" s="720">
        <f t="shared" si="15"/>
        <v>2017</v>
      </c>
      <c r="C216" s="794">
        <v>101.6</v>
      </c>
      <c r="D216" s="794">
        <v>264.8</v>
      </c>
      <c r="E216" s="794">
        <v>101.2</v>
      </c>
      <c r="F216" s="721" t="str">
        <f>IF($A216&lt;DATE(2018,7,1),"-",INDEX('I1 - Universal Data'!$E$16:$V$16, MATCH(YEAR(EOMONTH($A216,6)), 'I1 - Universal Data'!$E$14:$V$14, 0)))</f>
        <v>-</v>
      </c>
      <c r="G216" s="721" t="str">
        <f>IF($A216&lt;DATE(2018,7,1),"-",INDEX('I1 - Universal Data'!$E$15:$V$15, MATCH(YEAR(EOMONTH($A216,6)), 'I1 - Universal Data'!$E$14:$V$14, 0)))</f>
        <v>-</v>
      </c>
      <c r="H216" s="721" t="str">
        <f>IF($A216&lt;DATE(2018,7,1),"-",INDEX('I1 - Universal Data'!$E$17:$V$17, MATCH(YEAR(EOMONTH($A216,6)), 'I1 - Universal Data'!$E$14:$V$14, 0)))</f>
        <v>-</v>
      </c>
      <c r="I216" s="722">
        <f t="shared" si="17"/>
        <v>101.6</v>
      </c>
      <c r="J216" s="722">
        <f t="shared" si="18"/>
        <v>264.8</v>
      </c>
      <c r="K216" s="722">
        <f t="shared" si="19"/>
        <v>101.2</v>
      </c>
      <c r="X216" s="710"/>
    </row>
    <row r="217" spans="1:24">
      <c r="A217" s="719">
        <f t="shared" si="16"/>
        <v>42704</v>
      </c>
      <c r="B217" s="720">
        <f t="shared" si="15"/>
        <v>2017</v>
      </c>
      <c r="C217" s="794">
        <v>101.8</v>
      </c>
      <c r="D217" s="794">
        <v>265.5</v>
      </c>
      <c r="E217" s="794">
        <v>101.4</v>
      </c>
      <c r="F217" s="721" t="str">
        <f>IF($A217&lt;DATE(2018,7,1),"-",INDEX('I1 - Universal Data'!$E$16:$V$16, MATCH(YEAR(EOMONTH($A217,6)), 'I1 - Universal Data'!$E$14:$V$14, 0)))</f>
        <v>-</v>
      </c>
      <c r="G217" s="721" t="str">
        <f>IF($A217&lt;DATE(2018,7,1),"-",INDEX('I1 - Universal Data'!$E$15:$V$15, MATCH(YEAR(EOMONTH($A217,6)), 'I1 - Universal Data'!$E$14:$V$14, 0)))</f>
        <v>-</v>
      </c>
      <c r="H217" s="721" t="str">
        <f>IF($A217&lt;DATE(2018,7,1),"-",INDEX('I1 - Universal Data'!$E$17:$V$17, MATCH(YEAR(EOMONTH($A217,6)), 'I1 - Universal Data'!$E$14:$V$14, 0)))</f>
        <v>-</v>
      </c>
      <c r="I217" s="722">
        <f t="shared" si="17"/>
        <v>101.8</v>
      </c>
      <c r="J217" s="722">
        <f t="shared" si="18"/>
        <v>265.5</v>
      </c>
      <c r="K217" s="722">
        <f t="shared" si="19"/>
        <v>101.4</v>
      </c>
      <c r="X217" s="710"/>
    </row>
    <row r="218" spans="1:24">
      <c r="A218" s="719">
        <f t="shared" si="16"/>
        <v>42735</v>
      </c>
      <c r="B218" s="720">
        <f t="shared" si="15"/>
        <v>2017</v>
      </c>
      <c r="C218" s="794">
        <v>102.2</v>
      </c>
      <c r="D218" s="794">
        <v>267.10000000000002</v>
      </c>
      <c r="E218" s="794">
        <v>101.9</v>
      </c>
      <c r="F218" s="721" t="str">
        <f>IF($A218&lt;DATE(2018,7,1),"-",INDEX('I1 - Universal Data'!$E$16:$V$16, MATCH(YEAR(EOMONTH($A218,6)), 'I1 - Universal Data'!$E$14:$V$14, 0)))</f>
        <v>-</v>
      </c>
      <c r="G218" s="721" t="str">
        <f>IF($A218&lt;DATE(2018,7,1),"-",INDEX('I1 - Universal Data'!$E$15:$V$15, MATCH(YEAR(EOMONTH($A218,6)), 'I1 - Universal Data'!$E$14:$V$14, 0)))</f>
        <v>-</v>
      </c>
      <c r="H218" s="721" t="str">
        <f>IF($A218&lt;DATE(2018,7,1),"-",INDEX('I1 - Universal Data'!$E$17:$V$17, MATCH(YEAR(EOMONTH($A218,6)), 'I1 - Universal Data'!$E$14:$V$14, 0)))</f>
        <v>-</v>
      </c>
      <c r="I218" s="722">
        <f t="shared" si="17"/>
        <v>102.2</v>
      </c>
      <c r="J218" s="722">
        <f t="shared" si="18"/>
        <v>267.10000000000002</v>
      </c>
      <c r="K218" s="722">
        <f t="shared" si="19"/>
        <v>101.9</v>
      </c>
      <c r="X218" s="710"/>
    </row>
    <row r="219" spans="1:24">
      <c r="A219" s="719">
        <f t="shared" si="16"/>
        <v>42766</v>
      </c>
      <c r="B219" s="720">
        <f t="shared" si="15"/>
        <v>2017</v>
      </c>
      <c r="C219" s="794">
        <v>101.8</v>
      </c>
      <c r="D219" s="794">
        <v>265.5</v>
      </c>
      <c r="E219" s="794">
        <v>101.4</v>
      </c>
      <c r="F219" s="721" t="str">
        <f>IF($A219&lt;DATE(2018,7,1),"-",INDEX('I1 - Universal Data'!$E$16:$V$16, MATCH(YEAR(EOMONTH($A219,6)), 'I1 - Universal Data'!$E$14:$V$14, 0)))</f>
        <v>-</v>
      </c>
      <c r="G219" s="721" t="str">
        <f>IF($A219&lt;DATE(2018,7,1),"-",INDEX('I1 - Universal Data'!$E$15:$V$15, MATCH(YEAR(EOMONTH($A219,6)), 'I1 - Universal Data'!$E$14:$V$14, 0)))</f>
        <v>-</v>
      </c>
      <c r="H219" s="721" t="str">
        <f>IF($A219&lt;DATE(2018,7,1),"-",INDEX('I1 - Universal Data'!$E$17:$V$17, MATCH(YEAR(EOMONTH($A219,6)), 'I1 - Universal Data'!$E$14:$V$14, 0)))</f>
        <v>-</v>
      </c>
      <c r="I219" s="722">
        <f t="shared" si="17"/>
        <v>101.8</v>
      </c>
      <c r="J219" s="722">
        <f t="shared" si="18"/>
        <v>265.5</v>
      </c>
      <c r="K219" s="722">
        <f t="shared" si="19"/>
        <v>101.4</v>
      </c>
      <c r="X219" s="710"/>
    </row>
    <row r="220" spans="1:24">
      <c r="A220" s="719">
        <f t="shared" si="16"/>
        <v>42794</v>
      </c>
      <c r="B220" s="720">
        <f t="shared" si="15"/>
        <v>2017</v>
      </c>
      <c r="C220" s="794">
        <v>102.4</v>
      </c>
      <c r="D220" s="794">
        <v>268.39999999999998</v>
      </c>
      <c r="E220" s="794">
        <v>102.1</v>
      </c>
      <c r="F220" s="721" t="str">
        <f>IF($A220&lt;DATE(2018,7,1),"-",INDEX('I1 - Universal Data'!$E$16:$V$16, MATCH(YEAR(EOMONTH($A220,6)), 'I1 - Universal Data'!$E$14:$V$14, 0)))</f>
        <v>-</v>
      </c>
      <c r="G220" s="721" t="str">
        <f>IF($A220&lt;DATE(2018,7,1),"-",INDEX('I1 - Universal Data'!$E$15:$V$15, MATCH(YEAR(EOMONTH($A220,6)), 'I1 - Universal Data'!$E$14:$V$14, 0)))</f>
        <v>-</v>
      </c>
      <c r="H220" s="721" t="str">
        <f>IF($A220&lt;DATE(2018,7,1),"-",INDEX('I1 - Universal Data'!$E$17:$V$17, MATCH(YEAR(EOMONTH($A220,6)), 'I1 - Universal Data'!$E$14:$V$14, 0)))</f>
        <v>-</v>
      </c>
      <c r="I220" s="722">
        <f t="shared" si="17"/>
        <v>102.4</v>
      </c>
      <c r="J220" s="722">
        <f t="shared" si="18"/>
        <v>268.39999999999998</v>
      </c>
      <c r="K220" s="722">
        <f t="shared" si="19"/>
        <v>102.1</v>
      </c>
      <c r="X220" s="710"/>
    </row>
    <row r="221" spans="1:24">
      <c r="A221" s="719">
        <f t="shared" si="16"/>
        <v>42825</v>
      </c>
      <c r="B221" s="720">
        <f t="shared" si="15"/>
        <v>2017</v>
      </c>
      <c r="C221" s="794">
        <v>102.7</v>
      </c>
      <c r="D221" s="794">
        <v>269.3</v>
      </c>
      <c r="E221" s="794">
        <v>102.5</v>
      </c>
      <c r="F221" s="721" t="str">
        <f>IF($A221&lt;DATE(2018,7,1),"-",INDEX('I1 - Universal Data'!$E$16:$V$16, MATCH(YEAR(EOMONTH($A221,6)), 'I1 - Universal Data'!$E$14:$V$14, 0)))</f>
        <v>-</v>
      </c>
      <c r="G221" s="721" t="str">
        <f>IF($A221&lt;DATE(2018,7,1),"-",INDEX('I1 - Universal Data'!$E$15:$V$15, MATCH(YEAR(EOMONTH($A221,6)), 'I1 - Universal Data'!$E$14:$V$14, 0)))</f>
        <v>-</v>
      </c>
      <c r="H221" s="721" t="str">
        <f>IF($A221&lt;DATE(2018,7,1),"-",INDEX('I1 - Universal Data'!$E$17:$V$17, MATCH(YEAR(EOMONTH($A221,6)), 'I1 - Universal Data'!$E$14:$V$14, 0)))</f>
        <v>-</v>
      </c>
      <c r="I221" s="722">
        <f t="shared" si="17"/>
        <v>102.7</v>
      </c>
      <c r="J221" s="722">
        <f t="shared" si="18"/>
        <v>269.3</v>
      </c>
      <c r="K221" s="722">
        <f t="shared" si="19"/>
        <v>102.5</v>
      </c>
      <c r="X221" s="710"/>
    </row>
    <row r="222" spans="1:24">
      <c r="A222" s="719">
        <f t="shared" si="16"/>
        <v>42855</v>
      </c>
      <c r="B222" s="720">
        <f t="shared" si="15"/>
        <v>2018</v>
      </c>
      <c r="C222" s="794">
        <v>103.2</v>
      </c>
      <c r="D222" s="794">
        <v>270.60000000000002</v>
      </c>
      <c r="E222" s="794">
        <v>102.9</v>
      </c>
      <c r="F222" s="721" t="str">
        <f>IF($A222&lt;DATE(2018,7,1),"-",INDEX('I1 - Universal Data'!$E$16:$V$16, MATCH(YEAR(EOMONTH($A222,6)), 'I1 - Universal Data'!$E$14:$V$14, 0)))</f>
        <v>-</v>
      </c>
      <c r="G222" s="721" t="str">
        <f>IF($A222&lt;DATE(2018,7,1),"-",INDEX('I1 - Universal Data'!$E$15:$V$15, MATCH(YEAR(EOMONTH($A222,6)), 'I1 - Universal Data'!$E$14:$V$14, 0)))</f>
        <v>-</v>
      </c>
      <c r="H222" s="721" t="str">
        <f>IF($A222&lt;DATE(2018,7,1),"-",INDEX('I1 - Universal Data'!$E$17:$V$17, MATCH(YEAR(EOMONTH($A222,6)), 'I1 - Universal Data'!$E$14:$V$14, 0)))</f>
        <v>-</v>
      </c>
      <c r="I222" s="722">
        <f t="shared" si="17"/>
        <v>103.2</v>
      </c>
      <c r="J222" s="722">
        <f t="shared" si="18"/>
        <v>270.60000000000002</v>
      </c>
      <c r="K222" s="722">
        <f t="shared" si="19"/>
        <v>102.9</v>
      </c>
      <c r="X222" s="710"/>
    </row>
    <row r="223" spans="1:24">
      <c r="A223" s="719">
        <f t="shared" si="16"/>
        <v>42886</v>
      </c>
      <c r="B223" s="720">
        <f t="shared" si="15"/>
        <v>2018</v>
      </c>
      <c r="C223" s="794">
        <v>103.5</v>
      </c>
      <c r="D223" s="794">
        <v>271.7</v>
      </c>
      <c r="E223" s="794">
        <v>103.3</v>
      </c>
      <c r="F223" s="721" t="str">
        <f>IF($A223&lt;DATE(2018,7,1),"-",INDEX('I1 - Universal Data'!$E$16:$V$16, MATCH(YEAR(EOMONTH($A223,6)), 'I1 - Universal Data'!$E$14:$V$14, 0)))</f>
        <v>-</v>
      </c>
      <c r="G223" s="721" t="str">
        <f>IF($A223&lt;DATE(2018,7,1),"-",INDEX('I1 - Universal Data'!$E$15:$V$15, MATCH(YEAR(EOMONTH($A223,6)), 'I1 - Universal Data'!$E$14:$V$14, 0)))</f>
        <v>-</v>
      </c>
      <c r="H223" s="721" t="str">
        <f>IF($A223&lt;DATE(2018,7,1),"-",INDEX('I1 - Universal Data'!$E$17:$V$17, MATCH(YEAR(EOMONTH($A223,6)), 'I1 - Universal Data'!$E$14:$V$14, 0)))</f>
        <v>-</v>
      </c>
      <c r="I223" s="722">
        <f t="shared" si="17"/>
        <v>103.5</v>
      </c>
      <c r="J223" s="722">
        <f t="shared" si="18"/>
        <v>271.7</v>
      </c>
      <c r="K223" s="722">
        <f t="shared" si="19"/>
        <v>103.3</v>
      </c>
      <c r="X223" s="710"/>
    </row>
    <row r="224" spans="1:24">
      <c r="A224" s="719">
        <f t="shared" si="16"/>
        <v>42916</v>
      </c>
      <c r="B224" s="720">
        <f t="shared" si="15"/>
        <v>2018</v>
      </c>
      <c r="C224" s="794">
        <v>103.5</v>
      </c>
      <c r="D224" s="794">
        <v>272.3</v>
      </c>
      <c r="E224" s="794">
        <v>103.3</v>
      </c>
      <c r="F224" s="721" t="str">
        <f>IF($A224&lt;DATE(2018,7,1),"-",INDEX('I1 - Universal Data'!$E$16:$V$16, MATCH(YEAR(EOMONTH($A224,6)), 'I1 - Universal Data'!$E$14:$V$14, 0)))</f>
        <v>-</v>
      </c>
      <c r="G224" s="721" t="str">
        <f>IF($A224&lt;DATE(2018,7,1),"-",INDEX('I1 - Universal Data'!$E$15:$V$15, MATCH(YEAR(EOMONTH($A224,6)), 'I1 - Universal Data'!$E$14:$V$14, 0)))</f>
        <v>-</v>
      </c>
      <c r="H224" s="721" t="str">
        <f>IF($A224&lt;DATE(2018,7,1),"-",INDEX('I1 - Universal Data'!$E$17:$V$17, MATCH(YEAR(EOMONTH($A224,6)), 'I1 - Universal Data'!$E$14:$V$14, 0)))</f>
        <v>-</v>
      </c>
      <c r="I224" s="722">
        <f t="shared" si="17"/>
        <v>103.5</v>
      </c>
      <c r="J224" s="722">
        <f t="shared" si="18"/>
        <v>272.3</v>
      </c>
      <c r="K224" s="722">
        <f t="shared" si="19"/>
        <v>103.3</v>
      </c>
      <c r="X224" s="710"/>
    </row>
    <row r="225" spans="1:24">
      <c r="A225" s="719">
        <f t="shared" si="16"/>
        <v>42947</v>
      </c>
      <c r="B225" s="720">
        <f t="shared" si="15"/>
        <v>2018</v>
      </c>
      <c r="C225" s="794">
        <v>103.5</v>
      </c>
      <c r="D225" s="794">
        <v>272.89999999999998</v>
      </c>
      <c r="E225" s="794">
        <v>103.2</v>
      </c>
      <c r="F225" s="721" t="str">
        <f>IF($A225&lt;DATE(2018,7,1),"-",INDEX('I1 - Universal Data'!$E$16:$V$16, MATCH(YEAR(EOMONTH($A225,6)), 'I1 - Universal Data'!$E$14:$V$14, 0)))</f>
        <v>-</v>
      </c>
      <c r="G225" s="721" t="str">
        <f>IF($A225&lt;DATE(2018,7,1),"-",INDEX('I1 - Universal Data'!$E$15:$V$15, MATCH(YEAR(EOMONTH($A225,6)), 'I1 - Universal Data'!$E$14:$V$14, 0)))</f>
        <v>-</v>
      </c>
      <c r="H225" s="721" t="str">
        <f>IF($A225&lt;DATE(2018,7,1),"-",INDEX('I1 - Universal Data'!$E$17:$V$17, MATCH(YEAR(EOMONTH($A225,6)), 'I1 - Universal Data'!$E$14:$V$14, 0)))</f>
        <v>-</v>
      </c>
      <c r="I225" s="722">
        <f t="shared" si="17"/>
        <v>103.5</v>
      </c>
      <c r="J225" s="722">
        <f t="shared" si="18"/>
        <v>272.89999999999998</v>
      </c>
      <c r="K225" s="722">
        <f t="shared" si="19"/>
        <v>103.2</v>
      </c>
      <c r="X225" s="710"/>
    </row>
    <row r="226" spans="1:24">
      <c r="A226" s="719">
        <f t="shared" si="16"/>
        <v>42978</v>
      </c>
      <c r="B226" s="720">
        <f t="shared" si="15"/>
        <v>2018</v>
      </c>
      <c r="C226" s="794">
        <v>104</v>
      </c>
      <c r="D226" s="794">
        <v>274.7</v>
      </c>
      <c r="E226" s="794">
        <v>103.8</v>
      </c>
      <c r="F226" s="721" t="str">
        <f>IF($A226&lt;DATE(2018,7,1),"-",INDEX('I1 - Universal Data'!$E$16:$V$16, MATCH(YEAR(EOMONTH($A226,6)), 'I1 - Universal Data'!$E$14:$V$14, 0)))</f>
        <v>-</v>
      </c>
      <c r="G226" s="721" t="str">
        <f>IF($A226&lt;DATE(2018,7,1),"-",INDEX('I1 - Universal Data'!$E$15:$V$15, MATCH(YEAR(EOMONTH($A226,6)), 'I1 - Universal Data'!$E$14:$V$14, 0)))</f>
        <v>-</v>
      </c>
      <c r="H226" s="721" t="str">
        <f>IF($A226&lt;DATE(2018,7,1),"-",INDEX('I1 - Universal Data'!$E$17:$V$17, MATCH(YEAR(EOMONTH($A226,6)), 'I1 - Universal Data'!$E$14:$V$14, 0)))</f>
        <v>-</v>
      </c>
      <c r="I226" s="722">
        <f t="shared" si="17"/>
        <v>104</v>
      </c>
      <c r="J226" s="722">
        <f t="shared" si="18"/>
        <v>274.7</v>
      </c>
      <c r="K226" s="722">
        <f t="shared" si="19"/>
        <v>103.8</v>
      </c>
      <c r="X226" s="710"/>
    </row>
    <row r="227" spans="1:24">
      <c r="A227" s="719">
        <f t="shared" si="16"/>
        <v>43008</v>
      </c>
      <c r="B227" s="720">
        <f t="shared" si="15"/>
        <v>2018</v>
      </c>
      <c r="C227" s="794">
        <v>104.3</v>
      </c>
      <c r="D227" s="794">
        <v>275.10000000000002</v>
      </c>
      <c r="E227" s="794">
        <v>104.1</v>
      </c>
      <c r="F227" s="721" t="str">
        <f>IF($A227&lt;DATE(2018,7,1),"-",INDEX('I1 - Universal Data'!$E$16:$V$16, MATCH(YEAR(EOMONTH($A227,6)), 'I1 - Universal Data'!$E$14:$V$14, 0)))</f>
        <v>-</v>
      </c>
      <c r="G227" s="721" t="str">
        <f>IF($A227&lt;DATE(2018,7,1),"-",INDEX('I1 - Universal Data'!$E$15:$V$15, MATCH(YEAR(EOMONTH($A227,6)), 'I1 - Universal Data'!$E$14:$V$14, 0)))</f>
        <v>-</v>
      </c>
      <c r="H227" s="721" t="str">
        <f>IF($A227&lt;DATE(2018,7,1),"-",INDEX('I1 - Universal Data'!$E$17:$V$17, MATCH(YEAR(EOMONTH($A227,6)), 'I1 - Universal Data'!$E$14:$V$14, 0)))</f>
        <v>-</v>
      </c>
      <c r="I227" s="722">
        <f t="shared" si="17"/>
        <v>104.3</v>
      </c>
      <c r="J227" s="722">
        <f t="shared" si="18"/>
        <v>275.10000000000002</v>
      </c>
      <c r="K227" s="722">
        <f t="shared" si="19"/>
        <v>104.1</v>
      </c>
      <c r="X227" s="710"/>
    </row>
    <row r="228" spans="1:24">
      <c r="A228" s="719">
        <f t="shared" si="16"/>
        <v>43039</v>
      </c>
      <c r="B228" s="720">
        <f t="shared" si="15"/>
        <v>2018</v>
      </c>
      <c r="C228" s="794">
        <v>104.4</v>
      </c>
      <c r="D228" s="794">
        <v>275.3</v>
      </c>
      <c r="E228" s="794">
        <v>104.2</v>
      </c>
      <c r="F228" s="721" t="str">
        <f>IF($A228&lt;DATE(2018,7,1),"-",INDEX('I1 - Universal Data'!$E$16:$V$16, MATCH(YEAR(EOMONTH($A228,6)), 'I1 - Universal Data'!$E$14:$V$14, 0)))</f>
        <v>-</v>
      </c>
      <c r="G228" s="721" t="str">
        <f>IF($A228&lt;DATE(2018,7,1),"-",INDEX('I1 - Universal Data'!$E$15:$V$15, MATCH(YEAR(EOMONTH($A228,6)), 'I1 - Universal Data'!$E$14:$V$14, 0)))</f>
        <v>-</v>
      </c>
      <c r="H228" s="721" t="str">
        <f>IF($A228&lt;DATE(2018,7,1),"-",INDEX('I1 - Universal Data'!$E$17:$V$17, MATCH(YEAR(EOMONTH($A228,6)), 'I1 - Universal Data'!$E$14:$V$14, 0)))</f>
        <v>-</v>
      </c>
      <c r="I228" s="722">
        <f t="shared" si="17"/>
        <v>104.4</v>
      </c>
      <c r="J228" s="722">
        <f t="shared" si="18"/>
        <v>275.3</v>
      </c>
      <c r="K228" s="722">
        <f t="shared" si="19"/>
        <v>104.2</v>
      </c>
      <c r="X228" s="710"/>
    </row>
    <row r="229" spans="1:24">
      <c r="A229" s="719">
        <f t="shared" si="16"/>
        <v>43069</v>
      </c>
      <c r="B229" s="720">
        <f t="shared" si="15"/>
        <v>2018</v>
      </c>
      <c r="C229" s="794">
        <v>104.7</v>
      </c>
      <c r="D229" s="794">
        <v>275.8</v>
      </c>
      <c r="E229" s="794">
        <v>104.6</v>
      </c>
      <c r="F229" s="721" t="str">
        <f>IF($A229&lt;DATE(2018,7,1),"-",INDEX('I1 - Universal Data'!$E$16:$V$16, MATCH(YEAR(EOMONTH($A229,6)), 'I1 - Universal Data'!$E$14:$V$14, 0)))</f>
        <v>-</v>
      </c>
      <c r="G229" s="721" t="str">
        <f>IF($A229&lt;DATE(2018,7,1),"-",INDEX('I1 - Universal Data'!$E$15:$V$15, MATCH(YEAR(EOMONTH($A229,6)), 'I1 - Universal Data'!$E$14:$V$14, 0)))</f>
        <v>-</v>
      </c>
      <c r="H229" s="721" t="str">
        <f>IF($A229&lt;DATE(2018,7,1),"-",INDEX('I1 - Universal Data'!$E$17:$V$17, MATCH(YEAR(EOMONTH($A229,6)), 'I1 - Universal Data'!$E$14:$V$14, 0)))</f>
        <v>-</v>
      </c>
      <c r="I229" s="722">
        <f t="shared" si="17"/>
        <v>104.7</v>
      </c>
      <c r="J229" s="722">
        <f t="shared" si="18"/>
        <v>275.8</v>
      </c>
      <c r="K229" s="722">
        <f t="shared" si="19"/>
        <v>104.6</v>
      </c>
      <c r="X229" s="710"/>
    </row>
    <row r="230" spans="1:24">
      <c r="A230" s="719">
        <f t="shared" si="16"/>
        <v>43100</v>
      </c>
      <c r="B230" s="720">
        <f t="shared" si="15"/>
        <v>2018</v>
      </c>
      <c r="C230" s="794">
        <v>105</v>
      </c>
      <c r="D230" s="794">
        <v>278.10000000000002</v>
      </c>
      <c r="E230" s="794">
        <v>104.9</v>
      </c>
      <c r="F230" s="721" t="str">
        <f>IF($A230&lt;DATE(2018,7,1),"-",INDEX('I1 - Universal Data'!$E$16:$V$16, MATCH(YEAR(EOMONTH($A230,6)), 'I1 - Universal Data'!$E$14:$V$14, 0)))</f>
        <v>-</v>
      </c>
      <c r="G230" s="721" t="str">
        <f>IF($A230&lt;DATE(2018,7,1),"-",INDEX('I1 - Universal Data'!$E$15:$V$15, MATCH(YEAR(EOMONTH($A230,6)), 'I1 - Universal Data'!$E$14:$V$14, 0)))</f>
        <v>-</v>
      </c>
      <c r="H230" s="721" t="str">
        <f>IF($A230&lt;DATE(2018,7,1),"-",INDEX('I1 - Universal Data'!$E$17:$V$17, MATCH(YEAR(EOMONTH($A230,6)), 'I1 - Universal Data'!$E$14:$V$14, 0)))</f>
        <v>-</v>
      </c>
      <c r="I230" s="722">
        <f t="shared" si="17"/>
        <v>105</v>
      </c>
      <c r="J230" s="722">
        <f t="shared" si="18"/>
        <v>278.10000000000002</v>
      </c>
      <c r="K230" s="722">
        <f t="shared" si="19"/>
        <v>104.9</v>
      </c>
      <c r="X230" s="710"/>
    </row>
    <row r="231" spans="1:24">
      <c r="A231" s="719">
        <f t="shared" si="16"/>
        <v>43131</v>
      </c>
      <c r="B231" s="720">
        <f t="shared" si="15"/>
        <v>2018</v>
      </c>
      <c r="C231" s="794">
        <v>104.5</v>
      </c>
      <c r="D231" s="794">
        <v>276</v>
      </c>
      <c r="E231" s="794">
        <v>104.4</v>
      </c>
      <c r="F231" s="721" t="str">
        <f>IF($A231&lt;DATE(2018,7,1),"-",INDEX('I1 - Universal Data'!$E$16:$V$16, MATCH(YEAR(EOMONTH($A231,6)), 'I1 - Universal Data'!$E$14:$V$14, 0)))</f>
        <v>-</v>
      </c>
      <c r="G231" s="721" t="str">
        <f>IF($A231&lt;DATE(2018,7,1),"-",INDEX('I1 - Universal Data'!$E$15:$V$15, MATCH(YEAR(EOMONTH($A231,6)), 'I1 - Universal Data'!$E$14:$V$14, 0)))</f>
        <v>-</v>
      </c>
      <c r="H231" s="721" t="str">
        <f>IF($A231&lt;DATE(2018,7,1),"-",INDEX('I1 - Universal Data'!$E$17:$V$17, MATCH(YEAR(EOMONTH($A231,6)), 'I1 - Universal Data'!$E$14:$V$14, 0)))</f>
        <v>-</v>
      </c>
      <c r="I231" s="722">
        <f t="shared" si="17"/>
        <v>104.5</v>
      </c>
      <c r="J231" s="722">
        <f t="shared" si="18"/>
        <v>276</v>
      </c>
      <c r="K231" s="722">
        <f t="shared" si="19"/>
        <v>104.4</v>
      </c>
      <c r="X231" s="710"/>
    </row>
    <row r="232" spans="1:24">
      <c r="A232" s="719">
        <f t="shared" si="16"/>
        <v>43159</v>
      </c>
      <c r="B232" s="720">
        <f t="shared" si="15"/>
        <v>2018</v>
      </c>
      <c r="C232" s="794">
        <v>104.9</v>
      </c>
      <c r="D232" s="794">
        <v>278.10000000000002</v>
      </c>
      <c r="E232" s="794">
        <v>104.9</v>
      </c>
      <c r="F232" s="721" t="str">
        <f>IF($A232&lt;DATE(2018,7,1),"-",INDEX('I1 - Universal Data'!$E$16:$V$16, MATCH(YEAR(EOMONTH($A232,6)), 'I1 - Universal Data'!$E$14:$V$14, 0)))</f>
        <v>-</v>
      </c>
      <c r="G232" s="721" t="str">
        <f>IF($A232&lt;DATE(2018,7,1),"-",INDEX('I1 - Universal Data'!$E$15:$V$15, MATCH(YEAR(EOMONTH($A232,6)), 'I1 - Universal Data'!$E$14:$V$14, 0)))</f>
        <v>-</v>
      </c>
      <c r="H232" s="721" t="str">
        <f>IF($A232&lt;DATE(2018,7,1),"-",INDEX('I1 - Universal Data'!$E$17:$V$17, MATCH(YEAR(EOMONTH($A232,6)), 'I1 - Universal Data'!$E$14:$V$14, 0)))</f>
        <v>-</v>
      </c>
      <c r="I232" s="722">
        <f t="shared" si="17"/>
        <v>104.9</v>
      </c>
      <c r="J232" s="722">
        <f t="shared" si="18"/>
        <v>278.10000000000002</v>
      </c>
      <c r="K232" s="722">
        <f t="shared" si="19"/>
        <v>104.9</v>
      </c>
      <c r="X232" s="710"/>
    </row>
    <row r="233" spans="1:24">
      <c r="A233" s="719">
        <f t="shared" si="16"/>
        <v>43190</v>
      </c>
      <c r="B233" s="720">
        <f t="shared" si="15"/>
        <v>2018</v>
      </c>
      <c r="C233" s="794">
        <v>105.1</v>
      </c>
      <c r="D233" s="794">
        <v>278.3</v>
      </c>
      <c r="E233" s="794">
        <v>105</v>
      </c>
      <c r="F233" s="721" t="str">
        <f>IF($A233&lt;DATE(2018,7,1),"-",INDEX('I1 - Universal Data'!$E$16:$V$16, MATCH(YEAR(EOMONTH($A233,6)), 'I1 - Universal Data'!$E$14:$V$14, 0)))</f>
        <v>-</v>
      </c>
      <c r="G233" s="721" t="str">
        <f>IF($A233&lt;DATE(2018,7,1),"-",INDEX('I1 - Universal Data'!$E$15:$V$15, MATCH(YEAR(EOMONTH($A233,6)), 'I1 - Universal Data'!$E$14:$V$14, 0)))</f>
        <v>-</v>
      </c>
      <c r="H233" s="721" t="str">
        <f>IF($A233&lt;DATE(2018,7,1),"-",INDEX('I1 - Universal Data'!$E$17:$V$17, MATCH(YEAR(EOMONTH($A233,6)), 'I1 - Universal Data'!$E$14:$V$14, 0)))</f>
        <v>-</v>
      </c>
      <c r="I233" s="722">
        <f t="shared" si="17"/>
        <v>105.1</v>
      </c>
      <c r="J233" s="722">
        <f t="shared" si="18"/>
        <v>278.3</v>
      </c>
      <c r="K233" s="722">
        <f t="shared" si="19"/>
        <v>105</v>
      </c>
      <c r="X233" s="710"/>
    </row>
    <row r="234" spans="1:24">
      <c r="A234" s="719">
        <f t="shared" si="16"/>
        <v>43220</v>
      </c>
      <c r="B234" s="720">
        <f t="shared" si="15"/>
        <v>2019</v>
      </c>
      <c r="C234" s="794">
        <v>105.5</v>
      </c>
      <c r="D234" s="794">
        <v>279.7</v>
      </c>
      <c r="E234" s="794">
        <v>105.4</v>
      </c>
      <c r="F234" s="721" t="str">
        <f>IF($A234&lt;DATE(2018,7,1),"-",INDEX('I1 - Universal Data'!$E$16:$V$16, MATCH(YEAR(EOMONTH($A234,6)), 'I1 - Universal Data'!$E$14:$V$14, 0)))</f>
        <v>-</v>
      </c>
      <c r="G234" s="721" t="str">
        <f>IF($A234&lt;DATE(2018,7,1),"-",INDEX('I1 - Universal Data'!$E$15:$V$15, MATCH(YEAR(EOMONTH($A234,6)), 'I1 - Universal Data'!$E$14:$V$14, 0)))</f>
        <v>-</v>
      </c>
      <c r="H234" s="721" t="str">
        <f>IF($A234&lt;DATE(2018,7,1),"-",INDEX('I1 - Universal Data'!$E$17:$V$17, MATCH(YEAR(EOMONTH($A234,6)), 'I1 - Universal Data'!$E$14:$V$14, 0)))</f>
        <v>-</v>
      </c>
      <c r="I234" s="722">
        <f t="shared" si="17"/>
        <v>105.5</v>
      </c>
      <c r="J234" s="722">
        <f t="shared" si="18"/>
        <v>279.7</v>
      </c>
      <c r="K234" s="722">
        <f t="shared" si="19"/>
        <v>105.4</v>
      </c>
      <c r="X234" s="710"/>
    </row>
    <row r="235" spans="1:24">
      <c r="A235" s="719">
        <f t="shared" si="16"/>
        <v>43251</v>
      </c>
      <c r="B235" s="720">
        <f t="shared" si="15"/>
        <v>2019</v>
      </c>
      <c r="C235" s="794">
        <v>105.9</v>
      </c>
      <c r="D235" s="794">
        <v>280.7</v>
      </c>
      <c r="E235" s="794">
        <v>105.8</v>
      </c>
      <c r="F235" s="721" t="str">
        <f>IF($A235&lt;DATE(2018,7,1),"-",INDEX('I1 - Universal Data'!$E$16:$V$16, MATCH(YEAR(EOMONTH($A235,6)), 'I1 - Universal Data'!$E$14:$V$14, 0)))</f>
        <v>-</v>
      </c>
      <c r="G235" s="721" t="str">
        <f>IF($A235&lt;DATE(2018,7,1),"-",INDEX('I1 - Universal Data'!$E$15:$V$15, MATCH(YEAR(EOMONTH($A235,6)), 'I1 - Universal Data'!$E$14:$V$14, 0)))</f>
        <v>-</v>
      </c>
      <c r="H235" s="721" t="str">
        <f>IF($A235&lt;DATE(2018,7,1),"-",INDEX('I1 - Universal Data'!$E$17:$V$17, MATCH(YEAR(EOMONTH($A235,6)), 'I1 - Universal Data'!$E$14:$V$14, 0)))</f>
        <v>-</v>
      </c>
      <c r="I235" s="722">
        <f t="shared" si="17"/>
        <v>105.9</v>
      </c>
      <c r="J235" s="722">
        <f t="shared" si="18"/>
        <v>280.7</v>
      </c>
      <c r="K235" s="722">
        <f t="shared" si="19"/>
        <v>105.8</v>
      </c>
      <c r="X235" s="710"/>
    </row>
    <row r="236" spans="1:24">
      <c r="A236" s="719">
        <f t="shared" si="16"/>
        <v>43281</v>
      </c>
      <c r="B236" s="720">
        <f t="shared" si="15"/>
        <v>2019</v>
      </c>
      <c r="C236" s="794">
        <v>105.9</v>
      </c>
      <c r="D236" s="794">
        <v>281.5</v>
      </c>
      <c r="E236" s="794">
        <v>105.8</v>
      </c>
      <c r="F236" s="721" t="str">
        <f>IF($A236&lt;DATE(2018,7,1),"-",INDEX('I1 - Universal Data'!$E$16:$V$16, MATCH(YEAR(EOMONTH($A236,6)), 'I1 - Universal Data'!$E$14:$V$14, 0)))</f>
        <v>-</v>
      </c>
      <c r="G236" s="721" t="str">
        <f>IF($A236&lt;DATE(2018,7,1),"-",INDEX('I1 - Universal Data'!$E$15:$V$15, MATCH(YEAR(EOMONTH($A236,6)), 'I1 - Universal Data'!$E$14:$V$14, 0)))</f>
        <v>-</v>
      </c>
      <c r="H236" s="721" t="str">
        <f>IF($A236&lt;DATE(2018,7,1),"-",INDEX('I1 - Universal Data'!$E$17:$V$17, MATCH(YEAR(EOMONTH($A236,6)), 'I1 - Universal Data'!$E$14:$V$14, 0)))</f>
        <v>-</v>
      </c>
      <c r="I236" s="722">
        <f t="shared" si="17"/>
        <v>105.9</v>
      </c>
      <c r="J236" s="722">
        <f t="shared" si="18"/>
        <v>281.5</v>
      </c>
      <c r="K236" s="722">
        <f t="shared" si="19"/>
        <v>105.8</v>
      </c>
      <c r="X236" s="710"/>
    </row>
    <row r="237" spans="1:24">
      <c r="A237" s="719">
        <f t="shared" si="16"/>
        <v>43312</v>
      </c>
      <c r="B237" s="720">
        <f t="shared" si="15"/>
        <v>2019</v>
      </c>
      <c r="C237" s="794">
        <v>105.9</v>
      </c>
      <c r="D237" s="794">
        <v>281.7</v>
      </c>
      <c r="E237" s="794">
        <v>105.8</v>
      </c>
      <c r="F237" s="721">
        <f>IF($A237&lt;DATE(2018,7,1),"-",INDEX('I1 - Universal Data'!$E$16:$V$16, MATCH(YEAR(EOMONTH($A237,6)), 'I1 - Universal Data'!$E$14:$V$14, 0)))</f>
        <v>1.7910205867057716E-2</v>
      </c>
      <c r="G237" s="721">
        <f>IF($A237&lt;DATE(2018,7,1),"-",INDEX('I1 - Universal Data'!$E$15:$V$15, MATCH(YEAR(EOMONTH($A237,6)), 'I1 - Universal Data'!$E$14:$V$14, 0)))</f>
        <v>2.5628884588821732E-2</v>
      </c>
      <c r="H237" s="721">
        <f>IF($A237&lt;DATE(2018,7,1),"-",INDEX('I1 - Universal Data'!$E$17:$V$17, MATCH(YEAR(EOMONTH($A237,6)), 'I1 - Universal Data'!$E$14:$V$14, 0)))</f>
        <v>1.7381044449375382E-2</v>
      </c>
      <c r="I237" s="722">
        <f t="shared" si="17"/>
        <v>105.9</v>
      </c>
      <c r="J237" s="722">
        <f t="shared" si="18"/>
        <v>281.7</v>
      </c>
      <c r="K237" s="722">
        <f t="shared" si="19"/>
        <v>105.8</v>
      </c>
      <c r="X237" s="710"/>
    </row>
    <row r="238" spans="1:24">
      <c r="A238" s="719">
        <f t="shared" si="16"/>
        <v>43343</v>
      </c>
      <c r="B238" s="720">
        <f t="shared" si="15"/>
        <v>2019</v>
      </c>
      <c r="C238" s="794">
        <v>106.5</v>
      </c>
      <c r="D238" s="794">
        <v>284.2</v>
      </c>
      <c r="E238" s="794">
        <v>106.5</v>
      </c>
      <c r="F238" s="721">
        <f>IF($A238&lt;DATE(2018,7,1),"-",INDEX('I1 - Universal Data'!$E$16:$V$16, MATCH(YEAR(EOMONTH($A238,6)), 'I1 - Universal Data'!$E$14:$V$14, 0)))</f>
        <v>1.7910205867057716E-2</v>
      </c>
      <c r="G238" s="721">
        <f>IF($A238&lt;DATE(2018,7,1),"-",INDEX('I1 - Universal Data'!$E$15:$V$15, MATCH(YEAR(EOMONTH($A238,6)), 'I1 - Universal Data'!$E$14:$V$14, 0)))</f>
        <v>2.5628884588821732E-2</v>
      </c>
      <c r="H238" s="721">
        <f>IF($A238&lt;DATE(2018,7,1),"-",INDEX('I1 - Universal Data'!$E$17:$V$17, MATCH(YEAR(EOMONTH($A238,6)), 'I1 - Universal Data'!$E$14:$V$14, 0)))</f>
        <v>1.7381044449375382E-2</v>
      </c>
      <c r="I238" s="722">
        <f t="shared" si="17"/>
        <v>106.5</v>
      </c>
      <c r="J238" s="722">
        <f t="shared" si="18"/>
        <v>284.2</v>
      </c>
      <c r="K238" s="722">
        <f t="shared" si="19"/>
        <v>106.5</v>
      </c>
      <c r="X238" s="710"/>
    </row>
    <row r="239" spans="1:24">
      <c r="A239" s="719">
        <f t="shared" si="16"/>
        <v>43373</v>
      </c>
      <c r="B239" s="720">
        <f t="shared" si="15"/>
        <v>2019</v>
      </c>
      <c r="C239" s="794">
        <v>106.6</v>
      </c>
      <c r="D239" s="794">
        <v>284.10000000000002</v>
      </c>
      <c r="E239" s="794">
        <v>106.6</v>
      </c>
      <c r="F239" s="721">
        <f>IF($A239&lt;DATE(2018,7,1),"-",INDEX('I1 - Universal Data'!$E$16:$V$16, MATCH(YEAR(EOMONTH($A239,6)), 'I1 - Universal Data'!$E$14:$V$14, 0)))</f>
        <v>1.7910205867057716E-2</v>
      </c>
      <c r="G239" s="721">
        <f>IF($A239&lt;DATE(2018,7,1),"-",INDEX('I1 - Universal Data'!$E$15:$V$15, MATCH(YEAR(EOMONTH($A239,6)), 'I1 - Universal Data'!$E$14:$V$14, 0)))</f>
        <v>2.5628884588821732E-2</v>
      </c>
      <c r="H239" s="721">
        <f>IF($A239&lt;DATE(2018,7,1),"-",INDEX('I1 - Universal Data'!$E$17:$V$17, MATCH(YEAR(EOMONTH($A239,6)), 'I1 - Universal Data'!$E$14:$V$14, 0)))</f>
        <v>1.7381044449375382E-2</v>
      </c>
      <c r="I239" s="722">
        <f t="shared" si="17"/>
        <v>106.6</v>
      </c>
      <c r="J239" s="722">
        <f t="shared" si="18"/>
        <v>284.10000000000002</v>
      </c>
      <c r="K239" s="722">
        <f t="shared" si="19"/>
        <v>106.6</v>
      </c>
      <c r="X239" s="710"/>
    </row>
    <row r="240" spans="1:24">
      <c r="A240" s="719">
        <f t="shared" si="16"/>
        <v>43404</v>
      </c>
      <c r="B240" s="720">
        <f t="shared" si="15"/>
        <v>2019</v>
      </c>
      <c r="C240" s="794">
        <v>106.7</v>
      </c>
      <c r="D240" s="794">
        <v>284.5</v>
      </c>
      <c r="E240" s="794">
        <v>106.7</v>
      </c>
      <c r="F240" s="721">
        <f>IF($A240&lt;DATE(2018,7,1),"-",INDEX('I1 - Universal Data'!$E$16:$V$16, MATCH(YEAR(EOMONTH($A240,6)), 'I1 - Universal Data'!$E$14:$V$14, 0)))</f>
        <v>1.7910205867057716E-2</v>
      </c>
      <c r="G240" s="721">
        <f>IF($A240&lt;DATE(2018,7,1),"-",INDEX('I1 - Universal Data'!$E$15:$V$15, MATCH(YEAR(EOMONTH($A240,6)), 'I1 - Universal Data'!$E$14:$V$14, 0)))</f>
        <v>2.5628884588821732E-2</v>
      </c>
      <c r="H240" s="721">
        <f>IF($A240&lt;DATE(2018,7,1),"-",INDEX('I1 - Universal Data'!$E$17:$V$17, MATCH(YEAR(EOMONTH($A240,6)), 'I1 - Universal Data'!$E$14:$V$14, 0)))</f>
        <v>1.7381044449375382E-2</v>
      </c>
      <c r="I240" s="722">
        <f t="shared" si="17"/>
        <v>106.7</v>
      </c>
      <c r="J240" s="722">
        <f t="shared" si="18"/>
        <v>284.5</v>
      </c>
      <c r="K240" s="722">
        <f t="shared" si="19"/>
        <v>106.7</v>
      </c>
      <c r="X240" s="710"/>
    </row>
    <row r="241" spans="1:24">
      <c r="A241" s="719">
        <f t="shared" si="16"/>
        <v>43434</v>
      </c>
      <c r="B241" s="720">
        <f t="shared" si="15"/>
        <v>2019</v>
      </c>
      <c r="C241" s="794">
        <v>106.9</v>
      </c>
      <c r="D241" s="794">
        <v>284.60000000000002</v>
      </c>
      <c r="E241" s="794">
        <v>107</v>
      </c>
      <c r="F241" s="721">
        <f>IF($A241&lt;DATE(2018,7,1),"-",INDEX('I1 - Universal Data'!$E$16:$V$16, MATCH(YEAR(EOMONTH($A241,6)), 'I1 - Universal Data'!$E$14:$V$14, 0)))</f>
        <v>1.7910205867057716E-2</v>
      </c>
      <c r="G241" s="721">
        <f>IF($A241&lt;DATE(2018,7,1),"-",INDEX('I1 - Universal Data'!$E$15:$V$15, MATCH(YEAR(EOMONTH($A241,6)), 'I1 - Universal Data'!$E$14:$V$14, 0)))</f>
        <v>2.5628884588821732E-2</v>
      </c>
      <c r="H241" s="721">
        <f>IF($A241&lt;DATE(2018,7,1),"-",INDEX('I1 - Universal Data'!$E$17:$V$17, MATCH(YEAR(EOMONTH($A241,6)), 'I1 - Universal Data'!$E$14:$V$14, 0)))</f>
        <v>1.7381044449375382E-2</v>
      </c>
      <c r="I241" s="722">
        <f t="shared" si="17"/>
        <v>106.9</v>
      </c>
      <c r="J241" s="722">
        <f t="shared" si="18"/>
        <v>284.60000000000002</v>
      </c>
      <c r="K241" s="722">
        <f t="shared" si="19"/>
        <v>107</v>
      </c>
      <c r="X241" s="710"/>
    </row>
    <row r="242" spans="1:24">
      <c r="A242" s="719">
        <f t="shared" si="16"/>
        <v>43465</v>
      </c>
      <c r="B242" s="720">
        <f t="shared" si="15"/>
        <v>2019</v>
      </c>
      <c r="C242" s="794">
        <v>107.1</v>
      </c>
      <c r="D242" s="794">
        <v>285.60000000000002</v>
      </c>
      <c r="E242" s="794">
        <v>107.1</v>
      </c>
      <c r="F242" s="721">
        <f>IF($A242&lt;DATE(2018,7,1),"-",INDEX('I1 - Universal Data'!$E$16:$V$16, MATCH(YEAR(EOMONTH($A242,6)), 'I1 - Universal Data'!$E$14:$V$14, 0)))</f>
        <v>1.7910205867057716E-2</v>
      </c>
      <c r="G242" s="721">
        <f>IF($A242&lt;DATE(2018,7,1),"-",INDEX('I1 - Universal Data'!$E$15:$V$15, MATCH(YEAR(EOMONTH($A242,6)), 'I1 - Universal Data'!$E$14:$V$14, 0)))</f>
        <v>2.5628884588821732E-2</v>
      </c>
      <c r="H242" s="721">
        <f>IF($A242&lt;DATE(2018,7,1),"-",INDEX('I1 - Universal Data'!$E$17:$V$17, MATCH(YEAR(EOMONTH($A242,6)), 'I1 - Universal Data'!$E$14:$V$14, 0)))</f>
        <v>1.7381044449375382E-2</v>
      </c>
      <c r="I242" s="722">
        <f t="shared" si="17"/>
        <v>107.1</v>
      </c>
      <c r="J242" s="722">
        <f t="shared" si="18"/>
        <v>285.60000000000002</v>
      </c>
      <c r="K242" s="722">
        <f t="shared" si="19"/>
        <v>107.1</v>
      </c>
      <c r="X242" s="710"/>
    </row>
    <row r="243" spans="1:24">
      <c r="A243" s="719">
        <f t="shared" si="16"/>
        <v>43496</v>
      </c>
      <c r="B243" s="720">
        <f t="shared" si="15"/>
        <v>2019</v>
      </c>
      <c r="C243" s="794">
        <v>106.4</v>
      </c>
      <c r="D243" s="794">
        <v>283</v>
      </c>
      <c r="E243" s="794">
        <v>106.3</v>
      </c>
      <c r="F243" s="721">
        <f>IF($A243&lt;DATE(2018,7,1),"-",INDEX('I1 - Universal Data'!$E$16:$V$16, MATCH(YEAR(EOMONTH($A243,6)), 'I1 - Universal Data'!$E$14:$V$14, 0)))</f>
        <v>1.7910205867057716E-2</v>
      </c>
      <c r="G243" s="721">
        <f>IF($A243&lt;DATE(2018,7,1),"-",INDEX('I1 - Universal Data'!$E$15:$V$15, MATCH(YEAR(EOMONTH($A243,6)), 'I1 - Universal Data'!$E$14:$V$14, 0)))</f>
        <v>2.5628884588821732E-2</v>
      </c>
      <c r="H243" s="721">
        <f>IF($A243&lt;DATE(2018,7,1),"-",INDEX('I1 - Universal Data'!$E$17:$V$17, MATCH(YEAR(EOMONTH($A243,6)), 'I1 - Universal Data'!$E$14:$V$14, 0)))</f>
        <v>1.7381044449375382E-2</v>
      </c>
      <c r="I243" s="722">
        <f t="shared" si="17"/>
        <v>106.4</v>
      </c>
      <c r="J243" s="722">
        <f t="shared" si="18"/>
        <v>283</v>
      </c>
      <c r="K243" s="722">
        <f t="shared" si="19"/>
        <v>106.3</v>
      </c>
      <c r="X243" s="710"/>
    </row>
    <row r="244" spans="1:24">
      <c r="A244" s="719">
        <f t="shared" si="16"/>
        <v>43524</v>
      </c>
      <c r="B244" s="720">
        <f t="shared" si="15"/>
        <v>2019</v>
      </c>
      <c r="C244" s="794">
        <v>106.8</v>
      </c>
      <c r="D244" s="794">
        <v>285</v>
      </c>
      <c r="E244" s="794">
        <v>106.8</v>
      </c>
      <c r="F244" s="721">
        <f>IF($A244&lt;DATE(2018,7,1),"-",INDEX('I1 - Universal Data'!$E$16:$V$16, MATCH(YEAR(EOMONTH($A244,6)), 'I1 - Universal Data'!$E$14:$V$14, 0)))</f>
        <v>1.7910205867057716E-2</v>
      </c>
      <c r="G244" s="721">
        <f>IF($A244&lt;DATE(2018,7,1),"-",INDEX('I1 - Universal Data'!$E$15:$V$15, MATCH(YEAR(EOMONTH($A244,6)), 'I1 - Universal Data'!$E$14:$V$14, 0)))</f>
        <v>2.5628884588821732E-2</v>
      </c>
      <c r="H244" s="721">
        <f>IF($A244&lt;DATE(2018,7,1),"-",INDEX('I1 - Universal Data'!$E$17:$V$17, MATCH(YEAR(EOMONTH($A244,6)), 'I1 - Universal Data'!$E$14:$V$14, 0)))</f>
        <v>1.7381044449375382E-2</v>
      </c>
      <c r="I244" s="722">
        <f t="shared" si="17"/>
        <v>106.8</v>
      </c>
      <c r="J244" s="722">
        <f t="shared" si="18"/>
        <v>285</v>
      </c>
      <c r="K244" s="722">
        <f t="shared" si="19"/>
        <v>106.8</v>
      </c>
      <c r="X244" s="710"/>
    </row>
    <row r="245" spans="1:24">
      <c r="A245" s="719">
        <f t="shared" si="16"/>
        <v>43555</v>
      </c>
      <c r="B245" s="720">
        <f t="shared" si="15"/>
        <v>2019</v>
      </c>
      <c r="C245" s="794">
        <v>107</v>
      </c>
      <c r="D245" s="794">
        <v>285.10000000000002</v>
      </c>
      <c r="E245" s="794">
        <v>107</v>
      </c>
      <c r="F245" s="721">
        <f>IF($A245&lt;DATE(2018,7,1),"-",INDEX('I1 - Universal Data'!$E$16:$V$16, MATCH(YEAR(EOMONTH($A245,6)), 'I1 - Universal Data'!$E$14:$V$14, 0)))</f>
        <v>1.7910205867057716E-2</v>
      </c>
      <c r="G245" s="721">
        <f>IF($A245&lt;DATE(2018,7,1),"-",INDEX('I1 - Universal Data'!$E$15:$V$15, MATCH(YEAR(EOMONTH($A245,6)), 'I1 - Universal Data'!$E$14:$V$14, 0)))</f>
        <v>2.5628884588821732E-2</v>
      </c>
      <c r="H245" s="721">
        <f>IF($A245&lt;DATE(2018,7,1),"-",INDEX('I1 - Universal Data'!$E$17:$V$17, MATCH(YEAR(EOMONTH($A245,6)), 'I1 - Universal Data'!$E$14:$V$14, 0)))</f>
        <v>1.7381044449375382E-2</v>
      </c>
      <c r="I245" s="722">
        <f t="shared" si="17"/>
        <v>107</v>
      </c>
      <c r="J245" s="722">
        <f t="shared" si="18"/>
        <v>285.10000000000002</v>
      </c>
      <c r="K245" s="722">
        <f t="shared" si="19"/>
        <v>107</v>
      </c>
      <c r="X245" s="710"/>
    </row>
    <row r="246" spans="1:24">
      <c r="A246" s="719">
        <f t="shared" si="16"/>
        <v>43585</v>
      </c>
      <c r="B246" s="720">
        <f t="shared" si="15"/>
        <v>2020</v>
      </c>
      <c r="C246" s="794">
        <v>107.6</v>
      </c>
      <c r="D246" s="794">
        <v>288.2</v>
      </c>
      <c r="E246" s="794">
        <v>107.6</v>
      </c>
      <c r="F246" s="721">
        <f>IF($A246&lt;DATE(2018,7,1),"-",INDEX('I1 - Universal Data'!$E$16:$V$16, MATCH(YEAR(EOMONTH($A246,6)), 'I1 - Universal Data'!$E$14:$V$14, 0)))</f>
        <v>1.7910205867057716E-2</v>
      </c>
      <c r="G246" s="721">
        <f>IF($A246&lt;DATE(2018,7,1),"-",INDEX('I1 - Universal Data'!$E$15:$V$15, MATCH(YEAR(EOMONTH($A246,6)), 'I1 - Universal Data'!$E$14:$V$14, 0)))</f>
        <v>2.5628884588821732E-2</v>
      </c>
      <c r="H246" s="721">
        <f>IF($A246&lt;DATE(2018,7,1),"-",INDEX('I1 - Universal Data'!$E$17:$V$17, MATCH(YEAR(EOMONTH($A246,6)), 'I1 - Universal Data'!$E$14:$V$14, 0)))</f>
        <v>1.7381044449375382E-2</v>
      </c>
      <c r="I246" s="722">
        <f t="shared" si="17"/>
        <v>107.6</v>
      </c>
      <c r="J246" s="722">
        <f t="shared" si="18"/>
        <v>288.2</v>
      </c>
      <c r="K246" s="722">
        <f t="shared" si="19"/>
        <v>107.6</v>
      </c>
      <c r="W246" s="711"/>
      <c r="X246" s="710"/>
    </row>
    <row r="247" spans="1:24">
      <c r="A247" s="719">
        <f t="shared" si="16"/>
        <v>43616</v>
      </c>
      <c r="B247" s="720">
        <f t="shared" si="15"/>
        <v>2020</v>
      </c>
      <c r="C247" s="794">
        <v>107.9</v>
      </c>
      <c r="D247" s="794">
        <v>289.2</v>
      </c>
      <c r="E247" s="794">
        <v>107.9</v>
      </c>
      <c r="F247" s="721">
        <f>IF($A247&lt;DATE(2018,7,1),"-",INDEX('I1 - Universal Data'!$E$16:$V$16, MATCH(YEAR(EOMONTH($A247,6)), 'I1 - Universal Data'!$E$14:$V$14, 0)))</f>
        <v>1.7910205867057716E-2</v>
      </c>
      <c r="G247" s="721">
        <f>IF($A247&lt;DATE(2018,7,1),"-",INDEX('I1 - Universal Data'!$E$15:$V$15, MATCH(YEAR(EOMONTH($A247,6)), 'I1 - Universal Data'!$E$14:$V$14, 0)))</f>
        <v>2.5628884588821732E-2</v>
      </c>
      <c r="H247" s="721">
        <f>IF($A247&lt;DATE(2018,7,1),"-",INDEX('I1 - Universal Data'!$E$17:$V$17, MATCH(YEAR(EOMONTH($A247,6)), 'I1 - Universal Data'!$E$14:$V$14, 0)))</f>
        <v>1.7381044449375382E-2</v>
      </c>
      <c r="I247" s="722">
        <f t="shared" si="17"/>
        <v>107.9</v>
      </c>
      <c r="J247" s="722">
        <f t="shared" si="18"/>
        <v>289.2</v>
      </c>
      <c r="K247" s="722">
        <f t="shared" si="19"/>
        <v>107.9</v>
      </c>
      <c r="W247" s="711"/>
      <c r="X247" s="710"/>
    </row>
    <row r="248" spans="1:24">
      <c r="A248" s="719">
        <f t="shared" si="16"/>
        <v>43646</v>
      </c>
      <c r="B248" s="720">
        <f t="shared" si="15"/>
        <v>2020</v>
      </c>
      <c r="C248" s="794">
        <v>107.9</v>
      </c>
      <c r="D248" s="794">
        <v>289.60000000000002</v>
      </c>
      <c r="E248" s="794">
        <v>107.9</v>
      </c>
      <c r="F248" s="721">
        <f>IF($A248&lt;DATE(2018,7,1),"-",INDEX('I1 - Universal Data'!$E$16:$V$16, MATCH(YEAR(EOMONTH($A248,6)), 'I1 - Universal Data'!$E$14:$V$14, 0)))</f>
        <v>1.7910205867057716E-2</v>
      </c>
      <c r="G248" s="721">
        <f>IF($A248&lt;DATE(2018,7,1),"-",INDEX('I1 - Universal Data'!$E$15:$V$15, MATCH(YEAR(EOMONTH($A248,6)), 'I1 - Universal Data'!$E$14:$V$14, 0)))</f>
        <v>2.5628884588821732E-2</v>
      </c>
      <c r="H248" s="721">
        <f>IF($A248&lt;DATE(2018,7,1),"-",INDEX('I1 - Universal Data'!$E$17:$V$17, MATCH(YEAR(EOMONTH($A248,6)), 'I1 - Universal Data'!$E$14:$V$14, 0)))</f>
        <v>1.7381044449375382E-2</v>
      </c>
      <c r="I248" s="722">
        <f t="shared" si="17"/>
        <v>107.9</v>
      </c>
      <c r="J248" s="722">
        <f t="shared" si="18"/>
        <v>289.60000000000002</v>
      </c>
      <c r="K248" s="722">
        <f t="shared" si="19"/>
        <v>107.9</v>
      </c>
      <c r="W248" s="711"/>
      <c r="X248" s="710"/>
    </row>
    <row r="249" spans="1:24">
      <c r="A249" s="719">
        <f t="shared" si="16"/>
        <v>43677</v>
      </c>
      <c r="B249" s="720">
        <f t="shared" si="15"/>
        <v>2020</v>
      </c>
      <c r="C249" s="794">
        <v>108</v>
      </c>
      <c r="D249" s="794">
        <v>289.5</v>
      </c>
      <c r="E249" s="794">
        <v>107.9</v>
      </c>
      <c r="F249" s="721">
        <f>IF($A249&lt;DATE(2018,7,1),"-",INDEX('I1 - Universal Data'!$E$16:$V$16, MATCH(YEAR(EOMONTH($A249,6)), 'I1 - Universal Data'!$E$14:$V$14, 0)))</f>
        <v>8.5065402820156955E-3</v>
      </c>
      <c r="G249" s="721">
        <f>IF($A249&lt;DATE(2018,7,1),"-",INDEX('I1 - Universal Data'!$E$15:$V$15, MATCH(YEAR(EOMONTH($A249,6)), 'I1 - Universal Data'!$E$14:$V$14, 0)))</f>
        <v>1.5033471260387898E-2</v>
      </c>
      <c r="H249" s="721">
        <f>IF($A249&lt;DATE(2018,7,1),"-",INDEX('I1 - Universal Data'!$E$17:$V$17, MATCH(YEAR(EOMONTH($A249,6)), 'I1 - Universal Data'!$E$14:$V$14, 0)))</f>
        <v>9.8948701528174254E-3</v>
      </c>
      <c r="I249" s="722">
        <f t="shared" si="17"/>
        <v>108</v>
      </c>
      <c r="J249" s="722">
        <f t="shared" si="18"/>
        <v>289.5</v>
      </c>
      <c r="K249" s="722">
        <f t="shared" si="19"/>
        <v>107.9</v>
      </c>
      <c r="W249" s="711"/>
      <c r="X249" s="710"/>
    </row>
    <row r="250" spans="1:24">
      <c r="A250" s="719">
        <f t="shared" si="16"/>
        <v>43708</v>
      </c>
      <c r="B250" s="720">
        <f t="shared" si="15"/>
        <v>2020</v>
      </c>
      <c r="C250" s="794">
        <v>108.3</v>
      </c>
      <c r="D250" s="794">
        <v>291.7</v>
      </c>
      <c r="E250" s="794">
        <v>108.4</v>
      </c>
      <c r="F250" s="721">
        <f>IF($A250&lt;DATE(2018,7,1),"-",INDEX('I1 - Universal Data'!$E$16:$V$16, MATCH(YEAR(EOMONTH($A250,6)), 'I1 - Universal Data'!$E$14:$V$14, 0)))</f>
        <v>8.5065402820156955E-3</v>
      </c>
      <c r="G250" s="721">
        <f>IF($A250&lt;DATE(2018,7,1),"-",INDEX('I1 - Universal Data'!$E$15:$V$15, MATCH(YEAR(EOMONTH($A250,6)), 'I1 - Universal Data'!$E$14:$V$14, 0)))</f>
        <v>1.5033471260387898E-2</v>
      </c>
      <c r="H250" s="721">
        <f>IF($A250&lt;DATE(2018,7,1),"-",INDEX('I1 - Universal Data'!$E$17:$V$17, MATCH(YEAR(EOMONTH($A250,6)), 'I1 - Universal Data'!$E$14:$V$14, 0)))</f>
        <v>9.8948701528174254E-3</v>
      </c>
      <c r="I250" s="722">
        <f t="shared" si="17"/>
        <v>108.3</v>
      </c>
      <c r="J250" s="722">
        <f t="shared" si="18"/>
        <v>291.7</v>
      </c>
      <c r="K250" s="722">
        <f t="shared" si="19"/>
        <v>108.4</v>
      </c>
      <c r="W250" s="711"/>
      <c r="X250" s="710"/>
    </row>
    <row r="251" spans="1:24">
      <c r="A251" s="719">
        <f t="shared" si="16"/>
        <v>43738</v>
      </c>
      <c r="B251" s="720">
        <f t="shared" si="15"/>
        <v>2020</v>
      </c>
      <c r="C251" s="794">
        <v>108.4</v>
      </c>
      <c r="D251" s="794">
        <v>291</v>
      </c>
      <c r="E251" s="794">
        <v>108.5</v>
      </c>
      <c r="F251" s="721">
        <f>IF($A251&lt;DATE(2018,7,1),"-",INDEX('I1 - Universal Data'!$E$16:$V$16, MATCH(YEAR(EOMONTH($A251,6)), 'I1 - Universal Data'!$E$14:$V$14, 0)))</f>
        <v>8.5065402820156955E-3</v>
      </c>
      <c r="G251" s="721">
        <f>IF($A251&lt;DATE(2018,7,1),"-",INDEX('I1 - Universal Data'!$E$15:$V$15, MATCH(YEAR(EOMONTH($A251,6)), 'I1 - Universal Data'!$E$14:$V$14, 0)))</f>
        <v>1.5033471260387898E-2</v>
      </c>
      <c r="H251" s="721">
        <f>IF($A251&lt;DATE(2018,7,1),"-",INDEX('I1 - Universal Data'!$E$17:$V$17, MATCH(YEAR(EOMONTH($A251,6)), 'I1 - Universal Data'!$E$14:$V$14, 0)))</f>
        <v>9.8948701528174254E-3</v>
      </c>
      <c r="I251" s="722">
        <f t="shared" si="17"/>
        <v>108.4</v>
      </c>
      <c r="J251" s="722">
        <f t="shared" si="18"/>
        <v>291</v>
      </c>
      <c r="K251" s="722">
        <f t="shared" si="19"/>
        <v>108.5</v>
      </c>
      <c r="W251" s="711"/>
      <c r="X251" s="710"/>
    </row>
    <row r="252" spans="1:24">
      <c r="A252" s="719">
        <f t="shared" si="16"/>
        <v>43769</v>
      </c>
      <c r="B252" s="720">
        <f t="shared" si="15"/>
        <v>2020</v>
      </c>
      <c r="C252" s="794">
        <v>108.3</v>
      </c>
      <c r="D252" s="794">
        <v>290.39999999999998</v>
      </c>
      <c r="E252" s="794">
        <v>108.3</v>
      </c>
      <c r="F252" s="721">
        <f>IF($A252&lt;DATE(2018,7,1),"-",INDEX('I1 - Universal Data'!$E$16:$V$16, MATCH(YEAR(EOMONTH($A252,6)), 'I1 - Universal Data'!$E$14:$V$14, 0)))</f>
        <v>8.5065402820156955E-3</v>
      </c>
      <c r="G252" s="721">
        <f>IF($A252&lt;DATE(2018,7,1),"-",INDEX('I1 - Universal Data'!$E$15:$V$15, MATCH(YEAR(EOMONTH($A252,6)), 'I1 - Universal Data'!$E$14:$V$14, 0)))</f>
        <v>1.5033471260387898E-2</v>
      </c>
      <c r="H252" s="721">
        <f>IF($A252&lt;DATE(2018,7,1),"-",INDEX('I1 - Universal Data'!$E$17:$V$17, MATCH(YEAR(EOMONTH($A252,6)), 'I1 - Universal Data'!$E$14:$V$14, 0)))</f>
        <v>9.8948701528174254E-3</v>
      </c>
      <c r="I252" s="722">
        <f t="shared" si="17"/>
        <v>108.3</v>
      </c>
      <c r="J252" s="722">
        <f t="shared" si="18"/>
        <v>290.39999999999998</v>
      </c>
      <c r="K252" s="722">
        <f t="shared" si="19"/>
        <v>108.3</v>
      </c>
      <c r="W252" s="711"/>
      <c r="X252" s="710"/>
    </row>
    <row r="253" spans="1:24">
      <c r="A253" s="719">
        <f t="shared" si="16"/>
        <v>43799</v>
      </c>
      <c r="B253" s="720">
        <f t="shared" si="15"/>
        <v>2020</v>
      </c>
      <c r="C253" s="794">
        <v>108.5</v>
      </c>
      <c r="D253" s="794">
        <v>291</v>
      </c>
      <c r="E253" s="794">
        <v>108.5</v>
      </c>
      <c r="F253" s="721">
        <f>IF($A253&lt;DATE(2018,7,1),"-",INDEX('I1 - Universal Data'!$E$16:$V$16, MATCH(YEAR(EOMONTH($A253,6)), 'I1 - Universal Data'!$E$14:$V$14, 0)))</f>
        <v>8.5065402820156955E-3</v>
      </c>
      <c r="G253" s="721">
        <f>IF($A253&lt;DATE(2018,7,1),"-",INDEX('I1 - Universal Data'!$E$15:$V$15, MATCH(YEAR(EOMONTH($A253,6)), 'I1 - Universal Data'!$E$14:$V$14, 0)))</f>
        <v>1.5033471260387898E-2</v>
      </c>
      <c r="H253" s="721">
        <f>IF($A253&lt;DATE(2018,7,1),"-",INDEX('I1 - Universal Data'!$E$17:$V$17, MATCH(YEAR(EOMONTH($A253,6)), 'I1 - Universal Data'!$E$14:$V$14, 0)))</f>
        <v>9.8948701528174254E-3</v>
      </c>
      <c r="I253" s="722">
        <f t="shared" si="17"/>
        <v>108.5</v>
      </c>
      <c r="J253" s="722">
        <f t="shared" si="18"/>
        <v>291</v>
      </c>
      <c r="K253" s="722">
        <f t="shared" si="19"/>
        <v>108.5</v>
      </c>
      <c r="W253" s="711"/>
      <c r="X253" s="710"/>
    </row>
    <row r="254" spans="1:24">
      <c r="A254" s="719">
        <f t="shared" si="16"/>
        <v>43830</v>
      </c>
      <c r="B254" s="720">
        <f t="shared" si="15"/>
        <v>2020</v>
      </c>
      <c r="C254" s="794">
        <v>108.5</v>
      </c>
      <c r="D254" s="794">
        <v>291.89999999999998</v>
      </c>
      <c r="E254" s="794">
        <v>108.5</v>
      </c>
      <c r="F254" s="721">
        <f>IF($A254&lt;DATE(2018,7,1),"-",INDEX('I1 - Universal Data'!$E$16:$V$16, MATCH(YEAR(EOMONTH($A254,6)), 'I1 - Universal Data'!$E$14:$V$14, 0)))</f>
        <v>8.5065402820156955E-3</v>
      </c>
      <c r="G254" s="721">
        <f>IF($A254&lt;DATE(2018,7,1),"-",INDEX('I1 - Universal Data'!$E$15:$V$15, MATCH(YEAR(EOMONTH($A254,6)), 'I1 - Universal Data'!$E$14:$V$14, 0)))</f>
        <v>1.5033471260387898E-2</v>
      </c>
      <c r="H254" s="721">
        <f>IF($A254&lt;DATE(2018,7,1),"-",INDEX('I1 - Universal Data'!$E$17:$V$17, MATCH(YEAR(EOMONTH($A254,6)), 'I1 - Universal Data'!$E$14:$V$14, 0)))</f>
        <v>9.8948701528174254E-3</v>
      </c>
      <c r="I254" s="722">
        <f t="shared" si="17"/>
        <v>108.5</v>
      </c>
      <c r="J254" s="722">
        <f t="shared" si="18"/>
        <v>291.89999999999998</v>
      </c>
      <c r="K254" s="722">
        <f t="shared" si="19"/>
        <v>108.5</v>
      </c>
      <c r="W254" s="711"/>
      <c r="X254" s="710"/>
    </row>
    <row r="255" spans="1:24">
      <c r="A255" s="719">
        <f t="shared" si="16"/>
        <v>43861</v>
      </c>
      <c r="B255" s="720">
        <f t="shared" si="15"/>
        <v>2020</v>
      </c>
      <c r="C255" s="794">
        <v>108.3</v>
      </c>
      <c r="D255" s="794">
        <v>290.60000000000002</v>
      </c>
      <c r="E255" s="794">
        <v>108.2</v>
      </c>
      <c r="F255" s="721">
        <f>IF($A255&lt;DATE(2018,7,1),"-",INDEX('I1 - Universal Data'!$E$16:$V$16, MATCH(YEAR(EOMONTH($A255,6)), 'I1 - Universal Data'!$E$14:$V$14, 0)))</f>
        <v>8.5065402820156955E-3</v>
      </c>
      <c r="G255" s="721">
        <f>IF($A255&lt;DATE(2018,7,1),"-",INDEX('I1 - Universal Data'!$E$15:$V$15, MATCH(YEAR(EOMONTH($A255,6)), 'I1 - Universal Data'!$E$14:$V$14, 0)))</f>
        <v>1.5033471260387898E-2</v>
      </c>
      <c r="H255" s="721">
        <f>IF($A255&lt;DATE(2018,7,1),"-",INDEX('I1 - Universal Data'!$E$17:$V$17, MATCH(YEAR(EOMONTH($A255,6)), 'I1 - Universal Data'!$E$14:$V$14, 0)))</f>
        <v>9.8948701528174254E-3</v>
      </c>
      <c r="I255" s="722">
        <f t="shared" si="17"/>
        <v>108.3</v>
      </c>
      <c r="J255" s="722">
        <f t="shared" si="18"/>
        <v>290.60000000000002</v>
      </c>
      <c r="K255" s="722">
        <f t="shared" si="19"/>
        <v>108.2</v>
      </c>
      <c r="W255" s="711"/>
      <c r="X255" s="710"/>
    </row>
    <row r="256" spans="1:24">
      <c r="A256" s="719">
        <f t="shared" si="16"/>
        <v>43890</v>
      </c>
      <c r="B256" s="720">
        <f t="shared" si="15"/>
        <v>2020</v>
      </c>
      <c r="C256" s="794">
        <v>108.6</v>
      </c>
      <c r="D256" s="794">
        <v>292</v>
      </c>
      <c r="E256" s="794">
        <v>108.6</v>
      </c>
      <c r="F256" s="721">
        <f>IF($A256&lt;DATE(2018,7,1),"-",INDEX('I1 - Universal Data'!$E$16:$V$16, MATCH(YEAR(EOMONTH($A256,6)), 'I1 - Universal Data'!$E$14:$V$14, 0)))</f>
        <v>8.5065402820156955E-3</v>
      </c>
      <c r="G256" s="721">
        <f>IF($A256&lt;DATE(2018,7,1),"-",INDEX('I1 - Universal Data'!$E$15:$V$15, MATCH(YEAR(EOMONTH($A256,6)), 'I1 - Universal Data'!$E$14:$V$14, 0)))</f>
        <v>1.5033471260387898E-2</v>
      </c>
      <c r="H256" s="721">
        <f>IF($A256&lt;DATE(2018,7,1),"-",INDEX('I1 - Universal Data'!$E$17:$V$17, MATCH(YEAR(EOMONTH($A256,6)), 'I1 - Universal Data'!$E$14:$V$14, 0)))</f>
        <v>9.8948701528174254E-3</v>
      </c>
      <c r="I256" s="722">
        <f t="shared" si="17"/>
        <v>108.6</v>
      </c>
      <c r="J256" s="722">
        <f t="shared" si="18"/>
        <v>292</v>
      </c>
      <c r="K256" s="722">
        <f t="shared" si="19"/>
        <v>108.6</v>
      </c>
      <c r="W256" s="711"/>
      <c r="X256" s="101"/>
    </row>
    <row r="257" spans="1:24">
      <c r="A257" s="719">
        <f t="shared" si="16"/>
        <v>43921</v>
      </c>
      <c r="B257" s="720">
        <f t="shared" si="15"/>
        <v>2020</v>
      </c>
      <c r="C257" s="794">
        <v>108.6</v>
      </c>
      <c r="D257" s="794">
        <v>292.60000000000002</v>
      </c>
      <c r="E257" s="794">
        <v>108.6</v>
      </c>
      <c r="F257" s="721">
        <f>IF($A257&lt;DATE(2018,7,1),"-",INDEX('I1 - Universal Data'!$E$16:$V$16, MATCH(YEAR(EOMONTH($A257,6)), 'I1 - Universal Data'!$E$14:$V$14, 0)))</f>
        <v>8.5065402820156955E-3</v>
      </c>
      <c r="G257" s="721">
        <f>IF($A257&lt;DATE(2018,7,1),"-",INDEX('I1 - Universal Data'!$E$15:$V$15, MATCH(YEAR(EOMONTH($A257,6)), 'I1 - Universal Data'!$E$14:$V$14, 0)))</f>
        <v>1.5033471260387898E-2</v>
      </c>
      <c r="H257" s="721">
        <f>IF($A257&lt;DATE(2018,7,1),"-",INDEX('I1 - Universal Data'!$E$17:$V$17, MATCH(YEAR(EOMONTH($A257,6)), 'I1 - Universal Data'!$E$14:$V$14, 0)))</f>
        <v>9.8948701528174254E-3</v>
      </c>
      <c r="I257" s="722">
        <f t="shared" si="17"/>
        <v>108.6</v>
      </c>
      <c r="J257" s="722">
        <f t="shared" si="18"/>
        <v>292.60000000000002</v>
      </c>
      <c r="K257" s="722">
        <f t="shared" si="19"/>
        <v>108.6</v>
      </c>
      <c r="W257" s="711"/>
      <c r="X257" s="101"/>
    </row>
    <row r="258" spans="1:24">
      <c r="A258" s="719">
        <f t="shared" si="16"/>
        <v>43951</v>
      </c>
      <c r="B258" s="720">
        <f t="shared" si="15"/>
        <v>2021</v>
      </c>
      <c r="C258" s="794">
        <v>108.6</v>
      </c>
      <c r="D258" s="794">
        <v>292.60000000000002</v>
      </c>
      <c r="E258" s="794">
        <v>108.5</v>
      </c>
      <c r="F258" s="721">
        <f>IF($A258&lt;DATE(2018,7,1),"-",INDEX('I1 - Universal Data'!$E$16:$V$16, MATCH(YEAR(EOMONTH($A258,6)), 'I1 - Universal Data'!$E$14:$V$14, 0)))</f>
        <v>8.5065402820156955E-3</v>
      </c>
      <c r="G258" s="721">
        <f>IF($A258&lt;DATE(2018,7,1),"-",INDEX('I1 - Universal Data'!$E$15:$V$15, MATCH(YEAR(EOMONTH($A258,6)), 'I1 - Universal Data'!$E$14:$V$14, 0)))</f>
        <v>1.5033471260387898E-2</v>
      </c>
      <c r="H258" s="721">
        <f>IF($A258&lt;DATE(2018,7,1),"-",INDEX('I1 - Universal Data'!$E$17:$V$17, MATCH(YEAR(EOMONTH($A258,6)), 'I1 - Universal Data'!$E$14:$V$14, 0)))</f>
        <v>9.8948701528174254E-3</v>
      </c>
      <c r="I258" s="722">
        <f t="shared" si="17"/>
        <v>108.6</v>
      </c>
      <c r="J258" s="722">
        <f t="shared" si="18"/>
        <v>292.60000000000002</v>
      </c>
      <c r="K258" s="722">
        <f t="shared" si="19"/>
        <v>108.5</v>
      </c>
      <c r="W258" s="711"/>
      <c r="X258" s="101"/>
    </row>
    <row r="259" spans="1:24">
      <c r="A259" s="719">
        <f t="shared" si="16"/>
        <v>43982</v>
      </c>
      <c r="B259" s="720">
        <f t="shared" si="15"/>
        <v>2021</v>
      </c>
      <c r="C259" s="794">
        <v>108.6</v>
      </c>
      <c r="D259" s="794">
        <v>292.2</v>
      </c>
      <c r="E259" s="794">
        <v>108.5</v>
      </c>
      <c r="F259" s="721">
        <f>IF($A259&lt;DATE(2018,7,1),"-",INDEX('I1 - Universal Data'!$E$16:$V$16, MATCH(YEAR(EOMONTH($A259,6)), 'I1 - Universal Data'!$E$14:$V$14, 0)))</f>
        <v>8.5065402820156955E-3</v>
      </c>
      <c r="G259" s="721">
        <f>IF($A259&lt;DATE(2018,7,1),"-",INDEX('I1 - Universal Data'!$E$15:$V$15, MATCH(YEAR(EOMONTH($A259,6)), 'I1 - Universal Data'!$E$14:$V$14, 0)))</f>
        <v>1.5033471260387898E-2</v>
      </c>
      <c r="H259" s="721">
        <f>IF($A259&lt;DATE(2018,7,1),"-",INDEX('I1 - Universal Data'!$E$17:$V$17, MATCH(YEAR(EOMONTH($A259,6)), 'I1 - Universal Data'!$E$14:$V$14, 0)))</f>
        <v>9.8948701528174254E-3</v>
      </c>
      <c r="I259" s="722">
        <f t="shared" si="17"/>
        <v>108.6</v>
      </c>
      <c r="J259" s="722">
        <f t="shared" si="18"/>
        <v>292.2</v>
      </c>
      <c r="K259" s="722">
        <f t="shared" si="19"/>
        <v>108.5</v>
      </c>
      <c r="W259" s="711"/>
      <c r="X259" s="101"/>
    </row>
    <row r="260" spans="1:24">
      <c r="A260" s="719">
        <f t="shared" si="16"/>
        <v>44012</v>
      </c>
      <c r="B260" s="720">
        <f t="shared" si="15"/>
        <v>2021</v>
      </c>
      <c r="C260" s="794">
        <v>108.8</v>
      </c>
      <c r="D260" s="794">
        <v>292.7</v>
      </c>
      <c r="E260" s="794">
        <v>108.6</v>
      </c>
      <c r="F260" s="721">
        <f>IF($A260&lt;DATE(2018,7,1),"-",INDEX('I1 - Universal Data'!$E$16:$V$16, MATCH(YEAR(EOMONTH($A260,6)), 'I1 - Universal Data'!$E$14:$V$14, 0)))</f>
        <v>8.5065402820156955E-3</v>
      </c>
      <c r="G260" s="721">
        <f>IF($A260&lt;DATE(2018,7,1),"-",INDEX('I1 - Universal Data'!$E$15:$V$15, MATCH(YEAR(EOMONTH($A260,6)), 'I1 - Universal Data'!$E$14:$V$14, 0)))</f>
        <v>1.5033471260387898E-2</v>
      </c>
      <c r="H260" s="721">
        <f>IF($A260&lt;DATE(2018,7,1),"-",INDEX('I1 - Universal Data'!$E$17:$V$17, MATCH(YEAR(EOMONTH($A260,6)), 'I1 - Universal Data'!$E$14:$V$14, 0)))</f>
        <v>9.8948701528174254E-3</v>
      </c>
      <c r="I260" s="722">
        <f t="shared" si="17"/>
        <v>108.8</v>
      </c>
      <c r="J260" s="722">
        <f t="shared" si="18"/>
        <v>292.7</v>
      </c>
      <c r="K260" s="722">
        <f t="shared" si="19"/>
        <v>108.6</v>
      </c>
      <c r="W260" s="711"/>
      <c r="X260" s="101"/>
    </row>
    <row r="261" spans="1:24">
      <c r="A261" s="719">
        <f t="shared" si="16"/>
        <v>44043</v>
      </c>
      <c r="B261" s="720">
        <f t="shared" si="15"/>
        <v>2021</v>
      </c>
      <c r="C261" s="794">
        <v>109.2</v>
      </c>
      <c r="D261" s="794">
        <v>294.2</v>
      </c>
      <c r="E261" s="794">
        <v>109.1</v>
      </c>
      <c r="F261" s="721">
        <f>IF($A261&lt;DATE(2018,7,1),"-",INDEX('I1 - Universal Data'!$E$16:$V$16, MATCH(YEAR(EOMONTH($A261,6)), 'I1 - Universal Data'!$E$14:$V$14, 0)))</f>
        <v>2.5882219500718229E-2</v>
      </c>
      <c r="G261" s="721">
        <f>IF($A261&lt;DATE(2018,7,1),"-",INDEX('I1 - Universal Data'!$E$15:$V$15, MATCH(YEAR(EOMONTH($A261,6)), 'I1 - Universal Data'!$E$14:$V$14, 0)))</f>
        <v>4.0452569031158125E-2</v>
      </c>
      <c r="H261" s="721">
        <f>IF($A261&lt;DATE(2018,7,1),"-",INDEX('I1 - Universal Data'!$E$17:$V$17, MATCH(YEAR(EOMONTH($A261,6)), 'I1 - Universal Data'!$E$14:$V$14, 0)))</f>
        <v>2.5183711707605694E-2</v>
      </c>
      <c r="I261" s="722">
        <f t="shared" si="17"/>
        <v>109.2</v>
      </c>
      <c r="J261" s="722">
        <f t="shared" si="18"/>
        <v>294.2</v>
      </c>
      <c r="K261" s="722">
        <f t="shared" si="19"/>
        <v>109.1</v>
      </c>
      <c r="W261" s="711"/>
      <c r="X261" s="101"/>
    </row>
    <row r="262" spans="1:24">
      <c r="A262" s="719">
        <f t="shared" si="16"/>
        <v>44074</v>
      </c>
      <c r="B262" s="720">
        <f t="shared" ref="B262:B325" si="20">IF(MONTH(A262)&gt;=4,YEAR(A262)+1,YEAR(A262))</f>
        <v>2021</v>
      </c>
      <c r="C262" s="794">
        <v>108.8</v>
      </c>
      <c r="D262" s="794">
        <v>293.3</v>
      </c>
      <c r="E262" s="794">
        <v>108.6</v>
      </c>
      <c r="F262" s="721">
        <f>IF($A262&lt;DATE(2018,7,1),"-",INDEX('I1 - Universal Data'!$E$16:$V$16, MATCH(YEAR(EOMONTH($A262,6)), 'I1 - Universal Data'!$E$14:$V$14, 0)))</f>
        <v>2.5882219500718229E-2</v>
      </c>
      <c r="G262" s="721">
        <f>IF($A262&lt;DATE(2018,7,1),"-",INDEX('I1 - Universal Data'!$E$15:$V$15, MATCH(YEAR(EOMONTH($A262,6)), 'I1 - Universal Data'!$E$14:$V$14, 0)))</f>
        <v>4.0452569031158125E-2</v>
      </c>
      <c r="H262" s="721">
        <f>IF($A262&lt;DATE(2018,7,1),"-",INDEX('I1 - Universal Data'!$E$17:$V$17, MATCH(YEAR(EOMONTH($A262,6)), 'I1 - Universal Data'!$E$14:$V$14, 0)))</f>
        <v>2.5183711707605694E-2</v>
      </c>
      <c r="I262" s="722">
        <f t="shared" si="17"/>
        <v>108.8</v>
      </c>
      <c r="J262" s="722">
        <f t="shared" si="18"/>
        <v>293.3</v>
      </c>
      <c r="K262" s="722">
        <f t="shared" si="19"/>
        <v>108.6</v>
      </c>
      <c r="W262" s="711"/>
      <c r="X262" s="101"/>
    </row>
    <row r="263" spans="1:24">
      <c r="A263" s="719">
        <f t="shared" ref="A263:A326" si="21">IF(MONTH(A262) = 12, EOMONTH(DATE(YEAR(A262) + 1, 1, 1), 0), EOMONTH(DATE(YEAR(A262), MONTH(A262) + 1, 1), 0))</f>
        <v>44104</v>
      </c>
      <c r="B263" s="720">
        <f t="shared" si="20"/>
        <v>2021</v>
      </c>
      <c r="C263" s="794">
        <v>109.2</v>
      </c>
      <c r="D263" s="794">
        <v>294.3</v>
      </c>
      <c r="E263" s="794">
        <v>109.1</v>
      </c>
      <c r="F263" s="721">
        <f>IF($A263&lt;DATE(2018,7,1),"-",INDEX('I1 - Universal Data'!$E$16:$V$16, MATCH(YEAR(EOMONTH($A263,6)), 'I1 - Universal Data'!$E$14:$V$14, 0)))</f>
        <v>2.5882219500718229E-2</v>
      </c>
      <c r="G263" s="721">
        <f>IF($A263&lt;DATE(2018,7,1),"-",INDEX('I1 - Universal Data'!$E$15:$V$15, MATCH(YEAR(EOMONTH($A263,6)), 'I1 - Universal Data'!$E$14:$V$14, 0)))</f>
        <v>4.0452569031158125E-2</v>
      </c>
      <c r="H263" s="721">
        <f>IF($A263&lt;DATE(2018,7,1),"-",INDEX('I1 - Universal Data'!$E$17:$V$17, MATCH(YEAR(EOMONTH($A263,6)), 'I1 - Universal Data'!$E$14:$V$14, 0)))</f>
        <v>2.5183711707605694E-2</v>
      </c>
      <c r="I263" s="722">
        <f t="shared" ref="I263:I326" si="22">IF(ISBLANK(C263),I262*((1+F263)^(1/12)),C263)</f>
        <v>109.2</v>
      </c>
      <c r="J263" s="722">
        <f t="shared" ref="J263:J326" si="23">IF(ISBLANK(D263),J262*((1+G263)^(1/12)),D263)</f>
        <v>294.3</v>
      </c>
      <c r="K263" s="722">
        <f t="shared" ref="K263:K326" si="24">IF(ISBLANK(E263),K262*((1+H263)^(1/12)),E263)</f>
        <v>109.1</v>
      </c>
      <c r="W263" s="711"/>
      <c r="X263" s="101"/>
    </row>
    <row r="264" spans="1:24">
      <c r="A264" s="719">
        <f t="shared" si="21"/>
        <v>44135</v>
      </c>
      <c r="B264" s="720">
        <f t="shared" si="20"/>
        <v>2021</v>
      </c>
      <c r="C264" s="794">
        <v>109.2</v>
      </c>
      <c r="D264" s="794">
        <v>294.3</v>
      </c>
      <c r="E264" s="794">
        <v>109.1</v>
      </c>
      <c r="F264" s="721">
        <f>IF($A264&lt;DATE(2018,7,1),"-",INDEX('I1 - Universal Data'!$E$16:$V$16, MATCH(YEAR(EOMONTH($A264,6)), 'I1 - Universal Data'!$E$14:$V$14, 0)))</f>
        <v>2.5882219500718229E-2</v>
      </c>
      <c r="G264" s="721">
        <f>IF($A264&lt;DATE(2018,7,1),"-",INDEX('I1 - Universal Data'!$E$15:$V$15, MATCH(YEAR(EOMONTH($A264,6)), 'I1 - Universal Data'!$E$14:$V$14, 0)))</f>
        <v>4.0452569031158125E-2</v>
      </c>
      <c r="H264" s="721">
        <f>IF($A264&lt;DATE(2018,7,1),"-",INDEX('I1 - Universal Data'!$E$17:$V$17, MATCH(YEAR(EOMONTH($A264,6)), 'I1 - Universal Data'!$E$14:$V$14, 0)))</f>
        <v>2.5183711707605694E-2</v>
      </c>
      <c r="I264" s="722">
        <f t="shared" si="22"/>
        <v>109.2</v>
      </c>
      <c r="J264" s="722">
        <f t="shared" si="23"/>
        <v>294.3</v>
      </c>
      <c r="K264" s="722">
        <f t="shared" si="24"/>
        <v>109.1</v>
      </c>
      <c r="W264" s="711"/>
      <c r="X264" s="101"/>
    </row>
    <row r="265" spans="1:24">
      <c r="A265" s="719">
        <f t="shared" si="21"/>
        <v>44165</v>
      </c>
      <c r="B265" s="720">
        <f t="shared" si="20"/>
        <v>2021</v>
      </c>
      <c r="C265" s="794">
        <v>109.1</v>
      </c>
      <c r="D265" s="794">
        <v>293.5</v>
      </c>
      <c r="E265" s="794">
        <v>108.9</v>
      </c>
      <c r="F265" s="721">
        <f>IF($A265&lt;DATE(2018,7,1),"-",INDEX('I1 - Universal Data'!$E$16:$V$16, MATCH(YEAR(EOMONTH($A265,6)), 'I1 - Universal Data'!$E$14:$V$14, 0)))</f>
        <v>2.5882219500718229E-2</v>
      </c>
      <c r="G265" s="721">
        <f>IF($A265&lt;DATE(2018,7,1),"-",INDEX('I1 - Universal Data'!$E$15:$V$15, MATCH(YEAR(EOMONTH($A265,6)), 'I1 - Universal Data'!$E$14:$V$14, 0)))</f>
        <v>4.0452569031158125E-2</v>
      </c>
      <c r="H265" s="721">
        <f>IF($A265&lt;DATE(2018,7,1),"-",INDEX('I1 - Universal Data'!$E$17:$V$17, MATCH(YEAR(EOMONTH($A265,6)), 'I1 - Universal Data'!$E$14:$V$14, 0)))</f>
        <v>2.5183711707605694E-2</v>
      </c>
      <c r="I265" s="722">
        <f t="shared" si="22"/>
        <v>109.1</v>
      </c>
      <c r="J265" s="722">
        <f t="shared" si="23"/>
        <v>293.5</v>
      </c>
      <c r="K265" s="722">
        <f t="shared" si="24"/>
        <v>108.9</v>
      </c>
      <c r="W265" s="711"/>
      <c r="X265" s="712"/>
    </row>
    <row r="266" spans="1:24">
      <c r="A266" s="719">
        <f t="shared" si="21"/>
        <v>44196</v>
      </c>
      <c r="B266" s="720">
        <f t="shared" si="20"/>
        <v>2021</v>
      </c>
      <c r="C266" s="794">
        <v>109.4</v>
      </c>
      <c r="D266" s="794">
        <v>295.39999999999998</v>
      </c>
      <c r="E266" s="794">
        <v>109.2</v>
      </c>
      <c r="F266" s="721">
        <f>IF($A266&lt;DATE(2018,7,1),"-",INDEX('I1 - Universal Data'!$E$16:$V$16, MATCH(YEAR(EOMONTH($A266,6)), 'I1 - Universal Data'!$E$14:$V$14, 0)))</f>
        <v>2.5882219500718229E-2</v>
      </c>
      <c r="G266" s="721">
        <f>IF($A266&lt;DATE(2018,7,1),"-",INDEX('I1 - Universal Data'!$E$15:$V$15, MATCH(YEAR(EOMONTH($A266,6)), 'I1 - Universal Data'!$E$14:$V$14, 0)))</f>
        <v>4.0452569031158125E-2</v>
      </c>
      <c r="H266" s="721">
        <f>IF($A266&lt;DATE(2018,7,1),"-",INDEX('I1 - Universal Data'!$E$17:$V$17, MATCH(YEAR(EOMONTH($A266,6)), 'I1 - Universal Data'!$E$14:$V$14, 0)))</f>
        <v>2.5183711707605694E-2</v>
      </c>
      <c r="I266" s="722">
        <f t="shared" si="22"/>
        <v>109.4</v>
      </c>
      <c r="J266" s="722">
        <f t="shared" si="23"/>
        <v>295.39999999999998</v>
      </c>
      <c r="K266" s="722">
        <f t="shared" si="24"/>
        <v>109.2</v>
      </c>
      <c r="W266" s="711"/>
      <c r="X266" s="101"/>
    </row>
    <row r="267" spans="1:24">
      <c r="A267" s="719">
        <f t="shared" si="21"/>
        <v>44227</v>
      </c>
      <c r="B267" s="720">
        <f t="shared" si="20"/>
        <v>2021</v>
      </c>
      <c r="C267" s="794">
        <v>109.3</v>
      </c>
      <c r="D267" s="794">
        <v>294.60000000000002</v>
      </c>
      <c r="E267" s="794">
        <v>109</v>
      </c>
      <c r="F267" s="721">
        <f>IF($A267&lt;DATE(2018,7,1),"-",INDEX('I1 - Universal Data'!$E$16:$V$16, MATCH(YEAR(EOMONTH($A267,6)), 'I1 - Universal Data'!$E$14:$V$14, 0)))</f>
        <v>2.5882219500718229E-2</v>
      </c>
      <c r="G267" s="721">
        <f>IF($A267&lt;DATE(2018,7,1),"-",INDEX('I1 - Universal Data'!$E$15:$V$15, MATCH(YEAR(EOMONTH($A267,6)), 'I1 - Universal Data'!$E$14:$V$14, 0)))</f>
        <v>4.0452569031158125E-2</v>
      </c>
      <c r="H267" s="721">
        <f>IF($A267&lt;DATE(2018,7,1),"-",INDEX('I1 - Universal Data'!$E$17:$V$17, MATCH(YEAR(EOMONTH($A267,6)), 'I1 - Universal Data'!$E$14:$V$14, 0)))</f>
        <v>2.5183711707605694E-2</v>
      </c>
      <c r="I267" s="722">
        <f t="shared" si="22"/>
        <v>109.3</v>
      </c>
      <c r="J267" s="722">
        <f t="shared" si="23"/>
        <v>294.60000000000002</v>
      </c>
      <c r="K267" s="722">
        <f t="shared" si="24"/>
        <v>109</v>
      </c>
      <c r="W267" s="711"/>
      <c r="X267" s="101"/>
    </row>
    <row r="268" spans="1:24">
      <c r="A268" s="719">
        <f t="shared" si="21"/>
        <v>44255</v>
      </c>
      <c r="B268" s="720">
        <f t="shared" si="20"/>
        <v>2021</v>
      </c>
      <c r="C268" s="794">
        <v>109.4</v>
      </c>
      <c r="D268" s="794">
        <v>296</v>
      </c>
      <c r="E268" s="794">
        <v>109.1</v>
      </c>
      <c r="F268" s="721">
        <f>IF($A268&lt;DATE(2018,7,1),"-",INDEX('I1 - Universal Data'!$E$16:$V$16, MATCH(YEAR(EOMONTH($A268,6)), 'I1 - Universal Data'!$E$14:$V$14, 0)))</f>
        <v>2.5882219500718229E-2</v>
      </c>
      <c r="G268" s="721">
        <f>IF($A268&lt;DATE(2018,7,1),"-",INDEX('I1 - Universal Data'!$E$15:$V$15, MATCH(YEAR(EOMONTH($A268,6)), 'I1 - Universal Data'!$E$14:$V$14, 0)))</f>
        <v>4.0452569031158125E-2</v>
      </c>
      <c r="H268" s="721">
        <f>IF($A268&lt;DATE(2018,7,1),"-",INDEX('I1 - Universal Data'!$E$17:$V$17, MATCH(YEAR(EOMONTH($A268,6)), 'I1 - Universal Data'!$E$14:$V$14, 0)))</f>
        <v>2.5183711707605694E-2</v>
      </c>
      <c r="I268" s="722">
        <f t="shared" si="22"/>
        <v>109.4</v>
      </c>
      <c r="J268" s="722">
        <f t="shared" si="23"/>
        <v>296</v>
      </c>
      <c r="K268" s="722">
        <f t="shared" si="24"/>
        <v>109.1</v>
      </c>
      <c r="L268" s="713"/>
      <c r="W268" s="711"/>
      <c r="X268" s="101"/>
    </row>
    <row r="269" spans="1:24">
      <c r="A269" s="719">
        <f t="shared" si="21"/>
        <v>44286</v>
      </c>
      <c r="B269" s="720">
        <f t="shared" si="20"/>
        <v>2021</v>
      </c>
      <c r="C269" s="794">
        <v>109.7</v>
      </c>
      <c r="D269" s="794">
        <v>296.89999999999998</v>
      </c>
      <c r="E269" s="794">
        <v>109.4</v>
      </c>
      <c r="F269" s="721">
        <f>IF($A269&lt;DATE(2018,7,1),"-",INDEX('I1 - Universal Data'!$E$16:$V$16, MATCH(YEAR(EOMONTH($A269,6)), 'I1 - Universal Data'!$E$14:$V$14, 0)))</f>
        <v>2.5882219500718229E-2</v>
      </c>
      <c r="G269" s="721">
        <f>IF($A269&lt;DATE(2018,7,1),"-",INDEX('I1 - Universal Data'!$E$15:$V$15, MATCH(YEAR(EOMONTH($A269,6)), 'I1 - Universal Data'!$E$14:$V$14, 0)))</f>
        <v>4.0452569031158125E-2</v>
      </c>
      <c r="H269" s="721">
        <f>IF($A269&lt;DATE(2018,7,1),"-",INDEX('I1 - Universal Data'!$E$17:$V$17, MATCH(YEAR(EOMONTH($A269,6)), 'I1 - Universal Data'!$E$14:$V$14, 0)))</f>
        <v>2.5183711707605694E-2</v>
      </c>
      <c r="I269" s="722">
        <f t="shared" si="22"/>
        <v>109.7</v>
      </c>
      <c r="J269" s="722">
        <f t="shared" si="23"/>
        <v>296.89999999999998</v>
      </c>
      <c r="K269" s="722">
        <f t="shared" si="24"/>
        <v>109.4</v>
      </c>
      <c r="L269" s="713"/>
      <c r="W269" s="711"/>
      <c r="X269" s="101"/>
    </row>
    <row r="270" spans="1:24">
      <c r="A270" s="719">
        <f t="shared" si="21"/>
        <v>44316</v>
      </c>
      <c r="B270" s="720">
        <f t="shared" si="20"/>
        <v>2022</v>
      </c>
      <c r="C270" s="794">
        <v>110.4</v>
      </c>
      <c r="D270" s="794">
        <v>301.10000000000002</v>
      </c>
      <c r="E270" s="794">
        <v>110.1</v>
      </c>
      <c r="F270" s="721">
        <f>IF($A270&lt;DATE(2018,7,1),"-",INDEX('I1 - Universal Data'!$E$16:$V$16, MATCH(YEAR(EOMONTH($A270,6)), 'I1 - Universal Data'!$E$14:$V$14, 0)))</f>
        <v>2.5882219500718229E-2</v>
      </c>
      <c r="G270" s="721">
        <f>IF($A270&lt;DATE(2018,7,1),"-",INDEX('I1 - Universal Data'!$E$15:$V$15, MATCH(YEAR(EOMONTH($A270,6)), 'I1 - Universal Data'!$E$14:$V$14, 0)))</f>
        <v>4.0452569031158125E-2</v>
      </c>
      <c r="H270" s="721">
        <f>IF($A270&lt;DATE(2018,7,1),"-",INDEX('I1 - Universal Data'!$E$17:$V$17, MATCH(YEAR(EOMONTH($A270,6)), 'I1 - Universal Data'!$E$14:$V$14, 0)))</f>
        <v>2.5183711707605694E-2</v>
      </c>
      <c r="I270" s="722">
        <f t="shared" si="22"/>
        <v>110.4</v>
      </c>
      <c r="J270" s="722">
        <f t="shared" si="23"/>
        <v>301.10000000000002</v>
      </c>
      <c r="K270" s="722">
        <f t="shared" si="24"/>
        <v>110.1</v>
      </c>
      <c r="L270" s="713"/>
      <c r="W270" s="711"/>
      <c r="X270" s="712"/>
    </row>
    <row r="271" spans="1:24">
      <c r="A271" s="719">
        <f t="shared" si="21"/>
        <v>44347</v>
      </c>
      <c r="B271" s="720">
        <f t="shared" si="20"/>
        <v>2022</v>
      </c>
      <c r="C271" s="794">
        <v>111</v>
      </c>
      <c r="D271" s="794">
        <v>301.89999999999998</v>
      </c>
      <c r="E271" s="794">
        <v>110.8</v>
      </c>
      <c r="F271" s="721">
        <f>IF($A271&lt;DATE(2018,7,1),"-",INDEX('I1 - Universal Data'!$E$16:$V$16, MATCH(YEAR(EOMONTH($A271,6)), 'I1 - Universal Data'!$E$14:$V$14, 0)))</f>
        <v>2.5882219500718229E-2</v>
      </c>
      <c r="G271" s="721">
        <f>IF($A271&lt;DATE(2018,7,1),"-",INDEX('I1 - Universal Data'!$E$15:$V$15, MATCH(YEAR(EOMONTH($A271,6)), 'I1 - Universal Data'!$E$14:$V$14, 0)))</f>
        <v>4.0452569031158125E-2</v>
      </c>
      <c r="H271" s="721">
        <f>IF($A271&lt;DATE(2018,7,1),"-",INDEX('I1 - Universal Data'!$E$17:$V$17, MATCH(YEAR(EOMONTH($A271,6)), 'I1 - Universal Data'!$E$14:$V$14, 0)))</f>
        <v>2.5183711707605694E-2</v>
      </c>
      <c r="I271" s="722">
        <f t="shared" si="22"/>
        <v>111</v>
      </c>
      <c r="J271" s="722">
        <f t="shared" si="23"/>
        <v>301.89999999999998</v>
      </c>
      <c r="K271" s="722">
        <f t="shared" si="24"/>
        <v>110.8</v>
      </c>
      <c r="L271" s="713"/>
      <c r="W271" s="711"/>
      <c r="X271" s="712"/>
    </row>
    <row r="272" spans="1:24">
      <c r="A272" s="719">
        <f t="shared" si="21"/>
        <v>44377</v>
      </c>
      <c r="B272" s="720">
        <f t="shared" si="20"/>
        <v>2022</v>
      </c>
      <c r="C272" s="794">
        <v>111.4</v>
      </c>
      <c r="D272" s="794">
        <v>304</v>
      </c>
      <c r="E272" s="794">
        <v>111.3</v>
      </c>
      <c r="F272" s="721">
        <f>IF($A272&lt;DATE(2018,7,1),"-",INDEX('I1 - Universal Data'!$E$16:$V$16, MATCH(YEAR(EOMONTH($A272,6)), 'I1 - Universal Data'!$E$14:$V$14, 0)))</f>
        <v>2.5882219500718229E-2</v>
      </c>
      <c r="G272" s="721">
        <f>IF($A272&lt;DATE(2018,7,1),"-",INDEX('I1 - Universal Data'!$E$15:$V$15, MATCH(YEAR(EOMONTH($A272,6)), 'I1 - Universal Data'!$E$14:$V$14, 0)))</f>
        <v>4.0452569031158125E-2</v>
      </c>
      <c r="H272" s="721">
        <f>IF($A272&lt;DATE(2018,7,1),"-",INDEX('I1 - Universal Data'!$E$17:$V$17, MATCH(YEAR(EOMONTH($A272,6)), 'I1 - Universal Data'!$E$14:$V$14, 0)))</f>
        <v>2.5183711707605694E-2</v>
      </c>
      <c r="I272" s="722">
        <f t="shared" si="22"/>
        <v>111.4</v>
      </c>
      <c r="J272" s="722">
        <f t="shared" si="23"/>
        <v>304</v>
      </c>
      <c r="K272" s="722">
        <f t="shared" si="24"/>
        <v>111.3</v>
      </c>
      <c r="L272" s="713"/>
      <c r="X272" s="712"/>
    </row>
    <row r="273" spans="1:24">
      <c r="A273" s="719">
        <f t="shared" si="21"/>
        <v>44408</v>
      </c>
      <c r="B273" s="720">
        <f t="shared" si="20"/>
        <v>2022</v>
      </c>
      <c r="C273" s="794">
        <v>111.4</v>
      </c>
      <c r="D273" s="794">
        <v>305.5</v>
      </c>
      <c r="E273" s="794">
        <v>111.3</v>
      </c>
      <c r="F273" s="721">
        <f>IF($A273&lt;DATE(2018,7,1),"-",INDEX('I1 - Universal Data'!$E$16:$V$16, MATCH(YEAR(EOMONTH($A273,6)), 'I1 - Universal Data'!$E$14:$V$14, 0)))</f>
        <v>9.0667455547039033E-2</v>
      </c>
      <c r="G273" s="721">
        <f>IF($A273&lt;DATE(2018,7,1),"-",INDEX('I1 - Universal Data'!$E$15:$V$15, MATCH(YEAR(EOMONTH($A273,6)), 'I1 - Universal Data'!$E$14:$V$14, 0)))</f>
        <v>0.11584699426229506</v>
      </c>
      <c r="H273" s="721">
        <f>IF($A273&lt;DATE(2018,7,1),"-",INDEX('I1 - Universal Data'!$E$17:$V$17, MATCH(YEAR(EOMONTH($A273,6)), 'I1 - Universal Data'!$E$14:$V$14, 0)))</f>
        <v>7.9220486703172499E-2</v>
      </c>
      <c r="I273" s="722">
        <f t="shared" si="22"/>
        <v>111.4</v>
      </c>
      <c r="J273" s="722">
        <f t="shared" si="23"/>
        <v>305.5</v>
      </c>
      <c r="K273" s="722">
        <f t="shared" si="24"/>
        <v>111.3</v>
      </c>
      <c r="L273" s="713"/>
      <c r="X273" s="712"/>
    </row>
    <row r="274" spans="1:24">
      <c r="A274" s="719">
        <f t="shared" si="21"/>
        <v>44439</v>
      </c>
      <c r="B274" s="720">
        <f t="shared" si="20"/>
        <v>2022</v>
      </c>
      <c r="C274" s="794">
        <v>112.1</v>
      </c>
      <c r="D274" s="794">
        <v>307.39999999999998</v>
      </c>
      <c r="E274" s="794">
        <v>112.1</v>
      </c>
      <c r="F274" s="721">
        <f>IF($A274&lt;DATE(2018,7,1),"-",INDEX('I1 - Universal Data'!$E$16:$V$16, MATCH(YEAR(EOMONTH($A274,6)), 'I1 - Universal Data'!$E$14:$V$14, 0)))</f>
        <v>9.0667455547039033E-2</v>
      </c>
      <c r="G274" s="721">
        <f>IF($A274&lt;DATE(2018,7,1),"-",INDEX('I1 - Universal Data'!$E$15:$V$15, MATCH(YEAR(EOMONTH($A274,6)), 'I1 - Universal Data'!$E$14:$V$14, 0)))</f>
        <v>0.11584699426229506</v>
      </c>
      <c r="H274" s="721">
        <f>IF($A274&lt;DATE(2018,7,1),"-",INDEX('I1 - Universal Data'!$E$17:$V$17, MATCH(YEAR(EOMONTH($A274,6)), 'I1 - Universal Data'!$E$14:$V$14, 0)))</f>
        <v>7.9220486703172499E-2</v>
      </c>
      <c r="I274" s="722">
        <f t="shared" si="22"/>
        <v>112.1</v>
      </c>
      <c r="J274" s="722">
        <f t="shared" si="23"/>
        <v>307.39999999999998</v>
      </c>
      <c r="K274" s="722">
        <f t="shared" si="24"/>
        <v>112.1</v>
      </c>
      <c r="L274" s="713"/>
      <c r="X274" s="712"/>
    </row>
    <row r="275" spans="1:24">
      <c r="A275" s="719">
        <f t="shared" si="21"/>
        <v>44469</v>
      </c>
      <c r="B275" s="720">
        <f t="shared" si="20"/>
        <v>2022</v>
      </c>
      <c r="C275" s="794">
        <v>112.4</v>
      </c>
      <c r="D275" s="794">
        <v>308.60000000000002</v>
      </c>
      <c r="E275" s="794">
        <v>112.4</v>
      </c>
      <c r="F275" s="721">
        <f>IF($A275&lt;DATE(2018,7,1),"-",INDEX('I1 - Universal Data'!$E$16:$V$16, MATCH(YEAR(EOMONTH($A275,6)), 'I1 - Universal Data'!$E$14:$V$14, 0)))</f>
        <v>9.0667455547039033E-2</v>
      </c>
      <c r="G275" s="721">
        <f>IF($A275&lt;DATE(2018,7,1),"-",INDEX('I1 - Universal Data'!$E$15:$V$15, MATCH(YEAR(EOMONTH($A275,6)), 'I1 - Universal Data'!$E$14:$V$14, 0)))</f>
        <v>0.11584699426229506</v>
      </c>
      <c r="H275" s="721">
        <f>IF($A275&lt;DATE(2018,7,1),"-",INDEX('I1 - Universal Data'!$E$17:$V$17, MATCH(YEAR(EOMONTH($A275,6)), 'I1 - Universal Data'!$E$14:$V$14, 0)))</f>
        <v>7.9220486703172499E-2</v>
      </c>
      <c r="I275" s="722">
        <f t="shared" si="22"/>
        <v>112.4</v>
      </c>
      <c r="J275" s="722">
        <f t="shared" si="23"/>
        <v>308.60000000000002</v>
      </c>
      <c r="K275" s="722">
        <f t="shared" si="24"/>
        <v>112.4</v>
      </c>
      <c r="L275" s="713"/>
      <c r="X275" s="712"/>
    </row>
    <row r="276" spans="1:24">
      <c r="A276" s="719">
        <f t="shared" si="21"/>
        <v>44500</v>
      </c>
      <c r="B276" s="720">
        <f t="shared" si="20"/>
        <v>2022</v>
      </c>
      <c r="C276" s="794">
        <v>113.4</v>
      </c>
      <c r="D276" s="794">
        <v>312</v>
      </c>
      <c r="E276" s="794">
        <v>113.6</v>
      </c>
      <c r="F276" s="721">
        <f>IF($A276&lt;DATE(2018,7,1),"-",INDEX('I1 - Universal Data'!$E$16:$V$16, MATCH(YEAR(EOMONTH($A276,6)), 'I1 - Universal Data'!$E$14:$V$14, 0)))</f>
        <v>9.0667455547039033E-2</v>
      </c>
      <c r="G276" s="721">
        <f>IF($A276&lt;DATE(2018,7,1),"-",INDEX('I1 - Universal Data'!$E$15:$V$15, MATCH(YEAR(EOMONTH($A276,6)), 'I1 - Universal Data'!$E$14:$V$14, 0)))</f>
        <v>0.11584699426229506</v>
      </c>
      <c r="H276" s="721">
        <f>IF($A276&lt;DATE(2018,7,1),"-",INDEX('I1 - Universal Data'!$E$17:$V$17, MATCH(YEAR(EOMONTH($A276,6)), 'I1 - Universal Data'!$E$14:$V$14, 0)))</f>
        <v>7.9220486703172499E-2</v>
      </c>
      <c r="I276" s="722">
        <f t="shared" si="22"/>
        <v>113.4</v>
      </c>
      <c r="J276" s="722">
        <f t="shared" si="23"/>
        <v>312</v>
      </c>
      <c r="K276" s="722">
        <f t="shared" si="24"/>
        <v>113.6</v>
      </c>
      <c r="L276" s="713"/>
      <c r="X276" s="712"/>
    </row>
    <row r="277" spans="1:24">
      <c r="A277" s="719">
        <f t="shared" si="21"/>
        <v>44530</v>
      </c>
      <c r="B277" s="720">
        <f t="shared" si="20"/>
        <v>2022</v>
      </c>
      <c r="C277" s="794">
        <v>114.1</v>
      </c>
      <c r="D277" s="794">
        <v>314.3</v>
      </c>
      <c r="E277" s="794">
        <v>114.5</v>
      </c>
      <c r="F277" s="721">
        <f>IF($A277&lt;DATE(2018,7,1),"-",INDEX('I1 - Universal Data'!$E$16:$V$16, MATCH(YEAR(EOMONTH($A277,6)), 'I1 - Universal Data'!$E$14:$V$14, 0)))</f>
        <v>9.0667455547039033E-2</v>
      </c>
      <c r="G277" s="721">
        <f>IF($A277&lt;DATE(2018,7,1),"-",INDEX('I1 - Universal Data'!$E$15:$V$15, MATCH(YEAR(EOMONTH($A277,6)), 'I1 - Universal Data'!$E$14:$V$14, 0)))</f>
        <v>0.11584699426229506</v>
      </c>
      <c r="H277" s="721">
        <f>IF($A277&lt;DATE(2018,7,1),"-",INDEX('I1 - Universal Data'!$E$17:$V$17, MATCH(YEAR(EOMONTH($A277,6)), 'I1 - Universal Data'!$E$14:$V$14, 0)))</f>
        <v>7.9220486703172499E-2</v>
      </c>
      <c r="I277" s="722">
        <f t="shared" si="22"/>
        <v>114.1</v>
      </c>
      <c r="J277" s="722">
        <f t="shared" si="23"/>
        <v>314.3</v>
      </c>
      <c r="K277" s="722">
        <f t="shared" si="24"/>
        <v>114.5</v>
      </c>
      <c r="L277" s="713"/>
      <c r="X277" s="712"/>
    </row>
    <row r="278" spans="1:24">
      <c r="A278" s="719">
        <f t="shared" si="21"/>
        <v>44561</v>
      </c>
      <c r="B278" s="720">
        <f t="shared" si="20"/>
        <v>2022</v>
      </c>
      <c r="C278" s="794">
        <v>114.7</v>
      </c>
      <c r="D278" s="794">
        <v>317.7</v>
      </c>
      <c r="E278" s="794">
        <v>115.1</v>
      </c>
      <c r="F278" s="721">
        <f>IF($A278&lt;DATE(2018,7,1),"-",INDEX('I1 - Universal Data'!$E$16:$V$16, MATCH(YEAR(EOMONTH($A278,6)), 'I1 - Universal Data'!$E$14:$V$14, 0)))</f>
        <v>9.0667455547039033E-2</v>
      </c>
      <c r="G278" s="721">
        <f>IF($A278&lt;DATE(2018,7,1),"-",INDEX('I1 - Universal Data'!$E$15:$V$15, MATCH(YEAR(EOMONTH($A278,6)), 'I1 - Universal Data'!$E$14:$V$14, 0)))</f>
        <v>0.11584699426229506</v>
      </c>
      <c r="H278" s="721">
        <f>IF($A278&lt;DATE(2018,7,1),"-",INDEX('I1 - Universal Data'!$E$17:$V$17, MATCH(YEAR(EOMONTH($A278,6)), 'I1 - Universal Data'!$E$14:$V$14, 0)))</f>
        <v>7.9220486703172499E-2</v>
      </c>
      <c r="I278" s="722">
        <f t="shared" si="22"/>
        <v>114.7</v>
      </c>
      <c r="J278" s="722">
        <f t="shared" si="23"/>
        <v>317.7</v>
      </c>
      <c r="K278" s="722">
        <f t="shared" si="24"/>
        <v>115.1</v>
      </c>
      <c r="L278" s="713"/>
      <c r="X278" s="712"/>
    </row>
    <row r="279" spans="1:24">
      <c r="A279" s="719">
        <f t="shared" si="21"/>
        <v>44592</v>
      </c>
      <c r="B279" s="720">
        <f t="shared" si="20"/>
        <v>2022</v>
      </c>
      <c r="C279" s="794">
        <v>114.6</v>
      </c>
      <c r="D279" s="794">
        <v>317.7</v>
      </c>
      <c r="E279" s="794">
        <v>114.9</v>
      </c>
      <c r="F279" s="721">
        <f>IF($A279&lt;DATE(2018,7,1),"-",INDEX('I1 - Universal Data'!$E$16:$V$16, MATCH(YEAR(EOMONTH($A279,6)), 'I1 - Universal Data'!$E$14:$V$14, 0)))</f>
        <v>9.0667455547039033E-2</v>
      </c>
      <c r="G279" s="721">
        <f>IF($A279&lt;DATE(2018,7,1),"-",INDEX('I1 - Universal Data'!$E$15:$V$15, MATCH(YEAR(EOMONTH($A279,6)), 'I1 - Universal Data'!$E$14:$V$14, 0)))</f>
        <v>0.11584699426229506</v>
      </c>
      <c r="H279" s="721">
        <f>IF($A279&lt;DATE(2018,7,1),"-",INDEX('I1 - Universal Data'!$E$17:$V$17, MATCH(YEAR(EOMONTH($A279,6)), 'I1 - Universal Data'!$E$14:$V$14, 0)))</f>
        <v>7.9220486703172499E-2</v>
      </c>
      <c r="I279" s="722">
        <f t="shared" si="22"/>
        <v>114.6</v>
      </c>
      <c r="J279" s="722">
        <f t="shared" si="23"/>
        <v>317.7</v>
      </c>
      <c r="K279" s="722">
        <f t="shared" si="24"/>
        <v>114.9</v>
      </c>
      <c r="L279" s="713"/>
      <c r="X279" s="712"/>
    </row>
    <row r="280" spans="1:24">
      <c r="A280" s="719">
        <f t="shared" si="21"/>
        <v>44620</v>
      </c>
      <c r="B280" s="720">
        <f t="shared" si="20"/>
        <v>2022</v>
      </c>
      <c r="C280" s="794">
        <v>115.4</v>
      </c>
      <c r="D280" s="794">
        <v>320.2</v>
      </c>
      <c r="E280" s="794">
        <v>115.8</v>
      </c>
      <c r="F280" s="721">
        <f>IF($A280&lt;DATE(2018,7,1),"-",INDEX('I1 - Universal Data'!$E$16:$V$16, MATCH(YEAR(EOMONTH($A280,6)), 'I1 - Universal Data'!$E$14:$V$14, 0)))</f>
        <v>9.0667455547039033E-2</v>
      </c>
      <c r="G280" s="721">
        <f>IF($A280&lt;DATE(2018,7,1),"-",INDEX('I1 - Universal Data'!$E$15:$V$15, MATCH(YEAR(EOMONTH($A280,6)), 'I1 - Universal Data'!$E$14:$V$14, 0)))</f>
        <v>0.11584699426229506</v>
      </c>
      <c r="H280" s="721">
        <f>IF($A280&lt;DATE(2018,7,1),"-",INDEX('I1 - Universal Data'!$E$17:$V$17, MATCH(YEAR(EOMONTH($A280,6)), 'I1 - Universal Data'!$E$14:$V$14, 0)))</f>
        <v>7.9220486703172499E-2</v>
      </c>
      <c r="I280" s="722">
        <f t="shared" si="22"/>
        <v>115.4</v>
      </c>
      <c r="J280" s="722">
        <f t="shared" si="23"/>
        <v>320.2</v>
      </c>
      <c r="K280" s="722">
        <f t="shared" si="24"/>
        <v>115.8</v>
      </c>
      <c r="X280" s="712"/>
    </row>
    <row r="281" spans="1:24">
      <c r="A281" s="719">
        <f t="shared" si="21"/>
        <v>44651</v>
      </c>
      <c r="B281" s="720">
        <f t="shared" si="20"/>
        <v>2022</v>
      </c>
      <c r="C281" s="794">
        <v>116.5</v>
      </c>
      <c r="D281" s="794">
        <v>323.5</v>
      </c>
      <c r="E281" s="794">
        <v>117.1</v>
      </c>
      <c r="F281" s="721">
        <f>IF($A281&lt;DATE(2018,7,1),"-",INDEX('I1 - Universal Data'!$E$16:$V$16, MATCH(YEAR(EOMONTH($A281,6)), 'I1 - Universal Data'!$E$14:$V$14, 0)))</f>
        <v>9.0667455547039033E-2</v>
      </c>
      <c r="G281" s="721">
        <f>IF($A281&lt;DATE(2018,7,1),"-",INDEX('I1 - Universal Data'!$E$15:$V$15, MATCH(YEAR(EOMONTH($A281,6)), 'I1 - Universal Data'!$E$14:$V$14, 0)))</f>
        <v>0.11584699426229506</v>
      </c>
      <c r="H281" s="721">
        <f>IF($A281&lt;DATE(2018,7,1),"-",INDEX('I1 - Universal Data'!$E$17:$V$17, MATCH(YEAR(EOMONTH($A281,6)), 'I1 - Universal Data'!$E$14:$V$14, 0)))</f>
        <v>7.9220486703172499E-2</v>
      </c>
      <c r="I281" s="722">
        <f t="shared" si="22"/>
        <v>116.5</v>
      </c>
      <c r="J281" s="722">
        <f t="shared" si="23"/>
        <v>323.5</v>
      </c>
      <c r="K281" s="722">
        <f t="shared" si="24"/>
        <v>117.1</v>
      </c>
      <c r="X281" s="712"/>
    </row>
    <row r="282" spans="1:24">
      <c r="A282" s="719">
        <f t="shared" si="21"/>
        <v>44681</v>
      </c>
      <c r="B282" s="720">
        <f t="shared" si="20"/>
        <v>2023</v>
      </c>
      <c r="C282" s="794">
        <v>119</v>
      </c>
      <c r="D282" s="794">
        <v>334.6</v>
      </c>
      <c r="E282" s="794">
        <v>120</v>
      </c>
      <c r="F282" s="721">
        <f>IF($A282&lt;DATE(2018,7,1),"-",INDEX('I1 - Universal Data'!$E$16:$V$16, MATCH(YEAR(EOMONTH($A282,6)), 'I1 - Universal Data'!$E$14:$V$14, 0)))</f>
        <v>9.0667455547039033E-2</v>
      </c>
      <c r="G282" s="721">
        <f>IF($A282&lt;DATE(2018,7,1),"-",INDEX('I1 - Universal Data'!$E$15:$V$15, MATCH(YEAR(EOMONTH($A282,6)), 'I1 - Universal Data'!$E$14:$V$14, 0)))</f>
        <v>0.11584699426229506</v>
      </c>
      <c r="H282" s="721">
        <f>IF($A282&lt;DATE(2018,7,1),"-",INDEX('I1 - Universal Data'!$E$17:$V$17, MATCH(YEAR(EOMONTH($A282,6)), 'I1 - Universal Data'!$E$14:$V$14, 0)))</f>
        <v>7.9220486703172499E-2</v>
      </c>
      <c r="I282" s="722">
        <f t="shared" si="22"/>
        <v>119</v>
      </c>
      <c r="J282" s="722">
        <f t="shared" si="23"/>
        <v>334.6</v>
      </c>
      <c r="K282" s="722">
        <f t="shared" si="24"/>
        <v>120</v>
      </c>
      <c r="X282" s="101"/>
    </row>
    <row r="283" spans="1:24">
      <c r="A283" s="719">
        <f t="shared" si="21"/>
        <v>44712</v>
      </c>
      <c r="B283" s="720">
        <f t="shared" si="20"/>
        <v>2023</v>
      </c>
      <c r="C283" s="794">
        <v>119.7</v>
      </c>
      <c r="D283" s="794">
        <v>337.1</v>
      </c>
      <c r="E283" s="794">
        <v>120.8</v>
      </c>
      <c r="F283" s="721">
        <f>IF($A283&lt;DATE(2018,7,1),"-",INDEX('I1 - Universal Data'!$E$16:$V$16, MATCH(YEAR(EOMONTH($A283,6)), 'I1 - Universal Data'!$E$14:$V$14, 0)))</f>
        <v>9.0667455547039033E-2</v>
      </c>
      <c r="G283" s="721">
        <f>IF($A283&lt;DATE(2018,7,1),"-",INDEX('I1 - Universal Data'!$E$15:$V$15, MATCH(YEAR(EOMONTH($A283,6)), 'I1 - Universal Data'!$E$14:$V$14, 0)))</f>
        <v>0.11584699426229506</v>
      </c>
      <c r="H283" s="721">
        <f>IF($A283&lt;DATE(2018,7,1),"-",INDEX('I1 - Universal Data'!$E$17:$V$17, MATCH(YEAR(EOMONTH($A283,6)), 'I1 - Universal Data'!$E$14:$V$14, 0)))</f>
        <v>7.9220486703172499E-2</v>
      </c>
      <c r="I283" s="722">
        <f t="shared" si="22"/>
        <v>119.7</v>
      </c>
      <c r="J283" s="722">
        <f t="shared" si="23"/>
        <v>337.1</v>
      </c>
      <c r="K283" s="722">
        <f t="shared" si="24"/>
        <v>120.8</v>
      </c>
      <c r="X283" s="101"/>
    </row>
    <row r="284" spans="1:24">
      <c r="A284" s="719">
        <f t="shared" si="21"/>
        <v>44742</v>
      </c>
      <c r="B284" s="720">
        <f t="shared" si="20"/>
        <v>2023</v>
      </c>
      <c r="C284" s="794">
        <v>120.5</v>
      </c>
      <c r="D284" s="794">
        <v>340</v>
      </c>
      <c r="E284" s="794">
        <v>121.8</v>
      </c>
      <c r="F284" s="721">
        <f>IF($A284&lt;DATE(2018,7,1),"-",INDEX('I1 - Universal Data'!$E$16:$V$16, MATCH(YEAR(EOMONTH($A284,6)), 'I1 - Universal Data'!$E$14:$V$14, 0)))</f>
        <v>9.0667455547039033E-2</v>
      </c>
      <c r="G284" s="721">
        <f>IF($A284&lt;DATE(2018,7,1),"-",INDEX('I1 - Universal Data'!$E$15:$V$15, MATCH(YEAR(EOMONTH($A284,6)), 'I1 - Universal Data'!$E$14:$V$14, 0)))</f>
        <v>0.11584699426229506</v>
      </c>
      <c r="H284" s="721">
        <f>IF($A284&lt;DATE(2018,7,1),"-",INDEX('I1 - Universal Data'!$E$17:$V$17, MATCH(YEAR(EOMONTH($A284,6)), 'I1 - Universal Data'!$E$14:$V$14, 0)))</f>
        <v>7.9220486703172499E-2</v>
      </c>
      <c r="I284" s="722">
        <f t="shared" si="22"/>
        <v>120.5</v>
      </c>
      <c r="J284" s="722">
        <f t="shared" si="23"/>
        <v>340</v>
      </c>
      <c r="K284" s="722">
        <f t="shared" si="24"/>
        <v>121.8</v>
      </c>
      <c r="X284" s="101"/>
    </row>
    <row r="285" spans="1:24">
      <c r="A285" s="719">
        <f t="shared" si="21"/>
        <v>44773</v>
      </c>
      <c r="B285" s="720">
        <f t="shared" si="20"/>
        <v>2023</v>
      </c>
      <c r="C285" s="794">
        <v>121.2</v>
      </c>
      <c r="D285" s="794">
        <v>343.2</v>
      </c>
      <c r="E285" s="794">
        <v>122.5</v>
      </c>
      <c r="F285" s="721">
        <f>IF($A285&lt;DATE(2018,7,1),"-",INDEX('I1 - Universal Data'!$E$16:$V$16, MATCH(YEAR(EOMONTH($A285,6)), 'I1 - Universal Data'!$E$14:$V$14, 0)))</f>
        <v>7.3032807433557112E-2</v>
      </c>
      <c r="G285" s="721">
        <f>IF($A285&lt;DATE(2018,7,1),"-",INDEX('I1 - Universal Data'!$E$15:$V$15, MATCH(YEAR(EOMONTH($A285,6)), 'I1 - Universal Data'!$E$14:$V$14, 0)))</f>
        <v>9.6914789201007601E-2</v>
      </c>
      <c r="H285" s="721">
        <f>IF($A285&lt;DATE(2018,7,1),"-",INDEX('I1 - Universal Data'!$E$17:$V$17, MATCH(YEAR(EOMONTH($A285,6)), 'I1 - Universal Data'!$E$14:$V$14, 0)))</f>
        <v>6.7939669987546525E-2</v>
      </c>
      <c r="I285" s="722">
        <f t="shared" si="22"/>
        <v>121.2</v>
      </c>
      <c r="J285" s="722">
        <f t="shared" si="23"/>
        <v>343.2</v>
      </c>
      <c r="K285" s="722">
        <f t="shared" si="24"/>
        <v>122.5</v>
      </c>
      <c r="X285" s="101"/>
    </row>
    <row r="286" spans="1:24">
      <c r="A286" s="719">
        <f t="shared" si="21"/>
        <v>44804</v>
      </c>
      <c r="B286" s="720">
        <f t="shared" si="20"/>
        <v>2023</v>
      </c>
      <c r="C286" s="794">
        <v>121.8</v>
      </c>
      <c r="D286" s="794">
        <v>345.2</v>
      </c>
      <c r="E286" s="794">
        <v>123.1</v>
      </c>
      <c r="F286" s="721">
        <f>IF($A286&lt;DATE(2018,7,1),"-",INDEX('I1 - Universal Data'!$E$16:$V$16, MATCH(YEAR(EOMONTH($A286,6)), 'I1 - Universal Data'!$E$14:$V$14, 0)))</f>
        <v>7.3032807433557112E-2</v>
      </c>
      <c r="G286" s="721">
        <f>IF($A286&lt;DATE(2018,7,1),"-",INDEX('I1 - Universal Data'!$E$15:$V$15, MATCH(YEAR(EOMONTH($A286,6)), 'I1 - Universal Data'!$E$14:$V$14, 0)))</f>
        <v>9.6914789201007601E-2</v>
      </c>
      <c r="H286" s="721">
        <f>IF($A286&lt;DATE(2018,7,1),"-",INDEX('I1 - Universal Data'!$E$17:$V$17, MATCH(YEAR(EOMONTH($A286,6)), 'I1 - Universal Data'!$E$14:$V$14, 0)))</f>
        <v>6.7939669987546525E-2</v>
      </c>
      <c r="I286" s="722">
        <f t="shared" si="22"/>
        <v>121.8</v>
      </c>
      <c r="J286" s="722">
        <f t="shared" si="23"/>
        <v>345.2</v>
      </c>
      <c r="K286" s="722">
        <f t="shared" si="24"/>
        <v>123.1</v>
      </c>
      <c r="X286" s="101"/>
    </row>
    <row r="287" spans="1:24">
      <c r="A287" s="719">
        <f t="shared" si="21"/>
        <v>44834</v>
      </c>
      <c r="B287" s="720">
        <f t="shared" si="20"/>
        <v>2023</v>
      </c>
      <c r="C287" s="794">
        <v>122.3</v>
      </c>
      <c r="D287" s="794">
        <v>347.6</v>
      </c>
      <c r="E287" s="794">
        <v>123.8</v>
      </c>
      <c r="F287" s="721">
        <f>IF($A287&lt;DATE(2018,7,1),"-",INDEX('I1 - Universal Data'!$E$16:$V$16, MATCH(YEAR(EOMONTH($A287,6)), 'I1 - Universal Data'!$E$14:$V$14, 0)))</f>
        <v>7.3032807433557112E-2</v>
      </c>
      <c r="G287" s="721">
        <f>IF($A287&lt;DATE(2018,7,1),"-",INDEX('I1 - Universal Data'!$E$15:$V$15, MATCH(YEAR(EOMONTH($A287,6)), 'I1 - Universal Data'!$E$14:$V$14, 0)))</f>
        <v>9.6914789201007601E-2</v>
      </c>
      <c r="H287" s="721">
        <f>IF($A287&lt;DATE(2018,7,1),"-",INDEX('I1 - Universal Data'!$E$17:$V$17, MATCH(YEAR(EOMONTH($A287,6)), 'I1 - Universal Data'!$E$14:$V$14, 0)))</f>
        <v>6.7939669987546525E-2</v>
      </c>
      <c r="I287" s="722">
        <f t="shared" si="22"/>
        <v>122.3</v>
      </c>
      <c r="J287" s="722">
        <f t="shared" si="23"/>
        <v>347.6</v>
      </c>
      <c r="K287" s="722">
        <f t="shared" si="24"/>
        <v>123.8</v>
      </c>
      <c r="X287" s="101"/>
    </row>
    <row r="288" spans="1:24">
      <c r="A288" s="719">
        <f t="shared" si="21"/>
        <v>44865</v>
      </c>
      <c r="B288" s="720">
        <f t="shared" si="20"/>
        <v>2023</v>
      </c>
      <c r="C288" s="794">
        <v>124.3</v>
      </c>
      <c r="D288" s="794">
        <v>356.2</v>
      </c>
      <c r="E288" s="794">
        <v>126.2</v>
      </c>
      <c r="F288" s="721">
        <f>IF($A288&lt;DATE(2018,7,1),"-",INDEX('I1 - Universal Data'!$E$16:$V$16, MATCH(YEAR(EOMONTH($A288,6)), 'I1 - Universal Data'!$E$14:$V$14, 0)))</f>
        <v>7.3032807433557112E-2</v>
      </c>
      <c r="G288" s="721">
        <f>IF($A288&lt;DATE(2018,7,1),"-",INDEX('I1 - Universal Data'!$E$15:$V$15, MATCH(YEAR(EOMONTH($A288,6)), 'I1 - Universal Data'!$E$14:$V$14, 0)))</f>
        <v>9.6914789201007601E-2</v>
      </c>
      <c r="H288" s="721">
        <f>IF($A288&lt;DATE(2018,7,1),"-",INDEX('I1 - Universal Data'!$E$17:$V$17, MATCH(YEAR(EOMONTH($A288,6)), 'I1 - Universal Data'!$E$14:$V$14, 0)))</f>
        <v>6.7939669987546525E-2</v>
      </c>
      <c r="I288" s="722">
        <f t="shared" si="22"/>
        <v>124.3</v>
      </c>
      <c r="J288" s="722">
        <f t="shared" si="23"/>
        <v>356.2</v>
      </c>
      <c r="K288" s="722">
        <f t="shared" si="24"/>
        <v>126.2</v>
      </c>
      <c r="X288" s="101"/>
    </row>
    <row r="289" spans="1:24">
      <c r="A289" s="719">
        <f t="shared" si="21"/>
        <v>44895</v>
      </c>
      <c r="B289" s="720">
        <f t="shared" si="20"/>
        <v>2023</v>
      </c>
      <c r="C289" s="794">
        <v>124.8</v>
      </c>
      <c r="D289" s="794">
        <v>358.3</v>
      </c>
      <c r="E289" s="794">
        <v>126.7</v>
      </c>
      <c r="F289" s="721">
        <f>IF($A289&lt;DATE(2018,7,1),"-",INDEX('I1 - Universal Data'!$E$16:$V$16, MATCH(YEAR(EOMONTH($A289,6)), 'I1 - Universal Data'!$E$14:$V$14, 0)))</f>
        <v>7.3032807433557112E-2</v>
      </c>
      <c r="G289" s="721">
        <f>IF($A289&lt;DATE(2018,7,1),"-",INDEX('I1 - Universal Data'!$E$15:$V$15, MATCH(YEAR(EOMONTH($A289,6)), 'I1 - Universal Data'!$E$14:$V$14, 0)))</f>
        <v>9.6914789201007601E-2</v>
      </c>
      <c r="H289" s="721">
        <f>IF($A289&lt;DATE(2018,7,1),"-",INDEX('I1 - Universal Data'!$E$17:$V$17, MATCH(YEAR(EOMONTH($A289,6)), 'I1 - Universal Data'!$E$14:$V$14, 0)))</f>
        <v>6.7939669987546525E-2</v>
      </c>
      <c r="I289" s="722">
        <f t="shared" si="22"/>
        <v>124.8</v>
      </c>
      <c r="J289" s="722">
        <f t="shared" si="23"/>
        <v>358.3</v>
      </c>
      <c r="K289" s="722">
        <f t="shared" si="24"/>
        <v>126.7</v>
      </c>
      <c r="X289" s="101"/>
    </row>
    <row r="290" spans="1:24">
      <c r="A290" s="719">
        <f t="shared" si="21"/>
        <v>44926</v>
      </c>
      <c r="B290" s="720">
        <f t="shared" si="20"/>
        <v>2023</v>
      </c>
      <c r="C290" s="794">
        <v>125.3</v>
      </c>
      <c r="D290" s="794">
        <v>360.4</v>
      </c>
      <c r="E290" s="794">
        <v>127.2</v>
      </c>
      <c r="F290" s="721">
        <f>IF($A290&lt;DATE(2018,7,1),"-",INDEX('I1 - Universal Data'!$E$16:$V$16, MATCH(YEAR(EOMONTH($A290,6)), 'I1 - Universal Data'!$E$14:$V$14, 0)))</f>
        <v>7.3032807433557112E-2</v>
      </c>
      <c r="G290" s="721">
        <f>IF($A290&lt;DATE(2018,7,1),"-",INDEX('I1 - Universal Data'!$E$15:$V$15, MATCH(YEAR(EOMONTH($A290,6)), 'I1 - Universal Data'!$E$14:$V$14, 0)))</f>
        <v>9.6914789201007601E-2</v>
      </c>
      <c r="H290" s="721">
        <f>IF($A290&lt;DATE(2018,7,1),"-",INDEX('I1 - Universal Data'!$E$17:$V$17, MATCH(YEAR(EOMONTH($A290,6)), 'I1 - Universal Data'!$E$14:$V$14, 0)))</f>
        <v>6.7939669987546525E-2</v>
      </c>
      <c r="I290" s="722">
        <f t="shared" si="22"/>
        <v>125.3</v>
      </c>
      <c r="J290" s="722">
        <f t="shared" si="23"/>
        <v>360.4</v>
      </c>
      <c r="K290" s="722">
        <f t="shared" si="24"/>
        <v>127.2</v>
      </c>
      <c r="X290" s="101"/>
    </row>
    <row r="291" spans="1:24">
      <c r="A291" s="719">
        <f t="shared" si="21"/>
        <v>44957</v>
      </c>
      <c r="B291" s="720">
        <f t="shared" si="20"/>
        <v>2023</v>
      </c>
      <c r="C291" s="794">
        <v>124.8</v>
      </c>
      <c r="D291" s="794">
        <v>360.3</v>
      </c>
      <c r="E291" s="794">
        <v>126.4</v>
      </c>
      <c r="F291" s="721">
        <f>IF($A291&lt;DATE(2018,7,1),"-",INDEX('I1 - Universal Data'!$E$16:$V$16, MATCH(YEAR(EOMONTH($A291,6)), 'I1 - Universal Data'!$E$14:$V$14, 0)))</f>
        <v>7.3032807433557112E-2</v>
      </c>
      <c r="G291" s="721">
        <f>IF($A291&lt;DATE(2018,7,1),"-",INDEX('I1 - Universal Data'!$E$15:$V$15, MATCH(YEAR(EOMONTH($A291,6)), 'I1 - Universal Data'!$E$14:$V$14, 0)))</f>
        <v>9.6914789201007601E-2</v>
      </c>
      <c r="H291" s="721">
        <f>IF($A291&lt;DATE(2018,7,1),"-",INDEX('I1 - Universal Data'!$E$17:$V$17, MATCH(YEAR(EOMONTH($A291,6)), 'I1 - Universal Data'!$E$14:$V$14, 0)))</f>
        <v>6.7939669987546525E-2</v>
      </c>
      <c r="I291" s="722">
        <f t="shared" si="22"/>
        <v>124.8</v>
      </c>
      <c r="J291" s="722">
        <f t="shared" si="23"/>
        <v>360.3</v>
      </c>
      <c r="K291" s="722">
        <f t="shared" si="24"/>
        <v>126.4</v>
      </c>
      <c r="X291" s="101"/>
    </row>
    <row r="292" spans="1:24">
      <c r="A292" s="719">
        <f t="shared" si="21"/>
        <v>44985</v>
      </c>
      <c r="B292" s="720">
        <f t="shared" si="20"/>
        <v>2023</v>
      </c>
      <c r="C292" s="794">
        <v>126</v>
      </c>
      <c r="D292" s="794">
        <v>364.5</v>
      </c>
      <c r="E292" s="794">
        <v>127.9</v>
      </c>
      <c r="F292" s="721">
        <f>IF($A292&lt;DATE(2018,7,1),"-",INDEX('I1 - Universal Data'!$E$16:$V$16, MATCH(YEAR(EOMONTH($A292,6)), 'I1 - Universal Data'!$E$14:$V$14, 0)))</f>
        <v>7.3032807433557112E-2</v>
      </c>
      <c r="G292" s="721">
        <f>IF($A292&lt;DATE(2018,7,1),"-",INDEX('I1 - Universal Data'!$E$15:$V$15, MATCH(YEAR(EOMONTH($A292,6)), 'I1 - Universal Data'!$E$14:$V$14, 0)))</f>
        <v>9.6914789201007601E-2</v>
      </c>
      <c r="H292" s="721">
        <f>IF($A292&lt;DATE(2018,7,1),"-",INDEX('I1 - Universal Data'!$E$17:$V$17, MATCH(YEAR(EOMONTH($A292,6)), 'I1 - Universal Data'!$E$14:$V$14, 0)))</f>
        <v>6.7939669987546525E-2</v>
      </c>
      <c r="I292" s="722">
        <f t="shared" si="22"/>
        <v>126</v>
      </c>
      <c r="J292" s="722">
        <f t="shared" si="23"/>
        <v>364.5</v>
      </c>
      <c r="K292" s="722">
        <f t="shared" si="24"/>
        <v>127.9</v>
      </c>
      <c r="X292" s="101"/>
    </row>
    <row r="293" spans="1:24">
      <c r="A293" s="719">
        <f t="shared" si="21"/>
        <v>45016</v>
      </c>
      <c r="B293" s="720">
        <f t="shared" si="20"/>
        <v>2023</v>
      </c>
      <c r="C293" s="794">
        <v>126.8</v>
      </c>
      <c r="D293" s="794">
        <v>367.2</v>
      </c>
      <c r="E293" s="794">
        <v>128.9</v>
      </c>
      <c r="F293" s="721">
        <f>IF($A293&lt;DATE(2018,7,1),"-",INDEX('I1 - Universal Data'!$E$16:$V$16, MATCH(YEAR(EOMONTH($A293,6)), 'I1 - Universal Data'!$E$14:$V$14, 0)))</f>
        <v>7.3032807433557112E-2</v>
      </c>
      <c r="G293" s="721">
        <f>IF($A293&lt;DATE(2018,7,1),"-",INDEX('I1 - Universal Data'!$E$15:$V$15, MATCH(YEAR(EOMONTH($A293,6)), 'I1 - Universal Data'!$E$14:$V$14, 0)))</f>
        <v>9.6914789201007601E-2</v>
      </c>
      <c r="H293" s="721">
        <f>IF($A293&lt;DATE(2018,7,1),"-",INDEX('I1 - Universal Data'!$E$17:$V$17, MATCH(YEAR(EOMONTH($A293,6)), 'I1 - Universal Data'!$E$14:$V$14, 0)))</f>
        <v>6.7939669987546525E-2</v>
      </c>
      <c r="I293" s="722">
        <f t="shared" si="22"/>
        <v>126.8</v>
      </c>
      <c r="J293" s="722">
        <f t="shared" si="23"/>
        <v>367.2</v>
      </c>
      <c r="K293" s="722">
        <f t="shared" si="24"/>
        <v>128.9</v>
      </c>
      <c r="X293" s="101"/>
    </row>
    <row r="294" spans="1:24">
      <c r="A294" s="719">
        <f t="shared" si="21"/>
        <v>45046</v>
      </c>
      <c r="B294" s="720">
        <f t="shared" si="20"/>
        <v>2024</v>
      </c>
      <c r="C294" s="794">
        <v>128.30000000000001</v>
      </c>
      <c r="D294" s="794">
        <v>372.8</v>
      </c>
      <c r="E294" s="794">
        <v>130.4</v>
      </c>
      <c r="F294" s="721">
        <f>IF($A294&lt;DATE(2018,7,1),"-",INDEX('I1 - Universal Data'!$E$16:$V$16, MATCH(YEAR(EOMONTH($A294,6)), 'I1 - Universal Data'!$E$14:$V$14, 0)))</f>
        <v>7.3032807433557112E-2</v>
      </c>
      <c r="G294" s="721">
        <f>IF($A294&lt;DATE(2018,7,1),"-",INDEX('I1 - Universal Data'!$E$15:$V$15, MATCH(YEAR(EOMONTH($A294,6)), 'I1 - Universal Data'!$E$14:$V$14, 0)))</f>
        <v>9.6914789201007601E-2</v>
      </c>
      <c r="H294" s="721">
        <f>IF($A294&lt;DATE(2018,7,1),"-",INDEX('I1 - Universal Data'!$E$17:$V$17, MATCH(YEAR(EOMONTH($A294,6)), 'I1 - Universal Data'!$E$14:$V$14, 0)))</f>
        <v>6.7939669987546525E-2</v>
      </c>
      <c r="I294" s="722">
        <f t="shared" si="22"/>
        <v>128.30000000000001</v>
      </c>
      <c r="J294" s="722">
        <f t="shared" si="23"/>
        <v>372.8</v>
      </c>
      <c r="K294" s="722">
        <f t="shared" si="24"/>
        <v>130.4</v>
      </c>
      <c r="X294" s="710"/>
    </row>
    <row r="295" spans="1:24">
      <c r="A295" s="719">
        <f t="shared" si="21"/>
        <v>45077</v>
      </c>
      <c r="B295" s="720">
        <f t="shared" si="20"/>
        <v>2024</v>
      </c>
      <c r="C295" s="794">
        <v>129.1</v>
      </c>
      <c r="D295" s="794">
        <v>375.3</v>
      </c>
      <c r="E295" s="794">
        <v>131.30000000000001</v>
      </c>
      <c r="F295" s="721">
        <f>IF($A295&lt;DATE(2018,7,1),"-",INDEX('I1 - Universal Data'!$E$16:$V$16, MATCH(YEAR(EOMONTH($A295,6)), 'I1 - Universal Data'!$E$14:$V$14, 0)))</f>
        <v>7.3032807433557112E-2</v>
      </c>
      <c r="G295" s="721">
        <f>IF($A295&lt;DATE(2018,7,1),"-",INDEX('I1 - Universal Data'!$E$15:$V$15, MATCH(YEAR(EOMONTH($A295,6)), 'I1 - Universal Data'!$E$14:$V$14, 0)))</f>
        <v>9.6914789201007601E-2</v>
      </c>
      <c r="H295" s="721">
        <f>IF($A295&lt;DATE(2018,7,1),"-",INDEX('I1 - Universal Data'!$E$17:$V$17, MATCH(YEAR(EOMONTH($A295,6)), 'I1 - Universal Data'!$E$14:$V$14, 0)))</f>
        <v>6.7939669987546525E-2</v>
      </c>
      <c r="I295" s="722">
        <f t="shared" si="22"/>
        <v>129.1</v>
      </c>
      <c r="J295" s="722">
        <f t="shared" si="23"/>
        <v>375.3</v>
      </c>
      <c r="K295" s="722">
        <f t="shared" si="24"/>
        <v>131.30000000000001</v>
      </c>
      <c r="X295" s="710"/>
    </row>
    <row r="296" spans="1:24">
      <c r="A296" s="719">
        <f t="shared" si="21"/>
        <v>45107</v>
      </c>
      <c r="B296" s="720">
        <f t="shared" si="20"/>
        <v>2024</v>
      </c>
      <c r="C296" s="794">
        <v>129.4</v>
      </c>
      <c r="D296" s="794">
        <v>376.4</v>
      </c>
      <c r="E296" s="794">
        <v>131.5</v>
      </c>
      <c r="F296" s="721">
        <f>IF($A296&lt;DATE(2018,7,1),"-",INDEX('I1 - Universal Data'!$E$16:$V$16, MATCH(YEAR(EOMONTH($A296,6)), 'I1 - Universal Data'!$E$14:$V$14, 0)))</f>
        <v>7.3032807433557112E-2</v>
      </c>
      <c r="G296" s="721">
        <f>IF($A296&lt;DATE(2018,7,1),"-",INDEX('I1 - Universal Data'!$E$15:$V$15, MATCH(YEAR(EOMONTH($A296,6)), 'I1 - Universal Data'!$E$14:$V$14, 0)))</f>
        <v>9.6914789201007601E-2</v>
      </c>
      <c r="H296" s="721">
        <f>IF($A296&lt;DATE(2018,7,1),"-",INDEX('I1 - Universal Data'!$E$17:$V$17, MATCH(YEAR(EOMONTH($A296,6)), 'I1 - Universal Data'!$E$14:$V$14, 0)))</f>
        <v>6.7939669987546525E-2</v>
      </c>
      <c r="I296" s="722">
        <f t="shared" si="22"/>
        <v>129.4</v>
      </c>
      <c r="J296" s="722">
        <f t="shared" si="23"/>
        <v>376.4</v>
      </c>
      <c r="K296" s="722">
        <f t="shared" si="24"/>
        <v>131.5</v>
      </c>
      <c r="X296" s="710"/>
    </row>
    <row r="297" spans="1:24">
      <c r="A297" s="719">
        <f t="shared" si="21"/>
        <v>45138</v>
      </c>
      <c r="B297" s="720">
        <f t="shared" si="20"/>
        <v>2024</v>
      </c>
      <c r="C297" s="794">
        <v>129</v>
      </c>
      <c r="D297" s="794">
        <v>374.2</v>
      </c>
      <c r="E297" s="794">
        <v>130.9</v>
      </c>
      <c r="F297" s="721">
        <f>IF($A297&lt;DATE(2018,7,1),"-",INDEX('I1 - Universal Data'!$E$16:$V$16, MATCH(YEAR(EOMONTH($A297,6)), 'I1 - Universal Data'!$E$14:$V$14, 0)))</f>
        <v>2.5301927741606001E-2</v>
      </c>
      <c r="G297" s="721">
        <f>IF($A297&lt;DATE(2018,7,1),"-",INDEX('I1 - Universal Data'!$E$15:$V$15, MATCH(YEAR(EOMONTH($A297,6)), 'I1 - Universal Data'!$E$14:$V$14, 0)))</f>
        <v>3.5849815186325129E-2</v>
      </c>
      <c r="H297" s="721">
        <f>IF($A297&lt;DATE(2018,7,1),"-",INDEX('I1 - Universal Data'!$E$17:$V$17, MATCH(YEAR(EOMONTH($A297,6)), 'I1 - Universal Data'!$E$14:$V$14, 0)))</f>
        <v>3.2715730780458641E-2</v>
      </c>
      <c r="I297" s="722">
        <f t="shared" si="22"/>
        <v>129</v>
      </c>
      <c r="J297" s="722">
        <f t="shared" si="23"/>
        <v>374.2</v>
      </c>
      <c r="K297" s="722">
        <f t="shared" si="24"/>
        <v>130.9</v>
      </c>
      <c r="X297" s="710"/>
    </row>
    <row r="298" spans="1:24">
      <c r="A298" s="719">
        <f t="shared" si="21"/>
        <v>45169</v>
      </c>
      <c r="B298" s="720">
        <f t="shared" si="20"/>
        <v>2024</v>
      </c>
      <c r="C298" s="794">
        <v>129.4</v>
      </c>
      <c r="D298" s="794">
        <v>376.6</v>
      </c>
      <c r="E298" s="794">
        <v>131.30000000000001</v>
      </c>
      <c r="F298" s="721">
        <f>IF($A298&lt;DATE(2018,7,1),"-",INDEX('I1 - Universal Data'!$E$16:$V$16, MATCH(YEAR(EOMONTH($A298,6)), 'I1 - Universal Data'!$E$14:$V$14, 0)))</f>
        <v>2.5301927741606001E-2</v>
      </c>
      <c r="G298" s="721">
        <f>IF($A298&lt;DATE(2018,7,1),"-",INDEX('I1 - Universal Data'!$E$15:$V$15, MATCH(YEAR(EOMONTH($A298,6)), 'I1 - Universal Data'!$E$14:$V$14, 0)))</f>
        <v>3.5849815186325129E-2</v>
      </c>
      <c r="H298" s="721">
        <f>IF($A298&lt;DATE(2018,7,1),"-",INDEX('I1 - Universal Data'!$E$17:$V$17, MATCH(YEAR(EOMONTH($A298,6)), 'I1 - Universal Data'!$E$14:$V$14, 0)))</f>
        <v>3.2715730780458641E-2</v>
      </c>
      <c r="I298" s="722">
        <f t="shared" si="22"/>
        <v>129.4</v>
      </c>
      <c r="J298" s="722">
        <f t="shared" si="23"/>
        <v>376.6</v>
      </c>
      <c r="K298" s="722">
        <f t="shared" si="24"/>
        <v>131.30000000000001</v>
      </c>
      <c r="X298" s="710"/>
    </row>
    <row r="299" spans="1:24">
      <c r="A299" s="719">
        <f t="shared" si="21"/>
        <v>45199</v>
      </c>
      <c r="B299" s="720">
        <f t="shared" si="20"/>
        <v>2024</v>
      </c>
      <c r="C299" s="794">
        <v>130.1</v>
      </c>
      <c r="D299" s="794">
        <v>378.4</v>
      </c>
      <c r="E299" s="794">
        <v>132</v>
      </c>
      <c r="F299" s="721">
        <f>IF($A299&lt;DATE(2018,7,1),"-",INDEX('I1 - Universal Data'!$E$16:$V$16, MATCH(YEAR(EOMONTH($A299,6)), 'I1 - Universal Data'!$E$14:$V$14, 0)))</f>
        <v>2.5301927741606001E-2</v>
      </c>
      <c r="G299" s="721">
        <f>IF($A299&lt;DATE(2018,7,1),"-",INDEX('I1 - Universal Data'!$E$15:$V$15, MATCH(YEAR(EOMONTH($A299,6)), 'I1 - Universal Data'!$E$14:$V$14, 0)))</f>
        <v>3.5849815186325129E-2</v>
      </c>
      <c r="H299" s="721">
        <f>IF($A299&lt;DATE(2018,7,1),"-",INDEX('I1 - Universal Data'!$E$17:$V$17, MATCH(YEAR(EOMONTH($A299,6)), 'I1 - Universal Data'!$E$14:$V$14, 0)))</f>
        <v>3.2715730780458641E-2</v>
      </c>
      <c r="I299" s="722">
        <f t="shared" si="22"/>
        <v>130.1</v>
      </c>
      <c r="J299" s="722">
        <f t="shared" si="23"/>
        <v>378.4</v>
      </c>
      <c r="K299" s="722">
        <f t="shared" si="24"/>
        <v>132</v>
      </c>
      <c r="X299" s="710"/>
    </row>
    <row r="300" spans="1:24">
      <c r="A300" s="719">
        <f t="shared" si="21"/>
        <v>45230</v>
      </c>
      <c r="B300" s="720">
        <f t="shared" si="20"/>
        <v>2024</v>
      </c>
      <c r="C300" s="794">
        <v>130.19999999999999</v>
      </c>
      <c r="D300" s="794">
        <v>377.8</v>
      </c>
      <c r="E300" s="794">
        <v>132</v>
      </c>
      <c r="F300" s="721">
        <f>IF($A300&lt;DATE(2018,7,1),"-",INDEX('I1 - Universal Data'!$E$16:$V$16, MATCH(YEAR(EOMONTH($A300,6)), 'I1 - Universal Data'!$E$14:$V$14, 0)))</f>
        <v>2.5301927741606001E-2</v>
      </c>
      <c r="G300" s="721">
        <f>IF($A300&lt;DATE(2018,7,1),"-",INDEX('I1 - Universal Data'!$E$15:$V$15, MATCH(YEAR(EOMONTH($A300,6)), 'I1 - Universal Data'!$E$14:$V$14, 0)))</f>
        <v>3.5849815186325129E-2</v>
      </c>
      <c r="H300" s="721">
        <f>IF($A300&lt;DATE(2018,7,1),"-",INDEX('I1 - Universal Data'!$E$17:$V$17, MATCH(YEAR(EOMONTH($A300,6)), 'I1 - Universal Data'!$E$14:$V$14, 0)))</f>
        <v>3.2715730780458641E-2</v>
      </c>
      <c r="I300" s="722">
        <f t="shared" si="22"/>
        <v>130.19999999999999</v>
      </c>
      <c r="J300" s="722">
        <f t="shared" si="23"/>
        <v>377.8</v>
      </c>
      <c r="K300" s="722">
        <f t="shared" si="24"/>
        <v>132</v>
      </c>
      <c r="X300" s="710"/>
    </row>
    <row r="301" spans="1:24">
      <c r="A301" s="719">
        <f t="shared" si="21"/>
        <v>45260</v>
      </c>
      <c r="B301" s="720">
        <f t="shared" si="20"/>
        <v>2024</v>
      </c>
      <c r="C301" s="794">
        <v>130</v>
      </c>
      <c r="D301" s="794">
        <v>377.3</v>
      </c>
      <c r="E301" s="794">
        <v>131.69999999999999</v>
      </c>
      <c r="F301" s="721">
        <f>IF($A301&lt;DATE(2018,7,1),"-",INDEX('I1 - Universal Data'!$E$16:$V$16, MATCH(YEAR(EOMONTH($A301,6)), 'I1 - Universal Data'!$E$14:$V$14, 0)))</f>
        <v>2.5301927741606001E-2</v>
      </c>
      <c r="G301" s="721">
        <f>IF($A301&lt;DATE(2018,7,1),"-",INDEX('I1 - Universal Data'!$E$15:$V$15, MATCH(YEAR(EOMONTH($A301,6)), 'I1 - Universal Data'!$E$14:$V$14, 0)))</f>
        <v>3.5849815186325129E-2</v>
      </c>
      <c r="H301" s="721">
        <f>IF($A301&lt;DATE(2018,7,1),"-",INDEX('I1 - Universal Data'!$E$17:$V$17, MATCH(YEAR(EOMONTH($A301,6)), 'I1 - Universal Data'!$E$14:$V$14, 0)))</f>
        <v>3.2715730780458641E-2</v>
      </c>
      <c r="I301" s="722">
        <f t="shared" si="22"/>
        <v>130</v>
      </c>
      <c r="J301" s="722">
        <f t="shared" si="23"/>
        <v>377.3</v>
      </c>
      <c r="K301" s="722">
        <f t="shared" si="24"/>
        <v>131.69999999999999</v>
      </c>
      <c r="X301" s="710"/>
    </row>
    <row r="302" spans="1:24">
      <c r="A302" s="719">
        <f t="shared" si="21"/>
        <v>45291</v>
      </c>
      <c r="B302" s="720">
        <f t="shared" si="20"/>
        <v>2024</v>
      </c>
      <c r="C302" s="794">
        <v>130.5</v>
      </c>
      <c r="D302" s="794">
        <v>379</v>
      </c>
      <c r="E302" s="794">
        <v>132.19999999999999</v>
      </c>
      <c r="F302" s="721">
        <f>IF($A302&lt;DATE(2018,7,1),"-",INDEX('I1 - Universal Data'!$E$16:$V$16, MATCH(YEAR(EOMONTH($A302,6)), 'I1 - Universal Data'!$E$14:$V$14, 0)))</f>
        <v>2.5301927741606001E-2</v>
      </c>
      <c r="G302" s="721">
        <f>IF($A302&lt;DATE(2018,7,1),"-",INDEX('I1 - Universal Data'!$E$15:$V$15, MATCH(YEAR(EOMONTH($A302,6)), 'I1 - Universal Data'!$E$14:$V$14, 0)))</f>
        <v>3.5849815186325129E-2</v>
      </c>
      <c r="H302" s="721">
        <f>IF($A302&lt;DATE(2018,7,1),"-",INDEX('I1 - Universal Data'!$E$17:$V$17, MATCH(YEAR(EOMONTH($A302,6)), 'I1 - Universal Data'!$E$14:$V$14, 0)))</f>
        <v>3.2715730780458641E-2</v>
      </c>
      <c r="I302" s="722">
        <f t="shared" si="22"/>
        <v>130.5</v>
      </c>
      <c r="J302" s="722">
        <f t="shared" si="23"/>
        <v>379</v>
      </c>
      <c r="K302" s="722">
        <f t="shared" si="24"/>
        <v>132.19999999999999</v>
      </c>
      <c r="X302" s="710"/>
    </row>
    <row r="303" spans="1:24">
      <c r="A303" s="719">
        <f t="shared" si="21"/>
        <v>45322</v>
      </c>
      <c r="B303" s="720">
        <f t="shared" si="20"/>
        <v>2024</v>
      </c>
      <c r="C303" s="794">
        <v>130</v>
      </c>
      <c r="D303" s="794">
        <v>378</v>
      </c>
      <c r="E303" s="794">
        <v>131.5</v>
      </c>
      <c r="F303" s="721">
        <f>IF($A303&lt;DATE(2018,7,1),"-",INDEX('I1 - Universal Data'!$E$16:$V$16, MATCH(YEAR(EOMONTH($A303,6)), 'I1 - Universal Data'!$E$14:$V$14, 0)))</f>
        <v>2.5301927741606001E-2</v>
      </c>
      <c r="G303" s="721">
        <f>IF($A303&lt;DATE(2018,7,1),"-",INDEX('I1 - Universal Data'!$E$15:$V$15, MATCH(YEAR(EOMONTH($A303,6)), 'I1 - Universal Data'!$E$14:$V$14, 0)))</f>
        <v>3.5849815186325129E-2</v>
      </c>
      <c r="H303" s="721">
        <f>IF($A303&lt;DATE(2018,7,1),"-",INDEX('I1 - Universal Data'!$E$17:$V$17, MATCH(YEAR(EOMONTH($A303,6)), 'I1 - Universal Data'!$E$14:$V$14, 0)))</f>
        <v>3.2715730780458641E-2</v>
      </c>
      <c r="I303" s="722">
        <f t="shared" si="22"/>
        <v>130</v>
      </c>
      <c r="J303" s="722">
        <f t="shared" si="23"/>
        <v>378</v>
      </c>
      <c r="K303" s="722">
        <f t="shared" si="24"/>
        <v>131.5</v>
      </c>
      <c r="X303" s="710"/>
    </row>
    <row r="304" spans="1:24">
      <c r="A304" s="719">
        <f t="shared" si="21"/>
        <v>45351</v>
      </c>
      <c r="B304" s="720">
        <f t="shared" si="20"/>
        <v>2024</v>
      </c>
      <c r="C304" s="794">
        <v>130.80000000000001</v>
      </c>
      <c r="D304" s="794">
        <v>381</v>
      </c>
      <c r="E304" s="794">
        <v>132.30000000000001</v>
      </c>
      <c r="F304" s="721">
        <f>IF($A304&lt;DATE(2018,7,1),"-",INDEX('I1 - Universal Data'!$E$16:$V$16, MATCH(YEAR(EOMONTH($A304,6)), 'I1 - Universal Data'!$E$14:$V$14, 0)))</f>
        <v>2.5301927741606001E-2</v>
      </c>
      <c r="G304" s="721">
        <f>IF($A304&lt;DATE(2018,7,1),"-",INDEX('I1 - Universal Data'!$E$15:$V$15, MATCH(YEAR(EOMONTH($A304,6)), 'I1 - Universal Data'!$E$14:$V$14, 0)))</f>
        <v>3.5849815186325129E-2</v>
      </c>
      <c r="H304" s="721">
        <f>IF($A304&lt;DATE(2018,7,1),"-",INDEX('I1 - Universal Data'!$E$17:$V$17, MATCH(YEAR(EOMONTH($A304,6)), 'I1 - Universal Data'!$E$14:$V$14, 0)))</f>
        <v>3.2715730780458641E-2</v>
      </c>
      <c r="I304" s="722">
        <f t="shared" si="22"/>
        <v>130.80000000000001</v>
      </c>
      <c r="J304" s="722">
        <f t="shared" si="23"/>
        <v>381</v>
      </c>
      <c r="K304" s="722">
        <f t="shared" si="24"/>
        <v>132.30000000000001</v>
      </c>
      <c r="X304" s="710"/>
    </row>
    <row r="305" spans="1:24">
      <c r="A305" s="719">
        <f t="shared" si="21"/>
        <v>45382</v>
      </c>
      <c r="B305" s="720">
        <f t="shared" si="20"/>
        <v>2024</v>
      </c>
      <c r="C305" s="794">
        <v>131.6</v>
      </c>
      <c r="D305" s="794">
        <v>383</v>
      </c>
      <c r="E305" s="794">
        <v>133</v>
      </c>
      <c r="F305" s="721">
        <f>IF($A305&lt;DATE(2018,7,1),"-",INDEX('I1 - Universal Data'!$E$16:$V$16, MATCH(YEAR(EOMONTH($A305,6)), 'I1 - Universal Data'!$E$14:$V$14, 0)))</f>
        <v>2.5301927741606001E-2</v>
      </c>
      <c r="G305" s="721">
        <f>IF($A305&lt;DATE(2018,7,1),"-",INDEX('I1 - Universal Data'!$E$15:$V$15, MATCH(YEAR(EOMONTH($A305,6)), 'I1 - Universal Data'!$E$14:$V$14, 0)))</f>
        <v>3.5849815186325129E-2</v>
      </c>
      <c r="H305" s="721">
        <f>IF($A305&lt;DATE(2018,7,1),"-",INDEX('I1 - Universal Data'!$E$17:$V$17, MATCH(YEAR(EOMONTH($A305,6)), 'I1 - Universal Data'!$E$14:$V$14, 0)))</f>
        <v>3.2715730780458641E-2</v>
      </c>
      <c r="I305" s="722">
        <f t="shared" si="22"/>
        <v>131.6</v>
      </c>
      <c r="J305" s="722">
        <f t="shared" si="23"/>
        <v>383</v>
      </c>
      <c r="K305" s="722">
        <f t="shared" si="24"/>
        <v>133</v>
      </c>
      <c r="X305" s="710"/>
    </row>
    <row r="306" spans="1:24">
      <c r="A306" s="719">
        <f t="shared" si="21"/>
        <v>45412</v>
      </c>
      <c r="B306" s="720">
        <f t="shared" si="20"/>
        <v>2025</v>
      </c>
      <c r="C306" s="794">
        <v>132.19999999999999</v>
      </c>
      <c r="D306" s="794">
        <v>385</v>
      </c>
      <c r="E306" s="794">
        <v>133.5</v>
      </c>
      <c r="F306" s="721">
        <f>IF($A306&lt;DATE(2018,7,1),"-",INDEX('I1 - Universal Data'!$E$16:$V$16, MATCH(YEAR(EOMONTH($A306,6)), 'I1 - Universal Data'!$E$14:$V$14, 0)))</f>
        <v>2.5301927741606001E-2</v>
      </c>
      <c r="G306" s="721">
        <f>IF($A306&lt;DATE(2018,7,1),"-",INDEX('I1 - Universal Data'!$E$15:$V$15, MATCH(YEAR(EOMONTH($A306,6)), 'I1 - Universal Data'!$E$14:$V$14, 0)))</f>
        <v>3.5849815186325129E-2</v>
      </c>
      <c r="H306" s="721">
        <f>IF($A306&lt;DATE(2018,7,1),"-",INDEX('I1 - Universal Data'!$E$17:$V$17, MATCH(YEAR(EOMONTH($A306,6)), 'I1 - Universal Data'!$E$14:$V$14, 0)))</f>
        <v>3.2715730780458641E-2</v>
      </c>
      <c r="I306" s="722">
        <f t="shared" si="22"/>
        <v>132.19999999999999</v>
      </c>
      <c r="J306" s="722">
        <f t="shared" si="23"/>
        <v>385</v>
      </c>
      <c r="K306" s="722">
        <f t="shared" si="24"/>
        <v>133.5</v>
      </c>
      <c r="X306" s="710"/>
    </row>
    <row r="307" spans="1:24">
      <c r="A307" s="719">
        <f t="shared" si="21"/>
        <v>45443</v>
      </c>
      <c r="B307" s="720">
        <f t="shared" si="20"/>
        <v>2025</v>
      </c>
      <c r="C307" s="794">
        <v>132.69999999999999</v>
      </c>
      <c r="D307" s="794">
        <v>386.4</v>
      </c>
      <c r="E307" s="794">
        <v>133.9</v>
      </c>
      <c r="F307" s="721">
        <f>IF($A307&lt;DATE(2018,7,1),"-",INDEX('I1 - Universal Data'!$E$16:$V$16, MATCH(YEAR(EOMONTH($A307,6)), 'I1 - Universal Data'!$E$14:$V$14, 0)))</f>
        <v>2.5301927741606001E-2</v>
      </c>
      <c r="G307" s="721">
        <f>IF($A307&lt;DATE(2018,7,1),"-",INDEX('I1 - Universal Data'!$E$15:$V$15, MATCH(YEAR(EOMONTH($A307,6)), 'I1 - Universal Data'!$E$14:$V$14, 0)))</f>
        <v>3.5849815186325129E-2</v>
      </c>
      <c r="H307" s="721">
        <f>IF($A307&lt;DATE(2018,7,1),"-",INDEX('I1 - Universal Data'!$E$17:$V$17, MATCH(YEAR(EOMONTH($A307,6)), 'I1 - Universal Data'!$E$14:$V$14, 0)))</f>
        <v>3.2715730780458641E-2</v>
      </c>
      <c r="I307" s="722">
        <f t="shared" si="22"/>
        <v>132.69999999999999</v>
      </c>
      <c r="J307" s="722">
        <f t="shared" si="23"/>
        <v>386.4</v>
      </c>
      <c r="K307" s="722">
        <f t="shared" si="24"/>
        <v>133.9</v>
      </c>
      <c r="X307" s="710"/>
    </row>
    <row r="308" spans="1:24">
      <c r="A308" s="719">
        <f t="shared" si="21"/>
        <v>45473</v>
      </c>
      <c r="B308" s="720">
        <f t="shared" si="20"/>
        <v>2025</v>
      </c>
      <c r="C308" s="794">
        <v>133</v>
      </c>
      <c r="D308" s="794">
        <v>387.3</v>
      </c>
      <c r="E308" s="794">
        <v>134.1</v>
      </c>
      <c r="F308" s="721">
        <f>IF($A308&lt;DATE(2018,7,1),"-",INDEX('I1 - Universal Data'!$E$16:$V$16, MATCH(YEAR(EOMONTH($A308,6)), 'I1 - Universal Data'!$E$14:$V$14, 0)))</f>
        <v>2.5301927741606001E-2</v>
      </c>
      <c r="G308" s="721">
        <f>IF($A308&lt;DATE(2018,7,1),"-",INDEX('I1 - Universal Data'!$E$15:$V$15, MATCH(YEAR(EOMONTH($A308,6)), 'I1 - Universal Data'!$E$14:$V$14, 0)))</f>
        <v>3.5849815186325129E-2</v>
      </c>
      <c r="H308" s="721">
        <f>IF($A308&lt;DATE(2018,7,1),"-",INDEX('I1 - Universal Data'!$E$17:$V$17, MATCH(YEAR(EOMONTH($A308,6)), 'I1 - Universal Data'!$E$14:$V$14, 0)))</f>
        <v>3.2715730780458641E-2</v>
      </c>
      <c r="I308" s="722">
        <f t="shared" si="22"/>
        <v>133</v>
      </c>
      <c r="J308" s="722">
        <f t="shared" si="23"/>
        <v>387.3</v>
      </c>
      <c r="K308" s="722">
        <f t="shared" si="24"/>
        <v>134.1</v>
      </c>
      <c r="X308" s="710"/>
    </row>
    <row r="309" spans="1:24">
      <c r="A309" s="719">
        <f t="shared" si="21"/>
        <v>45504</v>
      </c>
      <c r="B309" s="720">
        <f t="shared" si="20"/>
        <v>2025</v>
      </c>
      <c r="C309" s="794">
        <v>132.9</v>
      </c>
      <c r="D309" s="794">
        <v>387.5</v>
      </c>
      <c r="E309" s="794">
        <v>133.80000000000001</v>
      </c>
      <c r="F309" s="721">
        <f>IF($A309&lt;DATE(2018,7,1),"-",INDEX('I1 - Universal Data'!$E$16:$V$16, MATCH(YEAR(EOMONTH($A309,6)), 'I1 - Universal Data'!$E$14:$V$14, 0)))</f>
        <v>3.3730368724933735E-2</v>
      </c>
      <c r="G309" s="721">
        <f>IF($A309&lt;DATE(2018,7,1),"-",INDEX('I1 - Universal Data'!$E$15:$V$15, MATCH(YEAR(EOMONTH($A309,6)), 'I1 - Universal Data'!$E$14:$V$14, 0)))</f>
        <v>4.1311094517713753E-2</v>
      </c>
      <c r="H309" s="721">
        <f>IF($A309&lt;DATE(2018,7,1),"-",INDEX('I1 - Universal Data'!$E$17:$V$17, MATCH(YEAR(EOMONTH($A309,6)), 'I1 - Universal Data'!$E$14:$V$14, 0)))</f>
        <v>3.8830687510927442E-2</v>
      </c>
      <c r="I309" s="722">
        <f t="shared" si="22"/>
        <v>132.9</v>
      </c>
      <c r="J309" s="722">
        <f t="shared" si="23"/>
        <v>387.5</v>
      </c>
      <c r="K309" s="722">
        <f t="shared" si="24"/>
        <v>133.80000000000001</v>
      </c>
      <c r="X309" s="710"/>
    </row>
    <row r="310" spans="1:24">
      <c r="A310" s="719">
        <f t="shared" si="21"/>
        <v>45535</v>
      </c>
      <c r="B310" s="720">
        <f t="shared" si="20"/>
        <v>2025</v>
      </c>
      <c r="C310" s="794">
        <v>133.4</v>
      </c>
      <c r="D310" s="794">
        <v>389.9</v>
      </c>
      <c r="E310" s="794">
        <v>134.30000000000001</v>
      </c>
      <c r="F310" s="721">
        <f>IF($A310&lt;DATE(2018,7,1),"-",INDEX('I1 - Universal Data'!$E$16:$V$16, MATCH(YEAR(EOMONTH($A310,6)), 'I1 - Universal Data'!$E$14:$V$14, 0)))</f>
        <v>3.3730368724933735E-2</v>
      </c>
      <c r="G310" s="721">
        <f>IF($A310&lt;DATE(2018,7,1),"-",INDEX('I1 - Universal Data'!$E$15:$V$15, MATCH(YEAR(EOMONTH($A310,6)), 'I1 - Universal Data'!$E$14:$V$14, 0)))</f>
        <v>4.1311094517713753E-2</v>
      </c>
      <c r="H310" s="721">
        <f>IF($A310&lt;DATE(2018,7,1),"-",INDEX('I1 - Universal Data'!$E$17:$V$17, MATCH(YEAR(EOMONTH($A310,6)), 'I1 - Universal Data'!$E$14:$V$14, 0)))</f>
        <v>3.8830687510927442E-2</v>
      </c>
      <c r="I310" s="722">
        <f t="shared" si="22"/>
        <v>133.4</v>
      </c>
      <c r="J310" s="722">
        <f t="shared" si="23"/>
        <v>389.9</v>
      </c>
      <c r="K310" s="722">
        <f t="shared" si="24"/>
        <v>134.30000000000001</v>
      </c>
      <c r="X310" s="710"/>
    </row>
    <row r="311" spans="1:24">
      <c r="A311" s="719">
        <f t="shared" si="21"/>
        <v>45565</v>
      </c>
      <c r="B311" s="720">
        <f t="shared" si="20"/>
        <v>2025</v>
      </c>
      <c r="C311" s="794">
        <v>133.5</v>
      </c>
      <c r="D311" s="794">
        <v>388.6</v>
      </c>
      <c r="E311" s="794">
        <v>134.19999999999999</v>
      </c>
      <c r="F311" s="721">
        <f>IF($A311&lt;DATE(2018,7,1),"-",INDEX('I1 - Universal Data'!$E$16:$V$16, MATCH(YEAR(EOMONTH($A311,6)), 'I1 - Universal Data'!$E$14:$V$14, 0)))</f>
        <v>3.3730368724933735E-2</v>
      </c>
      <c r="G311" s="721">
        <f>IF($A311&lt;DATE(2018,7,1),"-",INDEX('I1 - Universal Data'!$E$15:$V$15, MATCH(YEAR(EOMONTH($A311,6)), 'I1 - Universal Data'!$E$14:$V$14, 0)))</f>
        <v>4.1311094517713753E-2</v>
      </c>
      <c r="H311" s="721">
        <f>IF($A311&lt;DATE(2018,7,1),"-",INDEX('I1 - Universal Data'!$E$17:$V$17, MATCH(YEAR(EOMONTH($A311,6)), 'I1 - Universal Data'!$E$14:$V$14, 0)))</f>
        <v>3.8830687510927442E-2</v>
      </c>
      <c r="I311" s="722">
        <f t="shared" si="22"/>
        <v>133.5</v>
      </c>
      <c r="J311" s="722">
        <f t="shared" si="23"/>
        <v>388.6</v>
      </c>
      <c r="K311" s="722">
        <f t="shared" si="24"/>
        <v>134.19999999999999</v>
      </c>
      <c r="X311" s="710"/>
    </row>
    <row r="312" spans="1:24">
      <c r="A312" s="719">
        <f t="shared" si="21"/>
        <v>45596</v>
      </c>
      <c r="B312" s="720">
        <f t="shared" si="20"/>
        <v>2025</v>
      </c>
      <c r="C312" s="794">
        <v>134.30000000000001</v>
      </c>
      <c r="D312" s="794">
        <v>390.7</v>
      </c>
      <c r="E312" s="794">
        <v>135</v>
      </c>
      <c r="F312" s="721">
        <f>IF($A312&lt;DATE(2018,7,1),"-",INDEX('I1 - Universal Data'!$E$16:$V$16, MATCH(YEAR(EOMONTH($A312,6)), 'I1 - Universal Data'!$E$14:$V$14, 0)))</f>
        <v>3.3730368724933735E-2</v>
      </c>
      <c r="G312" s="721">
        <f>IF($A312&lt;DATE(2018,7,1),"-",INDEX('I1 - Universal Data'!$E$15:$V$15, MATCH(YEAR(EOMONTH($A312,6)), 'I1 - Universal Data'!$E$14:$V$14, 0)))</f>
        <v>4.1311094517713753E-2</v>
      </c>
      <c r="H312" s="721">
        <f>IF($A312&lt;DATE(2018,7,1),"-",INDEX('I1 - Universal Data'!$E$17:$V$17, MATCH(YEAR(EOMONTH($A312,6)), 'I1 - Universal Data'!$E$14:$V$14, 0)))</f>
        <v>3.8830687510927442E-2</v>
      </c>
      <c r="I312" s="722">
        <f t="shared" si="22"/>
        <v>134.30000000000001</v>
      </c>
      <c r="J312" s="722">
        <f t="shared" si="23"/>
        <v>390.7</v>
      </c>
      <c r="K312" s="722">
        <f t="shared" si="24"/>
        <v>135</v>
      </c>
      <c r="X312" s="710"/>
    </row>
    <row r="313" spans="1:24">
      <c r="A313" s="719">
        <f t="shared" si="21"/>
        <v>45626</v>
      </c>
      <c r="B313" s="720">
        <f t="shared" si="20"/>
        <v>2025</v>
      </c>
      <c r="C313" s="794">
        <v>134.6</v>
      </c>
      <c r="D313" s="794">
        <v>390.9</v>
      </c>
      <c r="E313" s="794">
        <v>135.1</v>
      </c>
      <c r="F313" s="721">
        <f>IF($A313&lt;DATE(2018,7,1),"-",INDEX('I1 - Universal Data'!$E$16:$V$16, MATCH(YEAR(EOMONTH($A313,6)), 'I1 - Universal Data'!$E$14:$V$14, 0)))</f>
        <v>3.3730368724933735E-2</v>
      </c>
      <c r="G313" s="721">
        <f>IF($A313&lt;DATE(2018,7,1),"-",INDEX('I1 - Universal Data'!$E$15:$V$15, MATCH(YEAR(EOMONTH($A313,6)), 'I1 - Universal Data'!$E$14:$V$14, 0)))</f>
        <v>4.1311094517713753E-2</v>
      </c>
      <c r="H313" s="721">
        <f>IF($A313&lt;DATE(2018,7,1),"-",INDEX('I1 - Universal Data'!$E$17:$V$17, MATCH(YEAR(EOMONTH($A313,6)), 'I1 - Universal Data'!$E$14:$V$14, 0)))</f>
        <v>3.8830687510927442E-2</v>
      </c>
      <c r="I313" s="722">
        <f t="shared" si="22"/>
        <v>134.6</v>
      </c>
      <c r="J313" s="722">
        <f t="shared" si="23"/>
        <v>390.9</v>
      </c>
      <c r="K313" s="722">
        <f t="shared" si="24"/>
        <v>135.1</v>
      </c>
      <c r="X313" s="710"/>
    </row>
    <row r="314" spans="1:24">
      <c r="A314" s="719">
        <f t="shared" si="21"/>
        <v>45657</v>
      </c>
      <c r="B314" s="720">
        <f t="shared" si="20"/>
        <v>2025</v>
      </c>
      <c r="C314" s="794">
        <v>135.1</v>
      </c>
      <c r="D314" s="794">
        <v>392.1</v>
      </c>
      <c r="E314" s="794">
        <v>135.6</v>
      </c>
      <c r="F314" s="721">
        <f>IF($A314&lt;DATE(2018,7,1),"-",INDEX('I1 - Universal Data'!$E$16:$V$16, MATCH(YEAR(EOMONTH($A314,6)), 'I1 - Universal Data'!$E$14:$V$14, 0)))</f>
        <v>3.3730368724933735E-2</v>
      </c>
      <c r="G314" s="721">
        <f>IF($A314&lt;DATE(2018,7,1),"-",INDEX('I1 - Universal Data'!$E$15:$V$15, MATCH(YEAR(EOMONTH($A314,6)), 'I1 - Universal Data'!$E$14:$V$14, 0)))</f>
        <v>4.1311094517713753E-2</v>
      </c>
      <c r="H314" s="721">
        <f>IF($A314&lt;DATE(2018,7,1),"-",INDEX('I1 - Universal Data'!$E$17:$V$17, MATCH(YEAR(EOMONTH($A314,6)), 'I1 - Universal Data'!$E$14:$V$14, 0)))</f>
        <v>3.8830687510927442E-2</v>
      </c>
      <c r="I314" s="722">
        <f t="shared" si="22"/>
        <v>135.1</v>
      </c>
      <c r="J314" s="722">
        <f t="shared" si="23"/>
        <v>392.1</v>
      </c>
      <c r="K314" s="722">
        <f t="shared" si="24"/>
        <v>135.6</v>
      </c>
      <c r="X314" s="710"/>
    </row>
    <row r="315" spans="1:24">
      <c r="A315" s="719">
        <f t="shared" si="21"/>
        <v>45688</v>
      </c>
      <c r="B315" s="720">
        <f t="shared" si="20"/>
        <v>2025</v>
      </c>
      <c r="C315" s="794">
        <v>135.1</v>
      </c>
      <c r="D315" s="794">
        <v>391.7</v>
      </c>
      <c r="E315" s="794">
        <v>135.4</v>
      </c>
      <c r="F315" s="721">
        <f>IF($A315&lt;DATE(2018,7,1),"-",INDEX('I1 - Universal Data'!$E$16:$V$16, MATCH(YEAR(EOMONTH($A315,6)), 'I1 - Universal Data'!$E$14:$V$14, 0)))</f>
        <v>3.3730368724933735E-2</v>
      </c>
      <c r="G315" s="721">
        <f>IF($A315&lt;DATE(2018,7,1),"-",INDEX('I1 - Universal Data'!$E$15:$V$15, MATCH(YEAR(EOMONTH($A315,6)), 'I1 - Universal Data'!$E$14:$V$14, 0)))</f>
        <v>4.1311094517713753E-2</v>
      </c>
      <c r="H315" s="721">
        <f>IF($A315&lt;DATE(2018,7,1),"-",INDEX('I1 - Universal Data'!$E$17:$V$17, MATCH(YEAR(EOMONTH($A315,6)), 'I1 - Universal Data'!$E$14:$V$14, 0)))</f>
        <v>3.8830687510927442E-2</v>
      </c>
      <c r="I315" s="722">
        <f t="shared" si="22"/>
        <v>135.1</v>
      </c>
      <c r="J315" s="722">
        <f t="shared" si="23"/>
        <v>391.7</v>
      </c>
      <c r="K315" s="722">
        <f t="shared" si="24"/>
        <v>135.4</v>
      </c>
      <c r="X315" s="710"/>
    </row>
    <row r="316" spans="1:24">
      <c r="A316" s="719">
        <f t="shared" si="21"/>
        <v>45716</v>
      </c>
      <c r="B316" s="720">
        <f t="shared" si="20"/>
        <v>2025</v>
      </c>
      <c r="C316" s="794">
        <v>135.6</v>
      </c>
      <c r="D316" s="794">
        <v>394</v>
      </c>
      <c r="E316" s="794">
        <v>136</v>
      </c>
      <c r="F316" s="721">
        <f>IF($A316&lt;DATE(2018,7,1),"-",INDEX('I1 - Universal Data'!$E$16:$V$16, MATCH(YEAR(EOMONTH($A316,6)), 'I1 - Universal Data'!$E$14:$V$14, 0)))</f>
        <v>3.3730368724933735E-2</v>
      </c>
      <c r="G316" s="721">
        <f>IF($A316&lt;DATE(2018,7,1),"-",INDEX('I1 - Universal Data'!$E$15:$V$15, MATCH(YEAR(EOMONTH($A316,6)), 'I1 - Universal Data'!$E$14:$V$14, 0)))</f>
        <v>4.1311094517713753E-2</v>
      </c>
      <c r="H316" s="721">
        <f>IF($A316&lt;DATE(2018,7,1),"-",INDEX('I1 - Universal Data'!$E$17:$V$17, MATCH(YEAR(EOMONTH($A316,6)), 'I1 - Universal Data'!$E$14:$V$14, 0)))</f>
        <v>3.8830687510927442E-2</v>
      </c>
      <c r="I316" s="722">
        <f t="shared" si="22"/>
        <v>135.6</v>
      </c>
      <c r="J316" s="722">
        <f t="shared" si="23"/>
        <v>394</v>
      </c>
      <c r="K316" s="722">
        <f t="shared" si="24"/>
        <v>136</v>
      </c>
      <c r="X316" s="710"/>
    </row>
    <row r="317" spans="1:24">
      <c r="A317" s="719">
        <f t="shared" si="21"/>
        <v>45747</v>
      </c>
      <c r="B317" s="720">
        <f t="shared" si="20"/>
        <v>2025</v>
      </c>
      <c r="C317" s="794">
        <v>136.1</v>
      </c>
      <c r="D317" s="794">
        <v>395.3</v>
      </c>
      <c r="E317" s="794">
        <v>136.5</v>
      </c>
      <c r="F317" s="721">
        <f>IF($A317&lt;DATE(2018,7,1),"-",INDEX('I1 - Universal Data'!$E$16:$V$16, MATCH(YEAR(EOMONTH($A317,6)), 'I1 - Universal Data'!$E$14:$V$14, 0)))</f>
        <v>3.3730368724933735E-2</v>
      </c>
      <c r="G317" s="721">
        <f>IF($A317&lt;DATE(2018,7,1),"-",INDEX('I1 - Universal Data'!$E$15:$V$15, MATCH(YEAR(EOMONTH($A317,6)), 'I1 - Universal Data'!$E$14:$V$14, 0)))</f>
        <v>4.1311094517713753E-2</v>
      </c>
      <c r="H317" s="721">
        <f>IF($A317&lt;DATE(2018,7,1),"-",INDEX('I1 - Universal Data'!$E$17:$V$17, MATCH(YEAR(EOMONTH($A317,6)), 'I1 - Universal Data'!$E$14:$V$14, 0)))</f>
        <v>3.8830687510927442E-2</v>
      </c>
      <c r="I317" s="722">
        <f t="shared" si="22"/>
        <v>136.1</v>
      </c>
      <c r="J317" s="722">
        <f t="shared" si="23"/>
        <v>395.3</v>
      </c>
      <c r="K317" s="722">
        <f t="shared" si="24"/>
        <v>136.5</v>
      </c>
      <c r="X317" s="710"/>
    </row>
    <row r="318" spans="1:24">
      <c r="A318" s="719">
        <f t="shared" si="21"/>
        <v>45777</v>
      </c>
      <c r="B318" s="720">
        <f t="shared" si="20"/>
        <v>2026</v>
      </c>
      <c r="C318" s="794">
        <v>137.69999999999999</v>
      </c>
      <c r="D318" s="794">
        <v>402.2</v>
      </c>
      <c r="E318" s="794">
        <v>138.19999999999999</v>
      </c>
      <c r="F318" s="721">
        <f>IF($A318&lt;DATE(2018,7,1),"-",INDEX('I1 - Universal Data'!$E$16:$V$16, MATCH(YEAR(EOMONTH($A318,6)), 'I1 - Universal Data'!$E$14:$V$14, 0)))</f>
        <v>3.3730368724933735E-2</v>
      </c>
      <c r="G318" s="721">
        <f>IF($A318&lt;DATE(2018,7,1),"-",INDEX('I1 - Universal Data'!$E$15:$V$15, MATCH(YEAR(EOMONTH($A318,6)), 'I1 - Universal Data'!$E$14:$V$14, 0)))</f>
        <v>4.1311094517713753E-2</v>
      </c>
      <c r="H318" s="721">
        <f>IF($A318&lt;DATE(2018,7,1),"-",INDEX('I1 - Universal Data'!$E$17:$V$17, MATCH(YEAR(EOMONTH($A318,6)), 'I1 - Universal Data'!$E$14:$V$14, 0)))</f>
        <v>3.8830687510927442E-2</v>
      </c>
      <c r="I318" s="722">
        <f t="shared" si="22"/>
        <v>137.69999999999999</v>
      </c>
      <c r="J318" s="722">
        <f t="shared" si="23"/>
        <v>402.2</v>
      </c>
      <c r="K318" s="722">
        <f t="shared" si="24"/>
        <v>138.19999999999999</v>
      </c>
      <c r="X318" s="710"/>
    </row>
    <row r="319" spans="1:24">
      <c r="A319" s="719">
        <f t="shared" si="21"/>
        <v>45808</v>
      </c>
      <c r="B319" s="720">
        <f t="shared" si="20"/>
        <v>2026</v>
      </c>
      <c r="C319" s="794">
        <v>138</v>
      </c>
      <c r="D319" s="794">
        <v>402.9</v>
      </c>
      <c r="E319" s="794">
        <v>138.4</v>
      </c>
      <c r="F319" s="721">
        <f>IF($A319&lt;DATE(2018,7,1),"-",INDEX('I1 - Universal Data'!$E$16:$V$16, MATCH(YEAR(EOMONTH($A319,6)), 'I1 - Universal Data'!$E$14:$V$14, 0)))</f>
        <v>3.3730368724933735E-2</v>
      </c>
      <c r="G319" s="721">
        <f>IF($A319&lt;DATE(2018,7,1),"-",INDEX('I1 - Universal Data'!$E$15:$V$15, MATCH(YEAR(EOMONTH($A319,6)), 'I1 - Universal Data'!$E$14:$V$14, 0)))</f>
        <v>4.1311094517713753E-2</v>
      </c>
      <c r="H319" s="721">
        <f>IF($A319&lt;DATE(2018,7,1),"-",INDEX('I1 - Universal Data'!$E$17:$V$17, MATCH(YEAR(EOMONTH($A319,6)), 'I1 - Universal Data'!$E$14:$V$14, 0)))</f>
        <v>3.8830687510927442E-2</v>
      </c>
      <c r="I319" s="722">
        <f t="shared" si="22"/>
        <v>138</v>
      </c>
      <c r="J319" s="722">
        <f t="shared" si="23"/>
        <v>402.9</v>
      </c>
      <c r="K319" s="722">
        <f t="shared" si="24"/>
        <v>138.4</v>
      </c>
      <c r="X319" s="710"/>
    </row>
    <row r="320" spans="1:24">
      <c r="A320" s="719">
        <f t="shared" si="21"/>
        <v>45838</v>
      </c>
      <c r="B320" s="720">
        <f t="shared" si="20"/>
        <v>2026</v>
      </c>
      <c r="C320" s="794">
        <v>138.4</v>
      </c>
      <c r="D320" s="794">
        <v>404.5</v>
      </c>
      <c r="E320" s="794">
        <v>138.9</v>
      </c>
      <c r="F320" s="721">
        <f>IF($A320&lt;DATE(2018,7,1),"-",INDEX('I1 - Universal Data'!$E$16:$V$16, MATCH(YEAR(EOMONTH($A320,6)), 'I1 - Universal Data'!$E$14:$V$14, 0)))</f>
        <v>3.3730368724933735E-2</v>
      </c>
      <c r="G320" s="721">
        <f>IF($A320&lt;DATE(2018,7,1),"-",INDEX('I1 - Universal Data'!$E$15:$V$15, MATCH(YEAR(EOMONTH($A320,6)), 'I1 - Universal Data'!$E$14:$V$14, 0)))</f>
        <v>4.1311094517713753E-2</v>
      </c>
      <c r="H320" s="721">
        <f>IF($A320&lt;DATE(2018,7,1),"-",INDEX('I1 - Universal Data'!$E$17:$V$17, MATCH(YEAR(EOMONTH($A320,6)), 'I1 - Universal Data'!$E$14:$V$14, 0)))</f>
        <v>3.8830687510927442E-2</v>
      </c>
      <c r="I320" s="722">
        <f t="shared" si="22"/>
        <v>138.4</v>
      </c>
      <c r="J320" s="722">
        <f t="shared" si="23"/>
        <v>404.5</v>
      </c>
      <c r="K320" s="722">
        <f t="shared" si="24"/>
        <v>138.9</v>
      </c>
      <c r="X320" s="710"/>
    </row>
    <row r="321" spans="1:24">
      <c r="A321" s="719">
        <f t="shared" si="21"/>
        <v>45869</v>
      </c>
      <c r="B321" s="720">
        <f t="shared" si="20"/>
        <v>2026</v>
      </c>
      <c r="C321" s="794">
        <v>138.5</v>
      </c>
      <c r="D321" s="794">
        <v>406.2</v>
      </c>
      <c r="E321" s="794">
        <v>139</v>
      </c>
      <c r="F321" s="721">
        <f>IF($A321&lt;DATE(2018,7,1),"-",INDEX('I1 - Universal Data'!$E$16:$V$16, MATCH(YEAR(EOMONTH($A321,6)), 'I1 - Universal Data'!$E$14:$V$14, 0)))</f>
        <v>2.301053135157205E-2</v>
      </c>
      <c r="G321" s="721">
        <f>IF($A321&lt;DATE(2018,7,1),"-",INDEX('I1 - Universal Data'!$E$15:$V$15, MATCH(YEAR(EOMONTH($A321,6)), 'I1 - Universal Data'!$E$14:$V$14, 0)))</f>
        <v>3.0764505475405324E-2</v>
      </c>
      <c r="H321" s="721">
        <f>IF($A321&lt;DATE(2018,7,1),"-",INDEX('I1 - Universal Data'!$E$17:$V$17, MATCH(YEAR(EOMONTH($A321,6)), 'I1 - Universal Data'!$E$14:$V$14, 0)))</f>
        <v>2.5462143115942082E-2</v>
      </c>
      <c r="I321" s="722">
        <f t="shared" si="22"/>
        <v>138.5</v>
      </c>
      <c r="J321" s="722">
        <f t="shared" si="23"/>
        <v>406.2</v>
      </c>
      <c r="K321" s="722">
        <f t="shared" si="24"/>
        <v>139</v>
      </c>
      <c r="X321" s="710"/>
    </row>
    <row r="322" spans="1:24">
      <c r="A322" s="719">
        <f t="shared" si="21"/>
        <v>45900</v>
      </c>
      <c r="B322" s="720">
        <f t="shared" si="20"/>
        <v>2026</v>
      </c>
      <c r="C322" s="794">
        <v>138.9</v>
      </c>
      <c r="D322" s="794">
        <v>407.7</v>
      </c>
      <c r="E322" s="794">
        <v>139.30000000000001</v>
      </c>
      <c r="F322" s="721">
        <f>IF($A322&lt;DATE(2018,7,1),"-",INDEX('I1 - Universal Data'!$E$16:$V$16, MATCH(YEAR(EOMONTH($A322,6)), 'I1 - Universal Data'!$E$14:$V$14, 0)))</f>
        <v>2.301053135157205E-2</v>
      </c>
      <c r="G322" s="721">
        <f>IF($A322&lt;DATE(2018,7,1),"-",INDEX('I1 - Universal Data'!$E$15:$V$15, MATCH(YEAR(EOMONTH($A322,6)), 'I1 - Universal Data'!$E$14:$V$14, 0)))</f>
        <v>3.0764505475405324E-2</v>
      </c>
      <c r="H322" s="721">
        <f>IF($A322&lt;DATE(2018,7,1),"-",INDEX('I1 - Universal Data'!$E$17:$V$17, MATCH(YEAR(EOMONTH($A322,6)), 'I1 - Universal Data'!$E$14:$V$14, 0)))</f>
        <v>2.5462143115942082E-2</v>
      </c>
      <c r="I322" s="722">
        <f t="shared" si="22"/>
        <v>138.9</v>
      </c>
      <c r="J322" s="722">
        <f t="shared" si="23"/>
        <v>407.7</v>
      </c>
      <c r="K322" s="722">
        <f t="shared" si="24"/>
        <v>139.30000000000001</v>
      </c>
      <c r="X322" s="710"/>
    </row>
    <row r="323" spans="1:24">
      <c r="A323" s="719">
        <f t="shared" si="21"/>
        <v>45930</v>
      </c>
      <c r="B323" s="720">
        <f t="shared" si="20"/>
        <v>2026</v>
      </c>
      <c r="C323" s="794">
        <v>138.9</v>
      </c>
      <c r="D323" s="794">
        <v>406.1</v>
      </c>
      <c r="E323" s="794">
        <v>139.30000000000001</v>
      </c>
      <c r="F323" s="721">
        <f>IF($A323&lt;DATE(2018,7,1),"-",INDEX('I1 - Universal Data'!$E$16:$V$16, MATCH(YEAR(EOMONTH($A323,6)), 'I1 - Universal Data'!$E$14:$V$14, 0)))</f>
        <v>2.301053135157205E-2</v>
      </c>
      <c r="G323" s="721">
        <f>IF($A323&lt;DATE(2018,7,1),"-",INDEX('I1 - Universal Data'!$E$15:$V$15, MATCH(YEAR(EOMONTH($A323,6)), 'I1 - Universal Data'!$E$14:$V$14, 0)))</f>
        <v>3.0764505475405324E-2</v>
      </c>
      <c r="H323" s="721">
        <f>IF($A323&lt;DATE(2018,7,1),"-",INDEX('I1 - Universal Data'!$E$17:$V$17, MATCH(YEAR(EOMONTH($A323,6)), 'I1 - Universal Data'!$E$14:$V$14, 0)))</f>
        <v>2.5462143115942082E-2</v>
      </c>
      <c r="I323" s="722">
        <f t="shared" si="22"/>
        <v>138.9</v>
      </c>
      <c r="J323" s="722">
        <f t="shared" si="23"/>
        <v>406.1</v>
      </c>
      <c r="K323" s="722">
        <f t="shared" si="24"/>
        <v>139.30000000000001</v>
      </c>
      <c r="X323" s="710"/>
    </row>
    <row r="324" spans="1:24">
      <c r="A324" s="719">
        <f t="shared" si="21"/>
        <v>45961</v>
      </c>
      <c r="B324" s="720">
        <f t="shared" si="20"/>
        <v>2026</v>
      </c>
      <c r="C324" s="794">
        <v>139.5</v>
      </c>
      <c r="D324" s="794">
        <v>407.4</v>
      </c>
      <c r="E324" s="794">
        <v>139.80000000000001</v>
      </c>
      <c r="F324" s="721">
        <f>IF($A324&lt;DATE(2018,7,1),"-",INDEX('I1 - Universal Data'!$E$16:$V$16, MATCH(YEAR(EOMONTH($A324,6)), 'I1 - Universal Data'!$E$14:$V$14, 0)))</f>
        <v>2.301053135157205E-2</v>
      </c>
      <c r="G324" s="721">
        <f>IF($A324&lt;DATE(2018,7,1),"-",INDEX('I1 - Universal Data'!$E$15:$V$15, MATCH(YEAR(EOMONTH($A324,6)), 'I1 - Universal Data'!$E$14:$V$14, 0)))</f>
        <v>3.0764505475405324E-2</v>
      </c>
      <c r="H324" s="721">
        <f>IF($A324&lt;DATE(2018,7,1),"-",INDEX('I1 - Universal Data'!$E$17:$V$17, MATCH(YEAR(EOMONTH($A324,6)), 'I1 - Universal Data'!$E$14:$V$14, 0)))</f>
        <v>2.5462143115942082E-2</v>
      </c>
      <c r="I324" s="722">
        <f t="shared" si="22"/>
        <v>139.5</v>
      </c>
      <c r="J324" s="722">
        <f t="shared" si="23"/>
        <v>407.4</v>
      </c>
      <c r="K324" s="722">
        <f t="shared" si="24"/>
        <v>139.80000000000001</v>
      </c>
      <c r="X324" s="710"/>
    </row>
    <row r="325" spans="1:24">
      <c r="A325" s="719">
        <f t="shared" si="21"/>
        <v>45991</v>
      </c>
      <c r="B325" s="720">
        <f t="shared" si="20"/>
        <v>2026</v>
      </c>
      <c r="C325" s="794">
        <v>139.4</v>
      </c>
      <c r="D325" s="794">
        <v>405.6</v>
      </c>
      <c r="E325" s="794">
        <v>139.5</v>
      </c>
      <c r="F325" s="721">
        <f>IF($A325&lt;DATE(2018,7,1),"-",INDEX('I1 - Universal Data'!$E$16:$V$16, MATCH(YEAR(EOMONTH($A325,6)), 'I1 - Universal Data'!$E$14:$V$14, 0)))</f>
        <v>2.301053135157205E-2</v>
      </c>
      <c r="G325" s="721">
        <f>IF($A325&lt;DATE(2018,7,1),"-",INDEX('I1 - Universal Data'!$E$15:$V$15, MATCH(YEAR(EOMONTH($A325,6)), 'I1 - Universal Data'!$E$14:$V$14, 0)))</f>
        <v>3.0764505475405324E-2</v>
      </c>
      <c r="H325" s="721">
        <f>IF($A325&lt;DATE(2018,7,1),"-",INDEX('I1 - Universal Data'!$E$17:$V$17, MATCH(YEAR(EOMONTH($A325,6)), 'I1 - Universal Data'!$E$14:$V$14, 0)))</f>
        <v>2.5462143115942082E-2</v>
      </c>
      <c r="I325" s="722">
        <f t="shared" si="22"/>
        <v>139.4</v>
      </c>
      <c r="J325" s="722">
        <f t="shared" si="23"/>
        <v>405.6</v>
      </c>
      <c r="K325" s="722">
        <f t="shared" si="24"/>
        <v>139.5</v>
      </c>
      <c r="X325" s="710"/>
    </row>
    <row r="326" spans="1:24">
      <c r="A326" s="719">
        <f t="shared" si="21"/>
        <v>46022</v>
      </c>
      <c r="B326" s="720">
        <f t="shared" ref="B326:B389" si="25">IF(MONTH(A326)&gt;=4,YEAR(A326)+1,YEAR(A326))</f>
        <v>2026</v>
      </c>
      <c r="C326" s="794">
        <v>139.9</v>
      </c>
      <c r="D326" s="794">
        <v>408.5</v>
      </c>
      <c r="E326" s="794">
        <v>140.1</v>
      </c>
      <c r="F326" s="721">
        <f>IF($A326&lt;DATE(2018,7,1),"-",INDEX('I1 - Universal Data'!$E$16:$V$16, MATCH(YEAR(EOMONTH($A326,6)), 'I1 - Universal Data'!$E$14:$V$14, 0)))</f>
        <v>2.301053135157205E-2</v>
      </c>
      <c r="G326" s="721">
        <f>IF($A326&lt;DATE(2018,7,1),"-",INDEX('I1 - Universal Data'!$E$15:$V$15, MATCH(YEAR(EOMONTH($A326,6)), 'I1 - Universal Data'!$E$14:$V$14, 0)))</f>
        <v>3.0764505475405324E-2</v>
      </c>
      <c r="H326" s="721">
        <f>IF($A326&lt;DATE(2018,7,1),"-",INDEX('I1 - Universal Data'!$E$17:$V$17, MATCH(YEAR(EOMONTH($A326,6)), 'I1 - Universal Data'!$E$14:$V$14, 0)))</f>
        <v>2.5462143115942082E-2</v>
      </c>
      <c r="I326" s="722">
        <f t="shared" si="22"/>
        <v>139.9</v>
      </c>
      <c r="J326" s="722">
        <f t="shared" si="23"/>
        <v>408.5</v>
      </c>
      <c r="K326" s="722">
        <f t="shared" si="24"/>
        <v>140.1</v>
      </c>
      <c r="X326" s="710"/>
    </row>
    <row r="327" spans="1:24">
      <c r="A327" s="719">
        <f t="shared" ref="A327:A390" si="26">IF(MONTH(A326) = 12, EOMONTH(DATE(YEAR(A326) + 1, 1, 1), 0), EOMONTH(DATE(YEAR(A326), MONTH(A326) + 1, 1), 0))</f>
        <v>46053</v>
      </c>
      <c r="B327" s="720">
        <f t="shared" si="25"/>
        <v>2026</v>
      </c>
      <c r="C327" s="794">
        <v>139.4</v>
      </c>
      <c r="D327" s="794">
        <v>406.4</v>
      </c>
      <c r="E327" s="794">
        <v>139.5</v>
      </c>
      <c r="F327" s="721">
        <f>IF($A327&lt;DATE(2018,7,1),"-",INDEX('I1 - Universal Data'!$E$16:$V$16, MATCH(YEAR(EOMONTH($A327,6)), 'I1 - Universal Data'!$E$14:$V$14, 0)))</f>
        <v>2.301053135157205E-2</v>
      </c>
      <c r="G327" s="721">
        <f>IF($A327&lt;DATE(2018,7,1),"-",INDEX('I1 - Universal Data'!$E$15:$V$15, MATCH(YEAR(EOMONTH($A327,6)), 'I1 - Universal Data'!$E$14:$V$14, 0)))</f>
        <v>3.0764505475405324E-2</v>
      </c>
      <c r="H327" s="721">
        <f>IF($A327&lt;DATE(2018,7,1),"-",INDEX('I1 - Universal Data'!$E$17:$V$17, MATCH(YEAR(EOMONTH($A327,6)), 'I1 - Universal Data'!$E$14:$V$14, 0)))</f>
        <v>2.5462143115942082E-2</v>
      </c>
      <c r="I327" s="722">
        <f t="shared" ref="I327:I390" si="27">IF(ISBLANK(C327),I326*((1+F327)^(1/12)),C327)</f>
        <v>139.4</v>
      </c>
      <c r="J327" s="722">
        <f t="shared" ref="J327:J390" si="28">IF(ISBLANK(D327),J326*((1+G327)^(1/12)),D327)</f>
        <v>406.4</v>
      </c>
      <c r="K327" s="722">
        <f t="shared" ref="K327:K390" si="29">IF(ISBLANK(E327),K326*((1+H327)^(1/12)),E327)</f>
        <v>139.5</v>
      </c>
      <c r="X327" s="710"/>
    </row>
    <row r="328" spans="1:24">
      <c r="A328" s="719">
        <f t="shared" si="26"/>
        <v>46081</v>
      </c>
      <c r="B328" s="720">
        <f t="shared" si="25"/>
        <v>2026</v>
      </c>
      <c r="C328" s="794">
        <v>140</v>
      </c>
      <c r="D328" s="794">
        <v>408.2</v>
      </c>
      <c r="E328" s="794">
        <v>140.1</v>
      </c>
      <c r="F328" s="721">
        <f>IF($A328&lt;DATE(2018,7,1),"-",INDEX('I1 - Universal Data'!$E$16:$V$16, MATCH(YEAR(EOMONTH($A328,6)), 'I1 - Universal Data'!$E$14:$V$14, 0)))</f>
        <v>2.301053135157205E-2</v>
      </c>
      <c r="G328" s="721">
        <f>IF($A328&lt;DATE(2018,7,1),"-",INDEX('I1 - Universal Data'!$E$15:$V$15, MATCH(YEAR(EOMONTH($A328,6)), 'I1 - Universal Data'!$E$14:$V$14, 0)))</f>
        <v>3.0764505475405324E-2</v>
      </c>
      <c r="H328" s="721">
        <f>IF($A328&lt;DATE(2018,7,1),"-",INDEX('I1 - Universal Data'!$E$17:$V$17, MATCH(YEAR(EOMONTH($A328,6)), 'I1 - Universal Data'!$E$14:$V$14, 0)))</f>
        <v>2.5462143115942082E-2</v>
      </c>
      <c r="I328" s="722">
        <f t="shared" si="27"/>
        <v>140</v>
      </c>
      <c r="J328" s="722">
        <f t="shared" si="28"/>
        <v>408.2</v>
      </c>
      <c r="K328" s="722">
        <f t="shared" si="29"/>
        <v>140.1</v>
      </c>
      <c r="X328" s="710"/>
    </row>
    <row r="329" spans="1:24">
      <c r="A329" s="719">
        <f t="shared" si="26"/>
        <v>46112</v>
      </c>
      <c r="B329" s="720">
        <f t="shared" si="25"/>
        <v>2026</v>
      </c>
      <c r="C329" s="794">
        <v>140.80000000000001</v>
      </c>
      <c r="D329" s="794">
        <v>411.4</v>
      </c>
      <c r="E329" s="794">
        <v>141</v>
      </c>
      <c r="F329" s="721">
        <f>IF($A329&lt;DATE(2018,7,1),"-",INDEX('I1 - Universal Data'!$E$16:$V$16, MATCH(YEAR(EOMONTH($A329,6)), 'I1 - Universal Data'!$E$14:$V$14, 0)))</f>
        <v>2.301053135157205E-2</v>
      </c>
      <c r="G329" s="721">
        <f>IF($A329&lt;DATE(2018,7,1),"-",INDEX('I1 - Universal Data'!$E$15:$V$15, MATCH(YEAR(EOMONTH($A329,6)), 'I1 - Universal Data'!$E$14:$V$14, 0)))</f>
        <v>3.0764505475405324E-2</v>
      </c>
      <c r="H329" s="721">
        <f>IF($A329&lt;DATE(2018,7,1),"-",INDEX('I1 - Universal Data'!$E$17:$V$17, MATCH(YEAR(EOMONTH($A329,6)), 'I1 - Universal Data'!$E$14:$V$14, 0)))</f>
        <v>2.5462143115942082E-2</v>
      </c>
      <c r="I329" s="722">
        <f t="shared" si="27"/>
        <v>140.80000000000001</v>
      </c>
      <c r="J329" s="722">
        <f t="shared" si="28"/>
        <v>411.4</v>
      </c>
      <c r="K329" s="722">
        <f t="shared" si="29"/>
        <v>141</v>
      </c>
      <c r="X329" s="710"/>
    </row>
    <row r="330" spans="1:24">
      <c r="A330" s="719">
        <f t="shared" si="26"/>
        <v>46142</v>
      </c>
      <c r="B330" s="720">
        <f t="shared" si="25"/>
        <v>2027</v>
      </c>
      <c r="C330" s="794">
        <v>141.80000000000001</v>
      </c>
      <c r="D330" s="794">
        <v>414.4</v>
      </c>
      <c r="E330" s="794">
        <v>142.1</v>
      </c>
      <c r="F330" s="721">
        <f>IF($A330&lt;DATE(2018,7,1),"-",INDEX('I1 - Universal Data'!$E$16:$V$16, MATCH(YEAR(EOMONTH($A330,6)), 'I1 - Universal Data'!$E$14:$V$14, 0)))</f>
        <v>2.301053135157205E-2</v>
      </c>
      <c r="G330" s="721">
        <f>IF($A330&lt;DATE(2018,7,1),"-",INDEX('I1 - Universal Data'!$E$15:$V$15, MATCH(YEAR(EOMONTH($A330,6)), 'I1 - Universal Data'!$E$14:$V$14, 0)))</f>
        <v>3.0764505475405324E-2</v>
      </c>
      <c r="H330" s="721">
        <f>IF($A330&lt;DATE(2018,7,1),"-",INDEX('I1 - Universal Data'!$E$17:$V$17, MATCH(YEAR(EOMONTH($A330,6)), 'I1 - Universal Data'!$E$14:$V$14, 0)))</f>
        <v>2.5462143115942082E-2</v>
      </c>
      <c r="I330" s="722">
        <f t="shared" si="27"/>
        <v>141.80000000000001</v>
      </c>
      <c r="J330" s="722">
        <f t="shared" si="28"/>
        <v>414.4</v>
      </c>
      <c r="K330" s="722">
        <f t="shared" si="29"/>
        <v>142.1</v>
      </c>
      <c r="X330" s="710"/>
    </row>
    <row r="331" spans="1:24">
      <c r="A331" s="719">
        <f t="shared" si="26"/>
        <v>46173</v>
      </c>
      <c r="B331" s="720">
        <f t="shared" si="25"/>
        <v>2027</v>
      </c>
      <c r="C331" s="794">
        <v>142.1</v>
      </c>
      <c r="D331" s="794">
        <v>415.3</v>
      </c>
      <c r="E331" s="794">
        <v>142.4</v>
      </c>
      <c r="F331" s="721">
        <f>IF($A331&lt;DATE(2018,7,1),"-",INDEX('I1 - Universal Data'!$E$16:$V$16, MATCH(YEAR(EOMONTH($A331,6)), 'I1 - Universal Data'!$E$14:$V$14, 0)))</f>
        <v>2.301053135157205E-2</v>
      </c>
      <c r="G331" s="721">
        <f>IF($A331&lt;DATE(2018,7,1),"-",INDEX('I1 - Universal Data'!$E$15:$V$15, MATCH(YEAR(EOMONTH($A331,6)), 'I1 - Universal Data'!$E$14:$V$14, 0)))</f>
        <v>3.0764505475405324E-2</v>
      </c>
      <c r="H331" s="721">
        <f>IF($A331&lt;DATE(2018,7,1),"-",INDEX('I1 - Universal Data'!$E$17:$V$17, MATCH(YEAR(EOMONTH($A331,6)), 'I1 - Universal Data'!$E$14:$V$14, 0)))</f>
        <v>2.5462143115942082E-2</v>
      </c>
      <c r="I331" s="722">
        <f t="shared" si="27"/>
        <v>142.1</v>
      </c>
      <c r="J331" s="722">
        <f t="shared" si="28"/>
        <v>415.3</v>
      </c>
      <c r="K331" s="722">
        <f t="shared" si="29"/>
        <v>142.4</v>
      </c>
      <c r="X331" s="710"/>
    </row>
    <row r="332" spans="1:24">
      <c r="A332" s="719">
        <f t="shared" si="26"/>
        <v>46203</v>
      </c>
      <c r="B332" s="720">
        <f t="shared" si="25"/>
        <v>2027</v>
      </c>
      <c r="C332" s="794">
        <v>142.30000000000001</v>
      </c>
      <c r="D332" s="794">
        <v>416.5</v>
      </c>
      <c r="E332" s="794">
        <v>142.5</v>
      </c>
      <c r="F332" s="721">
        <f>IF($A332&lt;DATE(2018,7,1),"-",INDEX('I1 - Universal Data'!$E$16:$V$16, MATCH(YEAR(EOMONTH($A332,6)), 'I1 - Universal Data'!$E$14:$V$14, 0)))</f>
        <v>2.301053135157205E-2</v>
      </c>
      <c r="G332" s="721">
        <f>IF($A332&lt;DATE(2018,7,1),"-",INDEX('I1 - Universal Data'!$E$15:$V$15, MATCH(YEAR(EOMONTH($A332,6)), 'I1 - Universal Data'!$E$14:$V$14, 0)))</f>
        <v>3.0764505475405324E-2</v>
      </c>
      <c r="H332" s="721">
        <f>IF($A332&lt;DATE(2018,7,1),"-",INDEX('I1 - Universal Data'!$E$17:$V$17, MATCH(YEAR(EOMONTH($A332,6)), 'I1 - Universal Data'!$E$14:$V$14, 0)))</f>
        <v>2.5462143115942082E-2</v>
      </c>
      <c r="I332" s="722">
        <f t="shared" si="27"/>
        <v>142.30000000000001</v>
      </c>
      <c r="J332" s="722">
        <f t="shared" si="28"/>
        <v>416.5</v>
      </c>
      <c r="K332" s="722">
        <f t="shared" si="29"/>
        <v>142.5</v>
      </c>
      <c r="X332" s="710"/>
    </row>
    <row r="333" spans="1:24">
      <c r="A333" s="719">
        <f t="shared" si="26"/>
        <v>46234</v>
      </c>
      <c r="B333" s="720">
        <f t="shared" si="25"/>
        <v>2027</v>
      </c>
      <c r="C333" s="794"/>
      <c r="D333" s="794"/>
      <c r="E333" s="794"/>
      <c r="F333" s="721">
        <f>IF($A333&lt;DATE(2018,7,1),"-",INDEX('I1 - Universal Data'!$E$16:$V$16, MATCH(YEAR(EOMONTH($A333,6)), 'I1 - Universal Data'!$E$14:$V$14, 0)))</f>
        <v>1.9685428964515195E-2</v>
      </c>
      <c r="G333" s="721">
        <f>IF($A333&lt;DATE(2018,7,1),"-",INDEX('I1 - Universal Data'!$E$15:$V$15, MATCH(YEAR(EOMONTH($A333,6)), 'I1 - Universal Data'!$E$14:$V$14, 0)))</f>
        <v>2.9831866105610727E-2</v>
      </c>
      <c r="H333" s="721">
        <f>IF($A333&lt;DATE(2018,7,1),"-",INDEX('I1 - Universal Data'!$E$17:$V$17, MATCH(YEAR(EOMONTH($A333,6)), 'I1 - Universal Data'!$E$14:$V$14, 0)))</f>
        <v>2.1106939830908944E-2</v>
      </c>
      <c r="I333" s="722">
        <f t="shared" si="27"/>
        <v>142.53135631600219</v>
      </c>
      <c r="J333" s="722">
        <f t="shared" si="28"/>
        <v>417.52152128515593</v>
      </c>
      <c r="K333" s="722">
        <f t="shared" si="29"/>
        <v>142.74825237066881</v>
      </c>
      <c r="X333" s="710"/>
    </row>
    <row r="334" spans="1:24">
      <c r="A334" s="719">
        <f t="shared" si="26"/>
        <v>46265</v>
      </c>
      <c r="B334" s="720">
        <f t="shared" si="25"/>
        <v>2027</v>
      </c>
      <c r="C334" s="794"/>
      <c r="D334" s="794"/>
      <c r="E334" s="794"/>
      <c r="F334" s="721">
        <f>IF($A334&lt;DATE(2018,7,1),"-",INDEX('I1 - Universal Data'!$E$16:$V$16, MATCH(YEAR(EOMONTH($A334,6)), 'I1 - Universal Data'!$E$14:$V$14, 0)))</f>
        <v>1.9685428964515195E-2</v>
      </c>
      <c r="G334" s="721">
        <f>IF($A334&lt;DATE(2018,7,1),"-",INDEX('I1 - Universal Data'!$E$15:$V$15, MATCH(YEAR(EOMONTH($A334,6)), 'I1 - Universal Data'!$E$14:$V$14, 0)))</f>
        <v>2.9831866105610727E-2</v>
      </c>
      <c r="H334" s="721">
        <f>IF($A334&lt;DATE(2018,7,1),"-",INDEX('I1 - Universal Data'!$E$17:$V$17, MATCH(YEAR(EOMONTH($A334,6)), 'I1 - Universal Data'!$E$14:$V$14, 0)))</f>
        <v>2.1106939830908944E-2</v>
      </c>
      <c r="I334" s="722">
        <f t="shared" si="27"/>
        <v>142.76308877919308</v>
      </c>
      <c r="J334" s="722">
        <f t="shared" si="28"/>
        <v>418.54554798624469</v>
      </c>
      <c r="K334" s="722">
        <f t="shared" si="29"/>
        <v>142.99693722722915</v>
      </c>
      <c r="X334" s="710"/>
    </row>
    <row r="335" spans="1:24">
      <c r="A335" s="719">
        <f t="shared" si="26"/>
        <v>46295</v>
      </c>
      <c r="B335" s="720">
        <f t="shared" si="25"/>
        <v>2027</v>
      </c>
      <c r="C335" s="794"/>
      <c r="D335" s="794"/>
      <c r="E335" s="794"/>
      <c r="F335" s="721">
        <f>IF($A335&lt;DATE(2018,7,1),"-",INDEX('I1 - Universal Data'!$E$16:$V$16, MATCH(YEAR(EOMONTH($A335,6)), 'I1 - Universal Data'!$E$14:$V$14, 0)))</f>
        <v>1.9685428964515195E-2</v>
      </c>
      <c r="G335" s="721">
        <f>IF($A335&lt;DATE(2018,7,1),"-",INDEX('I1 - Universal Data'!$E$15:$V$15, MATCH(YEAR(EOMONTH($A335,6)), 'I1 - Universal Data'!$E$14:$V$14, 0)))</f>
        <v>2.9831866105610727E-2</v>
      </c>
      <c r="H335" s="721">
        <f>IF($A335&lt;DATE(2018,7,1),"-",INDEX('I1 - Universal Data'!$E$17:$V$17, MATCH(YEAR(EOMONTH($A335,6)), 'I1 - Universal Data'!$E$14:$V$14, 0)))</f>
        <v>2.1106939830908944E-2</v>
      </c>
      <c r="I335" s="722">
        <f t="shared" si="27"/>
        <v>142.99519800112594</v>
      </c>
      <c r="J335" s="722">
        <f t="shared" si="28"/>
        <v>419.57208624812995</v>
      </c>
      <c r="K335" s="722">
        <f t="shared" si="29"/>
        <v>143.24605532312415</v>
      </c>
      <c r="X335" s="710"/>
    </row>
    <row r="336" spans="1:24">
      <c r="A336" s="719">
        <f t="shared" si="26"/>
        <v>46326</v>
      </c>
      <c r="B336" s="720">
        <f t="shared" si="25"/>
        <v>2027</v>
      </c>
      <c r="C336" s="794"/>
      <c r="D336" s="794"/>
      <c r="E336" s="794"/>
      <c r="F336" s="721">
        <f>IF($A336&lt;DATE(2018,7,1),"-",INDEX('I1 - Universal Data'!$E$16:$V$16, MATCH(YEAR(EOMONTH($A336,6)), 'I1 - Universal Data'!$E$14:$V$14, 0)))</f>
        <v>1.9685428964515195E-2</v>
      </c>
      <c r="G336" s="721">
        <f>IF($A336&lt;DATE(2018,7,1),"-",INDEX('I1 - Universal Data'!$E$15:$V$15, MATCH(YEAR(EOMONTH($A336,6)), 'I1 - Universal Data'!$E$14:$V$14, 0)))</f>
        <v>2.9831866105610727E-2</v>
      </c>
      <c r="H336" s="721">
        <f>IF($A336&lt;DATE(2018,7,1),"-",INDEX('I1 - Universal Data'!$E$17:$V$17, MATCH(YEAR(EOMONTH($A336,6)), 'I1 - Universal Data'!$E$14:$V$14, 0)))</f>
        <v>2.1106939830908944E-2</v>
      </c>
      <c r="I336" s="722">
        <f t="shared" si="27"/>
        <v>143.22768459434832</v>
      </c>
      <c r="J336" s="722">
        <f t="shared" si="28"/>
        <v>420.6011422307464</v>
      </c>
      <c r="K336" s="722">
        <f t="shared" si="29"/>
        <v>143.49560741310955</v>
      </c>
      <c r="X336" s="710"/>
    </row>
    <row r="337" spans="1:24">
      <c r="A337" s="719">
        <f t="shared" si="26"/>
        <v>46356</v>
      </c>
      <c r="B337" s="720">
        <f t="shared" si="25"/>
        <v>2027</v>
      </c>
      <c r="C337" s="794"/>
      <c r="D337" s="794"/>
      <c r="E337" s="794"/>
      <c r="F337" s="721">
        <f>IF($A337&lt;DATE(2018,7,1),"-",INDEX('I1 - Universal Data'!$E$16:$V$16, MATCH(YEAR(EOMONTH($A337,6)), 'I1 - Universal Data'!$E$14:$V$14, 0)))</f>
        <v>1.9685428964515195E-2</v>
      </c>
      <c r="G337" s="721">
        <f>IF($A337&lt;DATE(2018,7,1),"-",INDEX('I1 - Universal Data'!$E$15:$V$15, MATCH(YEAR(EOMONTH($A337,6)), 'I1 - Universal Data'!$E$14:$V$14, 0)))</f>
        <v>2.9831866105610727E-2</v>
      </c>
      <c r="H337" s="721">
        <f>IF($A337&lt;DATE(2018,7,1),"-",INDEX('I1 - Universal Data'!$E$17:$V$17, MATCH(YEAR(EOMONTH($A337,6)), 'I1 - Universal Data'!$E$14:$V$14, 0)))</f>
        <v>2.1106939830908944E-2</v>
      </c>
      <c r="I337" s="722">
        <f t="shared" si="27"/>
        <v>143.46054917240363</v>
      </c>
      <c r="J337" s="722">
        <f t="shared" si="28"/>
        <v>421.63272210913681</v>
      </c>
      <c r="K337" s="722">
        <f t="shared" si="29"/>
        <v>143.74559425325597</v>
      </c>
      <c r="X337" s="710"/>
    </row>
    <row r="338" spans="1:24">
      <c r="A338" s="719">
        <f t="shared" si="26"/>
        <v>46387</v>
      </c>
      <c r="B338" s="720">
        <f t="shared" si="25"/>
        <v>2027</v>
      </c>
      <c r="C338" s="794"/>
      <c r="D338" s="794"/>
      <c r="E338" s="794"/>
      <c r="F338" s="721">
        <f>IF($A338&lt;DATE(2018,7,1),"-",INDEX('I1 - Universal Data'!$E$16:$V$16, MATCH(YEAR(EOMONTH($A338,6)), 'I1 - Universal Data'!$E$14:$V$14, 0)))</f>
        <v>1.9685428964515195E-2</v>
      </c>
      <c r="G338" s="721">
        <f>IF($A338&lt;DATE(2018,7,1),"-",INDEX('I1 - Universal Data'!$E$15:$V$15, MATCH(YEAR(EOMONTH($A338,6)), 'I1 - Universal Data'!$E$14:$V$14, 0)))</f>
        <v>2.9831866105610727E-2</v>
      </c>
      <c r="H338" s="721">
        <f>IF($A338&lt;DATE(2018,7,1),"-",INDEX('I1 - Universal Data'!$E$17:$V$17, MATCH(YEAR(EOMONTH($A338,6)), 'I1 - Universal Data'!$E$14:$V$14, 0)))</f>
        <v>2.1106939830908944E-2</v>
      </c>
      <c r="I338" s="722">
        <f t="shared" si="27"/>
        <v>143.69379234983285</v>
      </c>
      <c r="J338" s="722">
        <f t="shared" si="28"/>
        <v>422.66683207348905</v>
      </c>
      <c r="K338" s="722">
        <f t="shared" si="29"/>
        <v>143.99601660095118</v>
      </c>
      <c r="X338" s="710"/>
    </row>
    <row r="339" spans="1:24">
      <c r="A339" s="719">
        <f t="shared" si="26"/>
        <v>46418</v>
      </c>
      <c r="B339" s="720">
        <f t="shared" si="25"/>
        <v>2027</v>
      </c>
      <c r="C339" s="794"/>
      <c r="D339" s="794"/>
      <c r="E339" s="794"/>
      <c r="F339" s="721">
        <f>IF($A339&lt;DATE(2018,7,1),"-",INDEX('I1 - Universal Data'!$E$16:$V$16, MATCH(YEAR(EOMONTH($A339,6)), 'I1 - Universal Data'!$E$14:$V$14, 0)))</f>
        <v>1.9685428964515195E-2</v>
      </c>
      <c r="G339" s="721">
        <f>IF($A339&lt;DATE(2018,7,1),"-",INDEX('I1 - Universal Data'!$E$15:$V$15, MATCH(YEAR(EOMONTH($A339,6)), 'I1 - Universal Data'!$E$14:$V$14, 0)))</f>
        <v>2.9831866105610727E-2</v>
      </c>
      <c r="H339" s="721">
        <f>IF($A339&lt;DATE(2018,7,1),"-",INDEX('I1 - Universal Data'!$E$17:$V$17, MATCH(YEAR(EOMONTH($A339,6)), 'I1 - Universal Data'!$E$14:$V$14, 0)))</f>
        <v>2.1106939830908944E-2</v>
      </c>
      <c r="I339" s="722">
        <f t="shared" si="27"/>
        <v>143.92741474217607</v>
      </c>
      <c r="J339" s="722">
        <f t="shared" si="28"/>
        <v>423.70347832917332</v>
      </c>
      <c r="K339" s="722">
        <f t="shared" si="29"/>
        <v>144.24687521490242</v>
      </c>
    </row>
    <row r="340" spans="1:24">
      <c r="A340" s="719">
        <f t="shared" si="26"/>
        <v>46446</v>
      </c>
      <c r="B340" s="720">
        <f t="shared" si="25"/>
        <v>2027</v>
      </c>
      <c r="C340" s="794"/>
      <c r="D340" s="794"/>
      <c r="E340" s="794"/>
      <c r="F340" s="721">
        <f>IF($A340&lt;DATE(2018,7,1),"-",INDEX('I1 - Universal Data'!$E$16:$V$16, MATCH(YEAR(EOMONTH($A340,6)), 'I1 - Universal Data'!$E$14:$V$14, 0)))</f>
        <v>1.9685428964515195E-2</v>
      </c>
      <c r="G340" s="721">
        <f>IF($A340&lt;DATE(2018,7,1),"-",INDEX('I1 - Universal Data'!$E$15:$V$15, MATCH(YEAR(EOMONTH($A340,6)), 'I1 - Universal Data'!$E$14:$V$14, 0)))</f>
        <v>2.9831866105610727E-2</v>
      </c>
      <c r="H340" s="721">
        <f>IF($A340&lt;DATE(2018,7,1),"-",INDEX('I1 - Universal Data'!$E$17:$V$17, MATCH(YEAR(EOMONTH($A340,6)), 'I1 - Universal Data'!$E$14:$V$14, 0)))</f>
        <v>2.1106939830908944E-2</v>
      </c>
      <c r="I340" s="722">
        <f t="shared" si="27"/>
        <v>144.16141696597415</v>
      </c>
      <c r="J340" s="722">
        <f t="shared" si="28"/>
        <v>424.7426670967792</v>
      </c>
      <c r="K340" s="722">
        <f t="shared" si="29"/>
        <v>144.49817085513868</v>
      </c>
    </row>
    <row r="341" spans="1:24" s="358" customFormat="1">
      <c r="A341" s="719">
        <f t="shared" si="26"/>
        <v>46477</v>
      </c>
      <c r="B341" s="720">
        <f t="shared" si="25"/>
        <v>2027</v>
      </c>
      <c r="C341" s="794"/>
      <c r="D341" s="794"/>
      <c r="E341" s="794"/>
      <c r="F341" s="721">
        <f>IF($A341&lt;DATE(2018,7,1),"-",INDEX('I1 - Universal Data'!$E$16:$V$16, MATCH(YEAR(EOMONTH($A341,6)), 'I1 - Universal Data'!$E$14:$V$14, 0)))</f>
        <v>1.9685428964515195E-2</v>
      </c>
      <c r="G341" s="721">
        <f>IF($A341&lt;DATE(2018,7,1),"-",INDEX('I1 - Universal Data'!$E$15:$V$15, MATCH(YEAR(EOMONTH($A341,6)), 'I1 - Universal Data'!$E$14:$V$14, 0)))</f>
        <v>2.9831866105610727E-2</v>
      </c>
      <c r="H341" s="721">
        <f>IF($A341&lt;DATE(2018,7,1),"-",INDEX('I1 - Universal Data'!$E$17:$V$17, MATCH(YEAR(EOMONTH($A341,6)), 'I1 - Universal Data'!$E$14:$V$14, 0)))</f>
        <v>2.1106939830908944E-2</v>
      </c>
      <c r="I341" s="722">
        <f t="shared" si="27"/>
        <v>144.39579963877037</v>
      </c>
      <c r="J341" s="722">
        <f t="shared" si="28"/>
        <v>425.7844046121532</v>
      </c>
      <c r="K341" s="722">
        <f t="shared" si="29"/>
        <v>144.74990428301302</v>
      </c>
      <c r="W341" s="101"/>
      <c r="X341" s="357"/>
    </row>
    <row r="342" spans="1:24" s="358" customFormat="1">
      <c r="A342" s="719">
        <f t="shared" si="26"/>
        <v>46507</v>
      </c>
      <c r="B342" s="720">
        <f t="shared" si="25"/>
        <v>2028</v>
      </c>
      <c r="C342" s="794"/>
      <c r="D342" s="794"/>
      <c r="E342" s="794"/>
      <c r="F342" s="721">
        <f>IF($A342&lt;DATE(2018,7,1),"-",INDEX('I1 - Universal Data'!$E$16:$V$16, MATCH(YEAR(EOMONTH($A342,6)), 'I1 - Universal Data'!$E$14:$V$14, 0)))</f>
        <v>1.9685428964515195E-2</v>
      </c>
      <c r="G342" s="721">
        <f>IF($A342&lt;DATE(2018,7,1),"-",INDEX('I1 - Universal Data'!$E$15:$V$15, MATCH(YEAR(EOMONTH($A342,6)), 'I1 - Universal Data'!$E$14:$V$14, 0)))</f>
        <v>2.9831866105610727E-2</v>
      </c>
      <c r="H342" s="721">
        <f>IF($A342&lt;DATE(2018,7,1),"-",INDEX('I1 - Universal Data'!$E$17:$V$17, MATCH(YEAR(EOMONTH($A342,6)), 'I1 - Universal Data'!$E$14:$V$14, 0)))</f>
        <v>2.1106939830908944E-2</v>
      </c>
      <c r="I342" s="722">
        <f t="shared" si="27"/>
        <v>144.630563379112</v>
      </c>
      <c r="J342" s="722">
        <f t="shared" si="28"/>
        <v>426.82869712643594</v>
      </c>
      <c r="K342" s="722">
        <f t="shared" si="29"/>
        <v>145.00207626120491</v>
      </c>
      <c r="W342" s="101"/>
      <c r="X342" s="357"/>
    </row>
    <row r="343" spans="1:24" s="358" customFormat="1">
      <c r="A343" s="719">
        <f t="shared" si="26"/>
        <v>46538</v>
      </c>
      <c r="B343" s="720">
        <f t="shared" si="25"/>
        <v>2028</v>
      </c>
      <c r="C343" s="794"/>
      <c r="D343" s="794"/>
      <c r="E343" s="794"/>
      <c r="F343" s="721">
        <f>IF($A343&lt;DATE(2018,7,1),"-",INDEX('I1 - Universal Data'!$E$16:$V$16, MATCH(YEAR(EOMONTH($A343,6)), 'I1 - Universal Data'!$E$14:$V$14, 0)))</f>
        <v>1.9685428964515195E-2</v>
      </c>
      <c r="G343" s="721">
        <f>IF($A343&lt;DATE(2018,7,1),"-",INDEX('I1 - Universal Data'!$E$15:$V$15, MATCH(YEAR(EOMONTH($A343,6)), 'I1 - Universal Data'!$E$14:$V$14, 0)))</f>
        <v>2.9831866105610727E-2</v>
      </c>
      <c r="H343" s="721">
        <f>IF($A343&lt;DATE(2018,7,1),"-",INDEX('I1 - Universal Data'!$E$17:$V$17, MATCH(YEAR(EOMONTH($A343,6)), 'I1 - Universal Data'!$E$14:$V$14, 0)))</f>
        <v>2.1106939830908944E-2</v>
      </c>
      <c r="I343" s="722">
        <f t="shared" si="27"/>
        <v>144.86570880655199</v>
      </c>
      <c r="J343" s="722">
        <f t="shared" si="28"/>
        <v>427.87555090609987</v>
      </c>
      <c r="K343" s="722">
        <f t="shared" si="29"/>
        <v>145.25468755372239</v>
      </c>
      <c r="W343" s="101"/>
      <c r="X343" s="357"/>
    </row>
    <row r="344" spans="1:24" s="358" customFormat="1">
      <c r="A344" s="719">
        <f t="shared" si="26"/>
        <v>46568</v>
      </c>
      <c r="B344" s="720">
        <f t="shared" si="25"/>
        <v>2028</v>
      </c>
      <c r="C344" s="794"/>
      <c r="D344" s="794"/>
      <c r="E344" s="794"/>
      <c r="F344" s="721">
        <f>IF($A344&lt;DATE(2018,7,1),"-",INDEX('I1 - Universal Data'!$E$16:$V$16, MATCH(YEAR(EOMONTH($A344,6)), 'I1 - Universal Data'!$E$14:$V$14, 0)))</f>
        <v>1.9685428964515195E-2</v>
      </c>
      <c r="G344" s="721">
        <f>IF($A344&lt;DATE(2018,7,1),"-",INDEX('I1 - Universal Data'!$E$15:$V$15, MATCH(YEAR(EOMONTH($A344,6)), 'I1 - Universal Data'!$E$14:$V$14, 0)))</f>
        <v>2.9831866105610727E-2</v>
      </c>
      <c r="H344" s="721">
        <f>IF($A344&lt;DATE(2018,7,1),"-",INDEX('I1 - Universal Data'!$E$17:$V$17, MATCH(YEAR(EOMONTH($A344,6)), 'I1 - Universal Data'!$E$14:$V$14, 0)))</f>
        <v>2.1106939830908944E-2</v>
      </c>
      <c r="I344" s="722">
        <f t="shared" si="27"/>
        <v>145.10123654165056</v>
      </c>
      <c r="J344" s="722">
        <f t="shared" si="28"/>
        <v>428.92497223298682</v>
      </c>
      <c r="K344" s="722">
        <f t="shared" si="29"/>
        <v>145.50773892590462</v>
      </c>
      <c r="W344" s="101"/>
      <c r="X344" s="357"/>
    </row>
    <row r="345" spans="1:24" s="358" customFormat="1">
      <c r="A345" s="719">
        <f t="shared" si="26"/>
        <v>46599</v>
      </c>
      <c r="B345" s="720">
        <f t="shared" si="25"/>
        <v>2028</v>
      </c>
      <c r="C345" s="794"/>
      <c r="D345" s="794"/>
      <c r="E345" s="794"/>
      <c r="F345" s="721">
        <f>IF($A345&lt;DATE(2018,7,1),"-",INDEX('I1 - Universal Data'!$E$16:$V$16, MATCH(YEAR(EOMONTH($A345,6)), 'I1 - Universal Data'!$E$14:$V$14, 0)))</f>
        <v>1.9764681807515894E-2</v>
      </c>
      <c r="G345" s="721">
        <f>IF($A345&lt;DATE(2018,7,1),"-",INDEX('I1 - Universal Data'!$E$15:$V$15, MATCH(YEAR(EOMONTH($A345,6)), 'I1 - Universal Data'!$E$14:$V$14, 0)))</f>
        <v>2.7839240870369375E-2</v>
      </c>
      <c r="H345" s="721">
        <f>IF($A345&lt;DATE(2018,7,1),"-",INDEX('I1 - Universal Data'!$E$17:$V$17, MATCH(YEAR(EOMONTH($A345,6)), 'I1 - Universal Data'!$E$14:$V$14, 0)))</f>
        <v>2.0363958655881476E-2</v>
      </c>
      <c r="I345" s="722">
        <f t="shared" si="27"/>
        <v>145.33808850704582</v>
      </c>
      <c r="J345" s="722">
        <f t="shared" si="28"/>
        <v>429.90757551733566</v>
      </c>
      <c r="K345" s="722">
        <f t="shared" si="29"/>
        <v>145.75238992351908</v>
      </c>
      <c r="W345" s="101"/>
      <c r="X345" s="357"/>
    </row>
    <row r="346" spans="1:24" s="358" customFormat="1">
      <c r="A346" s="719">
        <f t="shared" si="26"/>
        <v>46630</v>
      </c>
      <c r="B346" s="720">
        <f t="shared" si="25"/>
        <v>2028</v>
      </c>
      <c r="C346" s="794"/>
      <c r="D346" s="794"/>
      <c r="E346" s="794"/>
      <c r="F346" s="721">
        <f>IF($A346&lt;DATE(2018,7,1),"-",INDEX('I1 - Universal Data'!$E$16:$V$16, MATCH(YEAR(EOMONTH($A346,6)), 'I1 - Universal Data'!$E$14:$V$14, 0)))</f>
        <v>1.9764681807515894E-2</v>
      </c>
      <c r="G346" s="721">
        <f>IF($A346&lt;DATE(2018,7,1),"-",INDEX('I1 - Universal Data'!$E$15:$V$15, MATCH(YEAR(EOMONTH($A346,6)), 'I1 - Universal Data'!$E$14:$V$14, 0)))</f>
        <v>2.7839240870369375E-2</v>
      </c>
      <c r="H346" s="721">
        <f>IF($A346&lt;DATE(2018,7,1),"-",INDEX('I1 - Universal Data'!$E$17:$V$17, MATCH(YEAR(EOMONTH($A346,6)), 'I1 - Universal Data'!$E$14:$V$14, 0)))</f>
        <v>2.0363958655881476E-2</v>
      </c>
      <c r="I346" s="722">
        <f t="shared" si="27"/>
        <v>145.57532709115534</v>
      </c>
      <c r="J346" s="722">
        <f t="shared" si="28"/>
        <v>430.89242979959073</v>
      </c>
      <c r="K346" s="722">
        <f t="shared" si="29"/>
        <v>145.99745226771259</v>
      </c>
      <c r="W346" s="101"/>
      <c r="X346" s="357"/>
    </row>
    <row r="347" spans="1:24" s="358" customFormat="1">
      <c r="A347" s="719">
        <f t="shared" si="26"/>
        <v>46660</v>
      </c>
      <c r="B347" s="720">
        <f t="shared" si="25"/>
        <v>2028</v>
      </c>
      <c r="C347" s="794"/>
      <c r="D347" s="794"/>
      <c r="E347" s="794"/>
      <c r="F347" s="721">
        <f>IF($A347&lt;DATE(2018,7,1),"-",INDEX('I1 - Universal Data'!$E$16:$V$16, MATCH(YEAR(EOMONTH($A347,6)), 'I1 - Universal Data'!$E$14:$V$14, 0)))</f>
        <v>1.9764681807515894E-2</v>
      </c>
      <c r="G347" s="721">
        <f>IF($A347&lt;DATE(2018,7,1),"-",INDEX('I1 - Universal Data'!$E$15:$V$15, MATCH(YEAR(EOMONTH($A347,6)), 'I1 - Universal Data'!$E$14:$V$14, 0)))</f>
        <v>2.7839240870369375E-2</v>
      </c>
      <c r="H347" s="721">
        <f>IF($A347&lt;DATE(2018,7,1),"-",INDEX('I1 - Universal Data'!$E$17:$V$17, MATCH(YEAR(EOMONTH($A347,6)), 'I1 - Universal Data'!$E$14:$V$14, 0)))</f>
        <v>2.0363958655881476E-2</v>
      </c>
      <c r="I347" s="722">
        <f t="shared" si="27"/>
        <v>145.81295292506545</v>
      </c>
      <c r="J347" s="722">
        <f t="shared" si="28"/>
        <v>431.87954023645324</v>
      </c>
      <c r="K347" s="722">
        <f t="shared" si="29"/>
        <v>146.24292665010714</v>
      </c>
      <c r="W347" s="101"/>
      <c r="X347" s="357"/>
    </row>
    <row r="348" spans="1:24" s="358" customFormat="1">
      <c r="A348" s="719">
        <f t="shared" si="26"/>
        <v>46691</v>
      </c>
      <c r="B348" s="720">
        <f t="shared" si="25"/>
        <v>2028</v>
      </c>
      <c r="C348" s="794"/>
      <c r="D348" s="794"/>
      <c r="E348" s="794"/>
      <c r="F348" s="721">
        <f>IF($A348&lt;DATE(2018,7,1),"-",INDEX('I1 - Universal Data'!$E$16:$V$16, MATCH(YEAR(EOMONTH($A348,6)), 'I1 - Universal Data'!$E$14:$V$14, 0)))</f>
        <v>1.9764681807515894E-2</v>
      </c>
      <c r="G348" s="721">
        <f>IF($A348&lt;DATE(2018,7,1),"-",INDEX('I1 - Universal Data'!$E$15:$V$15, MATCH(YEAR(EOMONTH($A348,6)), 'I1 - Universal Data'!$E$14:$V$14, 0)))</f>
        <v>2.7839240870369375E-2</v>
      </c>
      <c r="H348" s="721">
        <f>IF($A348&lt;DATE(2018,7,1),"-",INDEX('I1 - Universal Data'!$E$17:$V$17, MATCH(YEAR(EOMONTH($A348,6)), 'I1 - Universal Data'!$E$14:$V$14, 0)))</f>
        <v>2.0363958655881476E-2</v>
      </c>
      <c r="I348" s="722">
        <f t="shared" si="27"/>
        <v>146.05096664089257</v>
      </c>
      <c r="J348" s="722">
        <f t="shared" si="28"/>
        <v>432.86891199643765</v>
      </c>
      <c r="K348" s="722">
        <f t="shared" si="29"/>
        <v>146.48881376348757</v>
      </c>
      <c r="W348" s="101"/>
      <c r="X348" s="357"/>
    </row>
    <row r="349" spans="1:24" s="358" customFormat="1">
      <c r="A349" s="719">
        <f t="shared" si="26"/>
        <v>46721</v>
      </c>
      <c r="B349" s="720">
        <f t="shared" si="25"/>
        <v>2028</v>
      </c>
      <c r="C349" s="794"/>
      <c r="D349" s="794"/>
      <c r="E349" s="794"/>
      <c r="F349" s="721">
        <f>IF($A349&lt;DATE(2018,7,1),"-",INDEX('I1 - Universal Data'!$E$16:$V$16, MATCH(YEAR(EOMONTH($A349,6)), 'I1 - Universal Data'!$E$14:$V$14, 0)))</f>
        <v>1.9764681807515894E-2</v>
      </c>
      <c r="G349" s="721">
        <f>IF($A349&lt;DATE(2018,7,1),"-",INDEX('I1 - Universal Data'!$E$15:$V$15, MATCH(YEAR(EOMONTH($A349,6)), 'I1 - Universal Data'!$E$14:$V$14, 0)))</f>
        <v>2.7839240870369375E-2</v>
      </c>
      <c r="H349" s="721">
        <f>IF($A349&lt;DATE(2018,7,1),"-",INDEX('I1 - Universal Data'!$E$17:$V$17, MATCH(YEAR(EOMONTH($A349,6)), 'I1 - Universal Data'!$E$14:$V$14, 0)))</f>
        <v>2.0363958655881476E-2</v>
      </c>
      <c r="I349" s="722">
        <f t="shared" si="27"/>
        <v>146.28936887178494</v>
      </c>
      <c r="J349" s="722">
        <f t="shared" si="28"/>
        <v>433.86055025989873</v>
      </c>
      <c r="K349" s="722">
        <f t="shared" si="29"/>
        <v>146.73511430180358</v>
      </c>
      <c r="W349" s="101"/>
      <c r="X349" s="357"/>
    </row>
    <row r="350" spans="1:24" s="358" customFormat="1">
      <c r="A350" s="719">
        <f t="shared" si="26"/>
        <v>46752</v>
      </c>
      <c r="B350" s="720">
        <f t="shared" si="25"/>
        <v>2028</v>
      </c>
      <c r="C350" s="794"/>
      <c r="D350" s="794"/>
      <c r="E350" s="794"/>
      <c r="F350" s="721">
        <f>IF($A350&lt;DATE(2018,7,1),"-",INDEX('I1 - Universal Data'!$E$16:$V$16, MATCH(YEAR(EOMONTH($A350,6)), 'I1 - Universal Data'!$E$14:$V$14, 0)))</f>
        <v>1.9764681807515894E-2</v>
      </c>
      <c r="G350" s="721">
        <f>IF($A350&lt;DATE(2018,7,1),"-",INDEX('I1 - Universal Data'!$E$15:$V$15, MATCH(YEAR(EOMONTH($A350,6)), 'I1 - Universal Data'!$E$14:$V$14, 0)))</f>
        <v>2.7839240870369375E-2</v>
      </c>
      <c r="H350" s="721">
        <f>IF($A350&lt;DATE(2018,7,1),"-",INDEX('I1 - Universal Data'!$E$17:$V$17, MATCH(YEAR(EOMONTH($A350,6)), 'I1 - Universal Data'!$E$14:$V$14, 0)))</f>
        <v>2.0363958655881476E-2</v>
      </c>
      <c r="I350" s="722">
        <f t="shared" si="27"/>
        <v>146.52816025192433</v>
      </c>
      <c r="J350" s="722">
        <f t="shared" si="28"/>
        <v>434.85446021905869</v>
      </c>
      <c r="K350" s="722">
        <f t="shared" si="29"/>
        <v>146.98182896017158</v>
      </c>
      <c r="W350" s="101"/>
      <c r="X350" s="357"/>
    </row>
    <row r="351" spans="1:24" s="358" customFormat="1">
      <c r="A351" s="719">
        <f t="shared" si="26"/>
        <v>46783</v>
      </c>
      <c r="B351" s="720">
        <f t="shared" si="25"/>
        <v>2028</v>
      </c>
      <c r="C351" s="794"/>
      <c r="D351" s="794"/>
      <c r="E351" s="794"/>
      <c r="F351" s="721">
        <f>IF($A351&lt;DATE(2018,7,1),"-",INDEX('I1 - Universal Data'!$E$16:$V$16, MATCH(YEAR(EOMONTH($A351,6)), 'I1 - Universal Data'!$E$14:$V$14, 0)))</f>
        <v>1.9764681807515894E-2</v>
      </c>
      <c r="G351" s="721">
        <f>IF($A351&lt;DATE(2018,7,1),"-",INDEX('I1 - Universal Data'!$E$15:$V$15, MATCH(YEAR(EOMONTH($A351,6)), 'I1 - Universal Data'!$E$14:$V$14, 0)))</f>
        <v>2.7839240870369375E-2</v>
      </c>
      <c r="H351" s="721">
        <f>IF($A351&lt;DATE(2018,7,1),"-",INDEX('I1 - Universal Data'!$E$17:$V$17, MATCH(YEAR(EOMONTH($A351,6)), 'I1 - Universal Data'!$E$14:$V$14, 0)))</f>
        <v>2.0363958655881476E-2</v>
      </c>
      <c r="I351" s="722">
        <f t="shared" si="27"/>
        <v>146.76734141652767</v>
      </c>
      <c r="J351" s="722">
        <f t="shared" si="28"/>
        <v>435.85064707803434</v>
      </c>
      <c r="K351" s="722">
        <f t="shared" si="29"/>
        <v>147.2289584348768</v>
      </c>
      <c r="W351" s="101"/>
      <c r="X351" s="357"/>
    </row>
    <row r="352" spans="1:24" s="358" customFormat="1">
      <c r="A352" s="719">
        <f t="shared" si="26"/>
        <v>46812</v>
      </c>
      <c r="B352" s="720">
        <f t="shared" si="25"/>
        <v>2028</v>
      </c>
      <c r="C352" s="794"/>
      <c r="D352" s="794"/>
      <c r="E352" s="794"/>
      <c r="F352" s="721">
        <f>IF($A352&lt;DATE(2018,7,1),"-",INDEX('I1 - Universal Data'!$E$16:$V$16, MATCH(YEAR(EOMONTH($A352,6)), 'I1 - Universal Data'!$E$14:$V$14, 0)))</f>
        <v>1.9764681807515894E-2</v>
      </c>
      <c r="G352" s="721">
        <f>IF($A352&lt;DATE(2018,7,1),"-",INDEX('I1 - Universal Data'!$E$15:$V$15, MATCH(YEAR(EOMONTH($A352,6)), 'I1 - Universal Data'!$E$14:$V$14, 0)))</f>
        <v>2.7839240870369375E-2</v>
      </c>
      <c r="H352" s="721">
        <f>IF($A352&lt;DATE(2018,7,1),"-",INDEX('I1 - Universal Data'!$E$17:$V$17, MATCH(YEAR(EOMONTH($A352,6)), 'I1 - Universal Data'!$E$14:$V$14, 0)))</f>
        <v>2.0363958655881476E-2</v>
      </c>
      <c r="I352" s="722">
        <f t="shared" si="27"/>
        <v>147.0069130018488</v>
      </c>
      <c r="J352" s="722">
        <f t="shared" si="28"/>
        <v>436.8491160528643</v>
      </c>
      <c r="K352" s="722">
        <f t="shared" si="29"/>
        <v>147.47650342337514</v>
      </c>
      <c r="W352" s="101"/>
      <c r="X352" s="357"/>
    </row>
    <row r="353" spans="1:24" s="358" customFormat="1">
      <c r="A353" s="719">
        <f t="shared" si="26"/>
        <v>46843</v>
      </c>
      <c r="B353" s="720">
        <f t="shared" si="25"/>
        <v>2028</v>
      </c>
      <c r="C353" s="794"/>
      <c r="D353" s="794"/>
      <c r="E353" s="794"/>
      <c r="F353" s="721">
        <f>IF($A353&lt;DATE(2018,7,1),"-",INDEX('I1 - Universal Data'!$E$16:$V$16, MATCH(YEAR(EOMONTH($A353,6)), 'I1 - Universal Data'!$E$14:$V$14, 0)))</f>
        <v>1.9764681807515894E-2</v>
      </c>
      <c r="G353" s="721">
        <f>IF($A353&lt;DATE(2018,7,1),"-",INDEX('I1 - Universal Data'!$E$15:$V$15, MATCH(YEAR(EOMONTH($A353,6)), 'I1 - Universal Data'!$E$14:$V$14, 0)))</f>
        <v>2.7839240870369375E-2</v>
      </c>
      <c r="H353" s="721">
        <f>IF($A353&lt;DATE(2018,7,1),"-",INDEX('I1 - Universal Data'!$E$17:$V$17, MATCH(YEAR(EOMONTH($A353,6)), 'I1 - Universal Data'!$E$14:$V$14, 0)))</f>
        <v>2.0363958655881476E-2</v>
      </c>
      <c r="I353" s="722">
        <f t="shared" si="27"/>
        <v>147.24687564518013</v>
      </c>
      <c r="J353" s="722">
        <f t="shared" si="28"/>
        <v>437.84987237153643</v>
      </c>
      <c r="K353" s="722">
        <f t="shared" si="29"/>
        <v>147.72446462429514</v>
      </c>
      <c r="W353" s="101"/>
      <c r="X353" s="357"/>
    </row>
    <row r="354" spans="1:24" s="358" customFormat="1">
      <c r="A354" s="719">
        <f t="shared" si="26"/>
        <v>46873</v>
      </c>
      <c r="B354" s="720">
        <f t="shared" si="25"/>
        <v>2029</v>
      </c>
      <c r="C354" s="794"/>
      <c r="D354" s="794"/>
      <c r="E354" s="794"/>
      <c r="F354" s="721">
        <f>IF($A354&lt;DATE(2018,7,1),"-",INDEX('I1 - Universal Data'!$E$16:$V$16, MATCH(YEAR(EOMONTH($A354,6)), 'I1 - Universal Data'!$E$14:$V$14, 0)))</f>
        <v>1.9764681807515894E-2</v>
      </c>
      <c r="G354" s="721">
        <f>IF($A354&lt;DATE(2018,7,1),"-",INDEX('I1 - Universal Data'!$E$15:$V$15, MATCH(YEAR(EOMONTH($A354,6)), 'I1 - Universal Data'!$E$14:$V$14, 0)))</f>
        <v>2.7839240870369375E-2</v>
      </c>
      <c r="H354" s="721">
        <f>IF($A354&lt;DATE(2018,7,1),"-",INDEX('I1 - Universal Data'!$E$17:$V$17, MATCH(YEAR(EOMONTH($A354,6)), 'I1 - Universal Data'!$E$14:$V$14, 0)))</f>
        <v>2.0363958655881476E-2</v>
      </c>
      <c r="I354" s="722">
        <f t="shared" si="27"/>
        <v>147.48722998485428</v>
      </c>
      <c r="J354" s="722">
        <f t="shared" si="28"/>
        <v>438.8529212740151</v>
      </c>
      <c r="K354" s="722">
        <f t="shared" si="29"/>
        <v>147.97284273744003</v>
      </c>
      <c r="W354" s="101"/>
      <c r="X354" s="357"/>
    </row>
    <row r="355" spans="1:24" s="358" customFormat="1">
      <c r="A355" s="719">
        <f t="shared" si="26"/>
        <v>46904</v>
      </c>
      <c r="B355" s="720">
        <f t="shared" si="25"/>
        <v>2029</v>
      </c>
      <c r="C355" s="794"/>
      <c r="D355" s="794"/>
      <c r="E355" s="794"/>
      <c r="F355" s="721">
        <f>IF($A355&lt;DATE(2018,7,1),"-",INDEX('I1 - Universal Data'!$E$16:$V$16, MATCH(YEAR(EOMONTH($A355,6)), 'I1 - Universal Data'!$E$14:$V$14, 0)))</f>
        <v>1.9764681807515894E-2</v>
      </c>
      <c r="G355" s="721">
        <f>IF($A355&lt;DATE(2018,7,1),"-",INDEX('I1 - Universal Data'!$E$15:$V$15, MATCH(YEAR(EOMONTH($A355,6)), 'I1 - Universal Data'!$E$14:$V$14, 0)))</f>
        <v>2.7839240870369375E-2</v>
      </c>
      <c r="H355" s="721">
        <f>IF($A355&lt;DATE(2018,7,1),"-",INDEX('I1 - Universal Data'!$E$17:$V$17, MATCH(YEAR(EOMONTH($A355,6)), 'I1 - Universal Data'!$E$14:$V$14, 0)))</f>
        <v>2.0363958655881476E-2</v>
      </c>
      <c r="I355" s="722">
        <f t="shared" si="27"/>
        <v>147.7279766602459</v>
      </c>
      <c r="J355" s="722">
        <f t="shared" si="28"/>
        <v>439.8582680122687</v>
      </c>
      <c r="K355" s="722">
        <f t="shared" si="29"/>
        <v>148.22163846378965</v>
      </c>
      <c r="W355" s="101"/>
      <c r="X355" s="357"/>
    </row>
    <row r="356" spans="1:24" s="358" customFormat="1">
      <c r="A356" s="719">
        <f t="shared" si="26"/>
        <v>46934</v>
      </c>
      <c r="B356" s="720">
        <f t="shared" si="25"/>
        <v>2029</v>
      </c>
      <c r="C356" s="794"/>
      <c r="D356" s="794"/>
      <c r="E356" s="794"/>
      <c r="F356" s="721">
        <f>IF($A356&lt;DATE(2018,7,1),"-",INDEX('I1 - Universal Data'!$E$16:$V$16, MATCH(YEAR(EOMONTH($A356,6)), 'I1 - Universal Data'!$E$14:$V$14, 0)))</f>
        <v>1.9764681807515894E-2</v>
      </c>
      <c r="G356" s="721">
        <f>IF($A356&lt;DATE(2018,7,1),"-",INDEX('I1 - Universal Data'!$E$15:$V$15, MATCH(YEAR(EOMONTH($A356,6)), 'I1 - Universal Data'!$E$14:$V$14, 0)))</f>
        <v>2.7839240870369375E-2</v>
      </c>
      <c r="H356" s="721">
        <f>IF($A356&lt;DATE(2018,7,1),"-",INDEX('I1 - Universal Data'!$E$17:$V$17, MATCH(YEAR(EOMONTH($A356,6)), 'I1 - Universal Data'!$E$14:$V$14, 0)))</f>
        <v>2.0363958655881476E-2</v>
      </c>
      <c r="I356" s="722">
        <f t="shared" si="27"/>
        <v>147.96911631177326</v>
      </c>
      <c r="J356" s="722">
        <f t="shared" si="28"/>
        <v>440.86591785029697</v>
      </c>
      <c r="K356" s="722">
        <f t="shared" si="29"/>
        <v>148.47085250550245</v>
      </c>
      <c r="W356" s="101"/>
      <c r="X356" s="357"/>
    </row>
    <row r="357" spans="1:24">
      <c r="A357" s="719">
        <f t="shared" si="26"/>
        <v>46965</v>
      </c>
      <c r="B357" s="720">
        <f t="shared" si="25"/>
        <v>2029</v>
      </c>
      <c r="C357" s="794"/>
      <c r="D357" s="794"/>
      <c r="E357" s="794"/>
      <c r="F357" s="721">
        <f>IF($A357&lt;DATE(2018,7,1),"-",INDEX('I1 - Universal Data'!$E$16:$V$16, MATCH(YEAR(EOMONTH($A357,6)), 'I1 - Universal Data'!$E$14:$V$14, 0)))</f>
        <v>2.0201725296626893E-2</v>
      </c>
      <c r="G357" s="721">
        <f>IF($A357&lt;DATE(2018,7,1),"-",INDEX('I1 - Universal Data'!$E$15:$V$15, MATCH(YEAR(EOMONTH($A357,6)), 'I1 - Universal Data'!$E$14:$V$14, 0)))</f>
        <v>2.8771944181261722E-2</v>
      </c>
      <c r="H357" s="721">
        <f>IF($A357&lt;DATE(2018,7,1),"-",INDEX('I1 - Universal Data'!$E$17:$V$17, MATCH(YEAR(EOMONTH($A357,6)), 'I1 - Universal Data'!$E$14:$V$14, 0)))</f>
        <v>2.0944596333052568E-2</v>
      </c>
      <c r="I357" s="722">
        <f t="shared" si="27"/>
        <v>148.21594179687634</v>
      </c>
      <c r="J357" s="722">
        <f t="shared" si="28"/>
        <v>441.90927685961799</v>
      </c>
      <c r="K357" s="722">
        <f t="shared" si="29"/>
        <v>148.72753617130095</v>
      </c>
    </row>
    <row r="358" spans="1:24">
      <c r="A358" s="719">
        <f t="shared" si="26"/>
        <v>46996</v>
      </c>
      <c r="B358" s="720">
        <f t="shared" si="25"/>
        <v>2029</v>
      </c>
      <c r="C358" s="794"/>
      <c r="D358" s="794"/>
      <c r="E358" s="794"/>
      <c r="F358" s="721">
        <f>IF($A358&lt;DATE(2018,7,1),"-",INDEX('I1 - Universal Data'!$E$16:$V$16, MATCH(YEAR(EOMONTH($A358,6)), 'I1 - Universal Data'!$E$14:$V$14, 0)))</f>
        <v>2.0201725296626893E-2</v>
      </c>
      <c r="G358" s="721">
        <f>IF($A358&lt;DATE(2018,7,1),"-",INDEX('I1 - Universal Data'!$E$15:$V$15, MATCH(YEAR(EOMONTH($A358,6)), 'I1 - Universal Data'!$E$14:$V$14, 0)))</f>
        <v>2.8771944181261722E-2</v>
      </c>
      <c r="H358" s="721">
        <f>IF($A358&lt;DATE(2018,7,1),"-",INDEX('I1 - Universal Data'!$E$17:$V$17, MATCH(YEAR(EOMONTH($A358,6)), 'I1 - Universal Data'!$E$14:$V$14, 0)))</f>
        <v>2.0944596333052568E-2</v>
      </c>
      <c r="I358" s="722">
        <f t="shared" si="27"/>
        <v>148.46317900857221</v>
      </c>
      <c r="J358" s="722">
        <f t="shared" si="28"/>
        <v>442.95510509592674</v>
      </c>
      <c r="K358" s="722">
        <f t="shared" si="29"/>
        <v>148.98466360436541</v>
      </c>
    </row>
    <row r="359" spans="1:24">
      <c r="A359" s="719">
        <f t="shared" si="26"/>
        <v>47026</v>
      </c>
      <c r="B359" s="720">
        <f t="shared" si="25"/>
        <v>2029</v>
      </c>
      <c r="C359" s="794"/>
      <c r="D359" s="794"/>
      <c r="E359" s="794"/>
      <c r="F359" s="721">
        <f>IF($A359&lt;DATE(2018,7,1),"-",INDEX('I1 - Universal Data'!$E$16:$V$16, MATCH(YEAR(EOMONTH($A359,6)), 'I1 - Universal Data'!$E$14:$V$14, 0)))</f>
        <v>2.0201725296626893E-2</v>
      </c>
      <c r="G359" s="721">
        <f>IF($A359&lt;DATE(2018,7,1),"-",INDEX('I1 - Universal Data'!$E$15:$V$15, MATCH(YEAR(EOMONTH($A359,6)), 'I1 - Universal Data'!$E$14:$V$14, 0)))</f>
        <v>2.8771944181261722E-2</v>
      </c>
      <c r="H359" s="721">
        <f>IF($A359&lt;DATE(2018,7,1),"-",INDEX('I1 - Universal Data'!$E$17:$V$17, MATCH(YEAR(EOMONTH($A359,6)), 'I1 - Universal Data'!$E$14:$V$14, 0)))</f>
        <v>2.0944596333052568E-2</v>
      </c>
      <c r="I359" s="722">
        <f t="shared" si="27"/>
        <v>148.71082863365697</v>
      </c>
      <c r="J359" s="722">
        <f t="shared" si="28"/>
        <v>444.0034084029279</v>
      </c>
      <c r="K359" s="722">
        <f t="shared" si="29"/>
        <v>149.24223557190234</v>
      </c>
    </row>
    <row r="360" spans="1:24">
      <c r="A360" s="719">
        <f t="shared" si="26"/>
        <v>47057</v>
      </c>
      <c r="B360" s="720">
        <f t="shared" si="25"/>
        <v>2029</v>
      </c>
      <c r="C360" s="794"/>
      <c r="D360" s="794"/>
      <c r="E360" s="794"/>
      <c r="F360" s="721">
        <f>IF($A360&lt;DATE(2018,7,1),"-",INDEX('I1 - Universal Data'!$E$16:$V$16, MATCH(YEAR(EOMONTH($A360,6)), 'I1 - Universal Data'!$E$14:$V$14, 0)))</f>
        <v>2.0201725296626893E-2</v>
      </c>
      <c r="G360" s="721">
        <f>IF($A360&lt;DATE(2018,7,1),"-",INDEX('I1 - Universal Data'!$E$15:$V$15, MATCH(YEAR(EOMONTH($A360,6)), 'I1 - Universal Data'!$E$14:$V$14, 0)))</f>
        <v>2.8771944181261722E-2</v>
      </c>
      <c r="H360" s="721">
        <f>IF($A360&lt;DATE(2018,7,1),"-",INDEX('I1 - Universal Data'!$E$17:$V$17, MATCH(YEAR(EOMONTH($A360,6)), 'I1 - Universal Data'!$E$14:$V$14, 0)))</f>
        <v>2.0944596333052568E-2</v>
      </c>
      <c r="I360" s="722">
        <f t="shared" si="27"/>
        <v>148.95889136007241</v>
      </c>
      <c r="J360" s="722">
        <f t="shared" si="28"/>
        <v>445.05419263815594</v>
      </c>
      <c r="K360" s="722">
        <f t="shared" si="29"/>
        <v>149.50025284244467</v>
      </c>
    </row>
    <row r="361" spans="1:24">
      <c r="A361" s="719">
        <f t="shared" si="26"/>
        <v>47087</v>
      </c>
      <c r="B361" s="720">
        <f t="shared" si="25"/>
        <v>2029</v>
      </c>
      <c r="C361" s="794"/>
      <c r="D361" s="794"/>
      <c r="E361" s="794"/>
      <c r="F361" s="721">
        <f>IF($A361&lt;DATE(2018,7,1),"-",INDEX('I1 - Universal Data'!$E$16:$V$16, MATCH(YEAR(EOMONTH($A361,6)), 'I1 - Universal Data'!$E$14:$V$14, 0)))</f>
        <v>2.0201725296626893E-2</v>
      </c>
      <c r="G361" s="721">
        <f>IF($A361&lt;DATE(2018,7,1),"-",INDEX('I1 - Universal Data'!$E$15:$V$15, MATCH(YEAR(EOMONTH($A361,6)), 'I1 - Universal Data'!$E$14:$V$14, 0)))</f>
        <v>2.8771944181261722E-2</v>
      </c>
      <c r="H361" s="721">
        <f>IF($A361&lt;DATE(2018,7,1),"-",INDEX('I1 - Universal Data'!$E$17:$V$17, MATCH(YEAR(EOMONTH($A361,6)), 'I1 - Universal Data'!$E$14:$V$14, 0)))</f>
        <v>2.0944596333052568E-2</v>
      </c>
      <c r="I361" s="722">
        <f t="shared" si="27"/>
        <v>149.20736787690785</v>
      </c>
      <c r="J361" s="722">
        <f t="shared" si="28"/>
        <v>446.10746367300783</v>
      </c>
      <c r="K361" s="722">
        <f t="shared" si="29"/>
        <v>149.75871618585398</v>
      </c>
    </row>
    <row r="362" spans="1:24">
      <c r="A362" s="719">
        <f t="shared" si="26"/>
        <v>47118</v>
      </c>
      <c r="B362" s="720">
        <f t="shared" si="25"/>
        <v>2029</v>
      </c>
      <c r="C362" s="794"/>
      <c r="D362" s="794"/>
      <c r="E362" s="794"/>
      <c r="F362" s="721">
        <f>IF($A362&lt;DATE(2018,7,1),"-",INDEX('I1 - Universal Data'!$E$16:$V$16, MATCH(YEAR(EOMONTH($A362,6)), 'I1 - Universal Data'!$E$14:$V$14, 0)))</f>
        <v>2.0201725296626893E-2</v>
      </c>
      <c r="G362" s="721">
        <f>IF($A362&lt;DATE(2018,7,1),"-",INDEX('I1 - Universal Data'!$E$15:$V$15, MATCH(YEAR(EOMONTH($A362,6)), 'I1 - Universal Data'!$E$14:$V$14, 0)))</f>
        <v>2.8771944181261722E-2</v>
      </c>
      <c r="H362" s="721">
        <f>IF($A362&lt;DATE(2018,7,1),"-",INDEX('I1 - Universal Data'!$E$17:$V$17, MATCH(YEAR(EOMONTH($A362,6)), 'I1 - Universal Data'!$E$14:$V$14, 0)))</f>
        <v>2.0944596333052568E-2</v>
      </c>
      <c r="I362" s="722">
        <f t="shared" si="27"/>
        <v>149.45625887440204</v>
      </c>
      <c r="J362" s="722">
        <f t="shared" si="28"/>
        <v>447.16322739277587</v>
      </c>
      <c r="K362" s="722">
        <f t="shared" si="29"/>
        <v>150.01762637332286</v>
      </c>
    </row>
    <row r="363" spans="1:24">
      <c r="A363" s="719">
        <f t="shared" si="26"/>
        <v>47149</v>
      </c>
      <c r="B363" s="720">
        <f t="shared" si="25"/>
        <v>2029</v>
      </c>
      <c r="C363" s="794"/>
      <c r="D363" s="794"/>
      <c r="E363" s="794"/>
      <c r="F363" s="721">
        <f>IF($A363&lt;DATE(2018,7,1),"-",INDEX('I1 - Universal Data'!$E$16:$V$16, MATCH(YEAR(EOMONTH($A363,6)), 'I1 - Universal Data'!$E$14:$V$14, 0)))</f>
        <v>2.0201725296626893E-2</v>
      </c>
      <c r="G363" s="721">
        <f>IF($A363&lt;DATE(2018,7,1),"-",INDEX('I1 - Universal Data'!$E$15:$V$15, MATCH(YEAR(EOMONTH($A363,6)), 'I1 - Universal Data'!$E$14:$V$14, 0)))</f>
        <v>2.8771944181261722E-2</v>
      </c>
      <c r="H363" s="721">
        <f>IF($A363&lt;DATE(2018,7,1),"-",INDEX('I1 - Universal Data'!$E$17:$V$17, MATCH(YEAR(EOMONTH($A363,6)), 'I1 - Universal Data'!$E$14:$V$14, 0)))</f>
        <v>2.0944596333052568E-2</v>
      </c>
      <c r="I363" s="722">
        <f t="shared" si="27"/>
        <v>149.70556504394514</v>
      </c>
      <c r="J363" s="722">
        <f t="shared" si="28"/>
        <v>448.22148969668058</v>
      </c>
      <c r="K363" s="722">
        <f t="shared" si="29"/>
        <v>150.27698417737713</v>
      </c>
    </row>
    <row r="364" spans="1:24">
      <c r="A364" s="719">
        <f t="shared" si="26"/>
        <v>47177</v>
      </c>
      <c r="B364" s="720">
        <f t="shared" si="25"/>
        <v>2029</v>
      </c>
      <c r="C364" s="794"/>
      <c r="D364" s="794"/>
      <c r="E364" s="794"/>
      <c r="F364" s="721">
        <f>IF($A364&lt;DATE(2018,7,1),"-",INDEX('I1 - Universal Data'!$E$16:$V$16, MATCH(YEAR(EOMONTH($A364,6)), 'I1 - Universal Data'!$E$14:$V$14, 0)))</f>
        <v>2.0201725296626893E-2</v>
      </c>
      <c r="G364" s="721">
        <f>IF($A364&lt;DATE(2018,7,1),"-",INDEX('I1 - Universal Data'!$E$15:$V$15, MATCH(YEAR(EOMONTH($A364,6)), 'I1 - Universal Data'!$E$14:$V$14, 0)))</f>
        <v>2.8771944181261722E-2</v>
      </c>
      <c r="H364" s="721">
        <f>IF($A364&lt;DATE(2018,7,1),"-",INDEX('I1 - Universal Data'!$E$17:$V$17, MATCH(YEAR(EOMONTH($A364,6)), 'I1 - Universal Data'!$E$14:$V$14, 0)))</f>
        <v>2.0944596333052568E-2</v>
      </c>
      <c r="I364" s="722">
        <f t="shared" si="27"/>
        <v>149.9552870780806</v>
      </c>
      <c r="J364" s="722">
        <f t="shared" si="28"/>
        <v>449.28225649790363</v>
      </c>
      <c r="K364" s="722">
        <f t="shared" si="29"/>
        <v>150.53679037187825</v>
      </c>
    </row>
    <row r="365" spans="1:24">
      <c r="A365" s="719">
        <f t="shared" si="26"/>
        <v>47208</v>
      </c>
      <c r="B365" s="720">
        <f t="shared" si="25"/>
        <v>2029</v>
      </c>
      <c r="C365" s="794"/>
      <c r="D365" s="794"/>
      <c r="E365" s="794"/>
      <c r="F365" s="721">
        <f>IF($A365&lt;DATE(2018,7,1),"-",INDEX('I1 - Universal Data'!$E$16:$V$16, MATCH(YEAR(EOMONTH($A365,6)), 'I1 - Universal Data'!$E$14:$V$14, 0)))</f>
        <v>2.0201725296626893E-2</v>
      </c>
      <c r="G365" s="721">
        <f>IF($A365&lt;DATE(2018,7,1),"-",INDEX('I1 - Universal Data'!$E$15:$V$15, MATCH(YEAR(EOMONTH($A365,6)), 'I1 - Universal Data'!$E$14:$V$14, 0)))</f>
        <v>2.8771944181261722E-2</v>
      </c>
      <c r="H365" s="721">
        <f>IF($A365&lt;DATE(2018,7,1),"-",INDEX('I1 - Universal Data'!$E$17:$V$17, MATCH(YEAR(EOMONTH($A365,6)), 'I1 - Universal Data'!$E$14:$V$14, 0)))</f>
        <v>2.0944596333052568E-2</v>
      </c>
      <c r="I365" s="722">
        <f t="shared" si="27"/>
        <v>150.20542567050708</v>
      </c>
      <c r="J365" s="722">
        <f t="shared" si="28"/>
        <v>450.34553372362092</v>
      </c>
      <c r="K365" s="722">
        <f t="shared" si="29"/>
        <v>150.79704573202554</v>
      </c>
    </row>
    <row r="366" spans="1:24">
      <c r="A366" s="719">
        <f t="shared" si="26"/>
        <v>47238</v>
      </c>
      <c r="B366" s="720">
        <f t="shared" si="25"/>
        <v>2030</v>
      </c>
      <c r="C366" s="794"/>
      <c r="D366" s="794"/>
      <c r="E366" s="794"/>
      <c r="F366" s="721">
        <f>IF($A366&lt;DATE(2018,7,1),"-",INDEX('I1 - Universal Data'!$E$16:$V$16, MATCH(YEAR(EOMONTH($A366,6)), 'I1 - Universal Data'!$E$14:$V$14, 0)))</f>
        <v>2.0201725296626893E-2</v>
      </c>
      <c r="G366" s="721">
        <f>IF($A366&lt;DATE(2018,7,1),"-",INDEX('I1 - Universal Data'!$E$15:$V$15, MATCH(YEAR(EOMONTH($A366,6)), 'I1 - Universal Data'!$E$14:$V$14, 0)))</f>
        <v>2.8771944181261722E-2</v>
      </c>
      <c r="H366" s="721">
        <f>IF($A366&lt;DATE(2018,7,1),"-",INDEX('I1 - Universal Data'!$E$17:$V$17, MATCH(YEAR(EOMONTH($A366,6)), 'I1 - Universal Data'!$E$14:$V$14, 0)))</f>
        <v>2.0944596333052568E-2</v>
      </c>
      <c r="I366" s="722">
        <f t="shared" si="27"/>
        <v>150.45598151608044</v>
      </c>
      <c r="J366" s="722">
        <f t="shared" si="28"/>
        <v>451.41132731503563</v>
      </c>
      <c r="K366" s="722">
        <f t="shared" si="29"/>
        <v>151.05775103435852</v>
      </c>
    </row>
    <row r="367" spans="1:24">
      <c r="A367" s="719">
        <f t="shared" si="26"/>
        <v>47269</v>
      </c>
      <c r="B367" s="720">
        <f t="shared" si="25"/>
        <v>2030</v>
      </c>
      <c r="C367" s="794"/>
      <c r="D367" s="794"/>
      <c r="E367" s="794"/>
      <c r="F367" s="721">
        <f>IF($A367&lt;DATE(2018,7,1),"-",INDEX('I1 - Universal Data'!$E$16:$V$16, MATCH(YEAR(EOMONTH($A367,6)), 'I1 - Universal Data'!$E$14:$V$14, 0)))</f>
        <v>2.0201725296626893E-2</v>
      </c>
      <c r="G367" s="721">
        <f>IF($A367&lt;DATE(2018,7,1),"-",INDEX('I1 - Universal Data'!$E$15:$V$15, MATCH(YEAR(EOMONTH($A367,6)), 'I1 - Universal Data'!$E$14:$V$14, 0)))</f>
        <v>2.8771944181261722E-2</v>
      </c>
      <c r="H367" s="721">
        <f>IF($A367&lt;DATE(2018,7,1),"-",INDEX('I1 - Universal Data'!$E$17:$V$17, MATCH(YEAR(EOMONTH($A367,6)), 'I1 - Universal Data'!$E$14:$V$14, 0)))</f>
        <v>2.0944596333052568E-2</v>
      </c>
      <c r="I367" s="722">
        <f t="shared" si="27"/>
        <v>150.70695531081554</v>
      </c>
      <c r="J367" s="722">
        <f t="shared" si="28"/>
        <v>452.4796432274116</v>
      </c>
      <c r="K367" s="722">
        <f t="shared" si="29"/>
        <v>151.3189070567592</v>
      </c>
    </row>
    <row r="368" spans="1:24">
      <c r="A368" s="719">
        <f t="shared" si="26"/>
        <v>47299</v>
      </c>
      <c r="B368" s="720">
        <f t="shared" si="25"/>
        <v>2030</v>
      </c>
      <c r="C368" s="794"/>
      <c r="D368" s="794"/>
      <c r="E368" s="794"/>
      <c r="F368" s="721">
        <f>IF($A368&lt;DATE(2018,7,1),"-",INDEX('I1 - Universal Data'!$E$16:$V$16, MATCH(YEAR(EOMONTH($A368,6)), 'I1 - Universal Data'!$E$14:$V$14, 0)))</f>
        <v>2.0201725296626893E-2</v>
      </c>
      <c r="G368" s="721">
        <f>IF($A368&lt;DATE(2018,7,1),"-",INDEX('I1 - Universal Data'!$E$15:$V$15, MATCH(YEAR(EOMONTH($A368,6)), 'I1 - Universal Data'!$E$14:$V$14, 0)))</f>
        <v>2.8771944181261722E-2</v>
      </c>
      <c r="H368" s="721">
        <f>IF($A368&lt;DATE(2018,7,1),"-",INDEX('I1 - Universal Data'!$E$17:$V$17, MATCH(YEAR(EOMONTH($A368,6)), 'I1 - Universal Data'!$E$14:$V$14, 0)))</f>
        <v>2.0944596333052568E-2</v>
      </c>
      <c r="I368" s="722">
        <f t="shared" si="27"/>
        <v>150.95834775188834</v>
      </c>
      <c r="J368" s="722">
        <f t="shared" si="28"/>
        <v>453.55048743010633</v>
      </c>
      <c r="K368" s="722">
        <f t="shared" si="29"/>
        <v>151.58051457845451</v>
      </c>
    </row>
    <row r="369" spans="1:11">
      <c r="A369" s="719">
        <f t="shared" si="26"/>
        <v>47330</v>
      </c>
      <c r="B369" s="720">
        <f t="shared" si="25"/>
        <v>2030</v>
      </c>
      <c r="C369" s="794"/>
      <c r="D369" s="794"/>
      <c r="E369" s="794"/>
      <c r="F369" s="721">
        <f>IF($A369&lt;DATE(2018,7,1),"-",INDEX('I1 - Universal Data'!$E$16:$V$16, MATCH(YEAR(EOMONTH($A369,6)), 'I1 - Universal Data'!$E$14:$V$14, 0)))</f>
        <v>1.9997326712768881E-2</v>
      </c>
      <c r="G369" s="721">
        <f>IF($A369&lt;DATE(2018,7,1),"-",INDEX('I1 - Universal Data'!$E$15:$V$15, MATCH(YEAR(EOMONTH($A369,6)), 'I1 - Universal Data'!$E$14:$V$14, 0)))</f>
        <v>2.2556534608456635E-2</v>
      </c>
      <c r="H369" s="721">
        <f>IF($A369&lt;DATE(2018,7,1),"-",INDEX('I1 - Universal Data'!$E$17:$V$17, MATCH(YEAR(EOMONTH($A369,6)), 'I1 - Universal Data'!$E$14:$V$14, 0)))</f>
        <v>2.1241236305741262E-2</v>
      </c>
      <c r="I369" s="722">
        <f t="shared" si="27"/>
        <v>151.20763471172987</v>
      </c>
      <c r="J369" s="722">
        <f t="shared" si="28"/>
        <v>454.39434238473723</v>
      </c>
      <c r="K369" s="722">
        <f t="shared" si="29"/>
        <v>151.8462504348567</v>
      </c>
    </row>
    <row r="370" spans="1:11">
      <c r="A370" s="719">
        <f t="shared" si="26"/>
        <v>47361</v>
      </c>
      <c r="B370" s="720">
        <f t="shared" si="25"/>
        <v>2030</v>
      </c>
      <c r="C370" s="794"/>
      <c r="D370" s="794"/>
      <c r="E370" s="794"/>
      <c r="F370" s="721">
        <f>IF($A370&lt;DATE(2018,7,1),"-",INDEX('I1 - Universal Data'!$E$16:$V$16, MATCH(YEAR(EOMONTH($A370,6)), 'I1 - Universal Data'!$E$14:$V$14, 0)))</f>
        <v>1.9997326712768881E-2</v>
      </c>
      <c r="G370" s="721">
        <f>IF($A370&lt;DATE(2018,7,1),"-",INDEX('I1 - Universal Data'!$E$15:$V$15, MATCH(YEAR(EOMONTH($A370,6)), 'I1 - Universal Data'!$E$14:$V$14, 0)))</f>
        <v>2.2556534608456635E-2</v>
      </c>
      <c r="H370" s="721">
        <f>IF($A370&lt;DATE(2018,7,1),"-",INDEX('I1 - Universal Data'!$E$17:$V$17, MATCH(YEAR(EOMONTH($A370,6)), 'I1 - Universal Data'!$E$14:$V$14, 0)))</f>
        <v>2.1241236305741262E-2</v>
      </c>
      <c r="I370" s="722">
        <f t="shared" si="27"/>
        <v>151.45733333471736</v>
      </c>
      <c r="J370" s="722">
        <f t="shared" si="28"/>
        <v>455.23976737667198</v>
      </c>
      <c r="K370" s="722">
        <f t="shared" si="29"/>
        <v>152.11245215288744</v>
      </c>
    </row>
    <row r="371" spans="1:11">
      <c r="A371" s="719">
        <f t="shared" si="26"/>
        <v>47391</v>
      </c>
      <c r="B371" s="720">
        <f t="shared" si="25"/>
        <v>2030</v>
      </c>
      <c r="C371" s="794"/>
      <c r="D371" s="794"/>
      <c r="E371" s="794"/>
      <c r="F371" s="721">
        <f>IF($A371&lt;DATE(2018,7,1),"-",INDEX('I1 - Universal Data'!$E$16:$V$16, MATCH(YEAR(EOMONTH($A371,6)), 'I1 - Universal Data'!$E$14:$V$14, 0)))</f>
        <v>1.9997326712768881E-2</v>
      </c>
      <c r="G371" s="721">
        <f>IF($A371&lt;DATE(2018,7,1),"-",INDEX('I1 - Universal Data'!$E$15:$V$15, MATCH(YEAR(EOMONTH($A371,6)), 'I1 - Universal Data'!$E$14:$V$14, 0)))</f>
        <v>2.2556534608456635E-2</v>
      </c>
      <c r="H371" s="721">
        <f>IF($A371&lt;DATE(2018,7,1),"-",INDEX('I1 - Universal Data'!$E$17:$V$17, MATCH(YEAR(EOMONTH($A371,6)), 'I1 - Universal Data'!$E$14:$V$14, 0)))</f>
        <v>2.1241236305741262E-2</v>
      </c>
      <c r="I371" s="722">
        <f t="shared" si="27"/>
        <v>151.70744430065594</v>
      </c>
      <c r="J371" s="722">
        <f t="shared" si="28"/>
        <v>456.08676532704902</v>
      </c>
      <c r="K371" s="722">
        <f t="shared" si="29"/>
        <v>152.37912054924894</v>
      </c>
    </row>
    <row r="372" spans="1:11">
      <c r="A372" s="719">
        <f t="shared" si="26"/>
        <v>47422</v>
      </c>
      <c r="B372" s="720">
        <f t="shared" si="25"/>
        <v>2030</v>
      </c>
      <c r="C372" s="794"/>
      <c r="D372" s="794"/>
      <c r="E372" s="794"/>
      <c r="F372" s="721">
        <f>IF($A372&lt;DATE(2018,7,1),"-",INDEX('I1 - Universal Data'!$E$16:$V$16, MATCH(YEAR(EOMONTH($A372,6)), 'I1 - Universal Data'!$E$14:$V$14, 0)))</f>
        <v>1.9997326712768881E-2</v>
      </c>
      <c r="G372" s="721">
        <f>IF($A372&lt;DATE(2018,7,1),"-",INDEX('I1 - Universal Data'!$E$15:$V$15, MATCH(YEAR(EOMONTH($A372,6)), 'I1 - Universal Data'!$E$14:$V$14, 0)))</f>
        <v>2.2556534608456635E-2</v>
      </c>
      <c r="H372" s="721">
        <f>IF($A372&lt;DATE(2018,7,1),"-",INDEX('I1 - Universal Data'!$E$17:$V$17, MATCH(YEAR(EOMONTH($A372,6)), 'I1 - Universal Data'!$E$14:$V$14, 0)))</f>
        <v>2.1241236305741262E-2</v>
      </c>
      <c r="I372" s="722">
        <f t="shared" si="27"/>
        <v>151.95796829047327</v>
      </c>
      <c r="J372" s="722">
        <f t="shared" si="28"/>
        <v>456.93533916244172</v>
      </c>
      <c r="K372" s="722">
        <f t="shared" si="29"/>
        <v>152.64625644207513</v>
      </c>
    </row>
    <row r="373" spans="1:11">
      <c r="A373" s="719">
        <f t="shared" si="26"/>
        <v>47452</v>
      </c>
      <c r="B373" s="720">
        <f t="shared" si="25"/>
        <v>2030</v>
      </c>
      <c r="C373" s="794"/>
      <c r="D373" s="794"/>
      <c r="E373" s="794"/>
      <c r="F373" s="721">
        <f>IF($A373&lt;DATE(2018,7,1),"-",INDEX('I1 - Universal Data'!$E$16:$V$16, MATCH(YEAR(EOMONTH($A373,6)), 'I1 - Universal Data'!$E$14:$V$14, 0)))</f>
        <v>1.9997326712768881E-2</v>
      </c>
      <c r="G373" s="721">
        <f>IF($A373&lt;DATE(2018,7,1),"-",INDEX('I1 - Universal Data'!$E$15:$V$15, MATCH(YEAR(EOMONTH($A373,6)), 'I1 - Universal Data'!$E$14:$V$14, 0)))</f>
        <v>2.2556534608456635E-2</v>
      </c>
      <c r="H373" s="721">
        <f>IF($A373&lt;DATE(2018,7,1),"-",INDEX('I1 - Universal Data'!$E$17:$V$17, MATCH(YEAR(EOMONTH($A373,6)), 'I1 - Universal Data'!$E$14:$V$14, 0)))</f>
        <v>2.1241236305741262E-2</v>
      </c>
      <c r="I373" s="722">
        <f t="shared" si="27"/>
        <v>152.20890598622157</v>
      </c>
      <c r="J373" s="722">
        <f t="shared" si="28"/>
        <v>457.78549181486852</v>
      </c>
      <c r="K373" s="722">
        <f t="shared" si="29"/>
        <v>152.91386065093425</v>
      </c>
    </row>
    <row r="374" spans="1:11">
      <c r="A374" s="719">
        <f t="shared" si="26"/>
        <v>47483</v>
      </c>
      <c r="B374" s="720">
        <f t="shared" si="25"/>
        <v>2030</v>
      </c>
      <c r="C374" s="794"/>
      <c r="D374" s="794"/>
      <c r="E374" s="794"/>
      <c r="F374" s="721">
        <f>IF($A374&lt;DATE(2018,7,1),"-",INDEX('I1 - Universal Data'!$E$16:$V$16, MATCH(YEAR(EOMONTH($A374,6)), 'I1 - Universal Data'!$E$14:$V$14, 0)))</f>
        <v>1.9997326712768881E-2</v>
      </c>
      <c r="G374" s="721">
        <f>IF($A374&lt;DATE(2018,7,1),"-",INDEX('I1 - Universal Data'!$E$15:$V$15, MATCH(YEAR(EOMONTH($A374,6)), 'I1 - Universal Data'!$E$14:$V$14, 0)))</f>
        <v>2.2556534608456635E-2</v>
      </c>
      <c r="H374" s="721">
        <f>IF($A374&lt;DATE(2018,7,1),"-",INDEX('I1 - Universal Data'!$E$17:$V$17, MATCH(YEAR(EOMONTH($A374,6)), 'I1 - Universal Data'!$E$14:$V$14, 0)))</f>
        <v>2.1241236305741262E-2</v>
      </c>
      <c r="I374" s="722">
        <f t="shared" si="27"/>
        <v>152.46025807107927</v>
      </c>
      <c r="J374" s="722">
        <f t="shared" si="28"/>
        <v>458.63722622180296</v>
      </c>
      <c r="K374" s="722">
        <f t="shared" si="29"/>
        <v>153.1819339968313</v>
      </c>
    </row>
    <row r="375" spans="1:11">
      <c r="A375" s="719">
        <f t="shared" si="26"/>
        <v>47514</v>
      </c>
      <c r="B375" s="720">
        <f t="shared" si="25"/>
        <v>2030</v>
      </c>
      <c r="C375" s="794"/>
      <c r="D375" s="794"/>
      <c r="E375" s="794"/>
      <c r="F375" s="721">
        <f>IF($A375&lt;DATE(2018,7,1),"-",INDEX('I1 - Universal Data'!$E$16:$V$16, MATCH(YEAR(EOMONTH($A375,6)), 'I1 - Universal Data'!$E$14:$V$14, 0)))</f>
        <v>1.9997326712768881E-2</v>
      </c>
      <c r="G375" s="721">
        <f>IF($A375&lt;DATE(2018,7,1),"-",INDEX('I1 - Universal Data'!$E$15:$V$15, MATCH(YEAR(EOMONTH($A375,6)), 'I1 - Universal Data'!$E$14:$V$14, 0)))</f>
        <v>2.2556534608456635E-2</v>
      </c>
      <c r="H375" s="721">
        <f>IF($A375&lt;DATE(2018,7,1),"-",INDEX('I1 - Universal Data'!$E$17:$V$17, MATCH(YEAR(EOMONTH($A375,6)), 'I1 - Universal Data'!$E$14:$V$14, 0)))</f>
        <v>2.1241236305741262E-2</v>
      </c>
      <c r="I375" s="722">
        <f t="shared" si="27"/>
        <v>152.712025229353</v>
      </c>
      <c r="J375" s="722">
        <f t="shared" si="28"/>
        <v>459.49054532618396</v>
      </c>
      <c r="K375" s="722">
        <f t="shared" si="29"/>
        <v>153.4504773022106</v>
      </c>
    </row>
    <row r="376" spans="1:11">
      <c r="A376" s="719">
        <f t="shared" si="26"/>
        <v>47542</v>
      </c>
      <c r="B376" s="720">
        <f t="shared" si="25"/>
        <v>2030</v>
      </c>
      <c r="C376" s="794"/>
      <c r="D376" s="794"/>
      <c r="E376" s="794"/>
      <c r="F376" s="721">
        <f>IF($A376&lt;DATE(2018,7,1),"-",INDEX('I1 - Universal Data'!$E$16:$V$16, MATCH(YEAR(EOMONTH($A376,6)), 'I1 - Universal Data'!$E$14:$V$14, 0)))</f>
        <v>1.9997326712768881E-2</v>
      </c>
      <c r="G376" s="721">
        <f>IF($A376&lt;DATE(2018,7,1),"-",INDEX('I1 - Universal Data'!$E$15:$V$15, MATCH(YEAR(EOMONTH($A376,6)), 'I1 - Universal Data'!$E$14:$V$14, 0)))</f>
        <v>2.2556534608456635E-2</v>
      </c>
      <c r="H376" s="721">
        <f>IF($A376&lt;DATE(2018,7,1),"-",INDEX('I1 - Universal Data'!$E$17:$V$17, MATCH(YEAR(EOMONTH($A376,6)), 'I1 - Universal Data'!$E$14:$V$14, 0)))</f>
        <v>2.1241236305741262E-2</v>
      </c>
      <c r="I376" s="722">
        <f t="shared" si="27"/>
        <v>152.96420814647951</v>
      </c>
      <c r="J376" s="722">
        <f t="shared" si="28"/>
        <v>460.34545207642594</v>
      </c>
      <c r="K376" s="722">
        <f t="shared" si="29"/>
        <v>153.7194913909583</v>
      </c>
    </row>
    <row r="377" spans="1:11">
      <c r="A377" s="719">
        <f t="shared" si="26"/>
        <v>47573</v>
      </c>
      <c r="B377" s="720">
        <f t="shared" si="25"/>
        <v>2030</v>
      </c>
      <c r="C377" s="794"/>
      <c r="D377" s="794"/>
      <c r="E377" s="794"/>
      <c r="F377" s="721">
        <f>IF($A377&lt;DATE(2018,7,1),"-",INDEX('I1 - Universal Data'!$E$16:$V$16, MATCH(YEAR(EOMONTH($A377,6)), 'I1 - Universal Data'!$E$14:$V$14, 0)))</f>
        <v>1.9997326712768881E-2</v>
      </c>
      <c r="G377" s="721">
        <f>IF($A377&lt;DATE(2018,7,1),"-",INDEX('I1 - Universal Data'!$E$15:$V$15, MATCH(YEAR(EOMONTH($A377,6)), 'I1 - Universal Data'!$E$14:$V$14, 0)))</f>
        <v>2.2556534608456635E-2</v>
      </c>
      <c r="H377" s="721">
        <f>IF($A377&lt;DATE(2018,7,1),"-",INDEX('I1 - Universal Data'!$E$17:$V$17, MATCH(YEAR(EOMONTH($A377,6)), 'I1 - Universal Data'!$E$14:$V$14, 0)))</f>
        <v>2.1241236305741262E-2</v>
      </c>
      <c r="I377" s="722">
        <f t="shared" si="27"/>
        <v>153.21680750902735</v>
      </c>
      <c r="J377" s="722">
        <f t="shared" si="28"/>
        <v>461.201949426429</v>
      </c>
      <c r="K377" s="722">
        <f t="shared" si="29"/>
        <v>153.98897708840488</v>
      </c>
    </row>
    <row r="378" spans="1:11">
      <c r="A378" s="719">
        <f t="shared" si="26"/>
        <v>47603</v>
      </c>
      <c r="B378" s="720">
        <f t="shared" si="25"/>
        <v>2031</v>
      </c>
      <c r="C378" s="794"/>
      <c r="D378" s="794"/>
      <c r="E378" s="794"/>
      <c r="F378" s="721">
        <f>IF($A378&lt;DATE(2018,7,1),"-",INDEX('I1 - Universal Data'!$E$16:$V$16, MATCH(YEAR(EOMONTH($A378,6)), 'I1 - Universal Data'!$E$14:$V$14, 0)))</f>
        <v>1.9997326712768881E-2</v>
      </c>
      <c r="G378" s="721">
        <f>IF($A378&lt;DATE(2018,7,1),"-",INDEX('I1 - Universal Data'!$E$15:$V$15, MATCH(YEAR(EOMONTH($A378,6)), 'I1 - Universal Data'!$E$14:$V$14, 0)))</f>
        <v>2.2556534608456635E-2</v>
      </c>
      <c r="H378" s="721">
        <f>IF($A378&lt;DATE(2018,7,1),"-",INDEX('I1 - Universal Data'!$E$17:$V$17, MATCH(YEAR(EOMONTH($A378,6)), 'I1 - Universal Data'!$E$14:$V$14, 0)))</f>
        <v>2.1241236305741262E-2</v>
      </c>
      <c r="I378" s="722">
        <f t="shared" si="27"/>
        <v>153.46982400469889</v>
      </c>
      <c r="J378" s="722">
        <f t="shared" si="28"/>
        <v>462.06004033558912</v>
      </c>
      <c r="K378" s="722">
        <f t="shared" si="29"/>
        <v>154.25893522132773</v>
      </c>
    </row>
    <row r="379" spans="1:11">
      <c r="A379" s="719">
        <f t="shared" si="26"/>
        <v>47634</v>
      </c>
      <c r="B379" s="720">
        <f t="shared" si="25"/>
        <v>2031</v>
      </c>
      <c r="C379" s="794"/>
      <c r="D379" s="794"/>
      <c r="E379" s="794"/>
      <c r="F379" s="721">
        <f>IF($A379&lt;DATE(2018,7,1),"-",INDEX('I1 - Universal Data'!$E$16:$V$16, MATCH(YEAR(EOMONTH($A379,6)), 'I1 - Universal Data'!$E$14:$V$14, 0)))</f>
        <v>1.9997326712768881E-2</v>
      </c>
      <c r="G379" s="721">
        <f>IF($A379&lt;DATE(2018,7,1),"-",INDEX('I1 - Universal Data'!$E$15:$V$15, MATCH(YEAR(EOMONTH($A379,6)), 'I1 - Universal Data'!$E$14:$V$14, 0)))</f>
        <v>2.2556534608456635E-2</v>
      </c>
      <c r="H379" s="721">
        <f>IF($A379&lt;DATE(2018,7,1),"-",INDEX('I1 - Universal Data'!$E$17:$V$17, MATCH(YEAR(EOMONTH($A379,6)), 'I1 - Universal Data'!$E$14:$V$14, 0)))</f>
        <v>2.1241236305741262E-2</v>
      </c>
      <c r="I379" s="722">
        <f t="shared" si="27"/>
        <v>153.72325832233216</v>
      </c>
      <c r="J379" s="722">
        <f t="shared" si="28"/>
        <v>462.9197277688084</v>
      </c>
      <c r="K379" s="722">
        <f t="shared" si="29"/>
        <v>154.52936661795368</v>
      </c>
    </row>
    <row r="380" spans="1:11">
      <c r="A380" s="719">
        <f t="shared" si="26"/>
        <v>47664</v>
      </c>
      <c r="B380" s="720">
        <f t="shared" si="25"/>
        <v>2031</v>
      </c>
      <c r="C380" s="794"/>
      <c r="D380" s="794"/>
      <c r="E380" s="794"/>
      <c r="F380" s="721">
        <f>IF($A380&lt;DATE(2018,7,1),"-",INDEX('I1 - Universal Data'!$E$16:$V$16, MATCH(YEAR(EOMONTH($A380,6)), 'I1 - Universal Data'!$E$14:$V$14, 0)))</f>
        <v>1.9997326712768881E-2</v>
      </c>
      <c r="G380" s="721">
        <f>IF($A380&lt;DATE(2018,7,1),"-",INDEX('I1 - Universal Data'!$E$15:$V$15, MATCH(YEAR(EOMONTH($A380,6)), 'I1 - Universal Data'!$E$14:$V$14, 0)))</f>
        <v>2.2556534608456635E-2</v>
      </c>
      <c r="H380" s="721">
        <f>IF($A380&lt;DATE(2018,7,1),"-",INDEX('I1 - Universal Data'!$E$17:$V$17, MATCH(YEAR(EOMONTH($A380,6)), 'I1 - Universal Data'!$E$14:$V$14, 0)))</f>
        <v>2.1241236305741262E-2</v>
      </c>
      <c r="I380" s="722">
        <f t="shared" si="27"/>
        <v>153.97711115190268</v>
      </c>
      <c r="J380" s="722">
        <f t="shared" si="28"/>
        <v>463.78101469650528</v>
      </c>
      <c r="K380" s="722">
        <f t="shared" si="29"/>
        <v>154.80027210796149</v>
      </c>
    </row>
    <row r="381" spans="1:11">
      <c r="A381" s="719">
        <f t="shared" si="26"/>
        <v>47695</v>
      </c>
      <c r="B381" s="720">
        <f t="shared" si="25"/>
        <v>2031</v>
      </c>
      <c r="C381" s="794"/>
      <c r="D381" s="794"/>
      <c r="E381" s="794"/>
      <c r="F381" s="721">
        <f>IF($A381&lt;DATE(2018,7,1),"-",INDEX('I1 - Universal Data'!$E$16:$V$16, MATCH(YEAR(EOMONTH($A381,6)), 'I1 - Universal Data'!$E$14:$V$14, 0)))</f>
        <v>0.02</v>
      </c>
      <c r="G381" s="721">
        <f>IF($A381&lt;DATE(2018,7,1),"-",INDEX('I1 - Universal Data'!$E$15:$V$15, MATCH(YEAR(EOMONTH($A381,6)), 'I1 - Universal Data'!$E$14:$V$14, 0)))</f>
        <v>0.03</v>
      </c>
      <c r="H381" s="721">
        <f>IF($A381&lt;DATE(2018,7,1),"-",INDEX('I1 - Universal Data'!$E$17:$V$17, MATCH(YEAR(EOMONTH($A381,6)), 'I1 - Universal Data'!$E$14:$V$14, 0)))</f>
        <v>1.9997326712768881E-2</v>
      </c>
      <c r="I381" s="722">
        <f t="shared" si="27"/>
        <v>154.23141686960486</v>
      </c>
      <c r="J381" s="722">
        <f t="shared" si="28"/>
        <v>464.92482379401963</v>
      </c>
      <c r="K381" s="722">
        <f t="shared" si="29"/>
        <v>155.05590347774739</v>
      </c>
    </row>
    <row r="382" spans="1:11">
      <c r="A382" s="719">
        <f t="shared" si="26"/>
        <v>47726</v>
      </c>
      <c r="B382" s="720">
        <f t="shared" si="25"/>
        <v>2031</v>
      </c>
      <c r="C382" s="794"/>
      <c r="D382" s="794"/>
      <c r="E382" s="794"/>
      <c r="F382" s="721">
        <f>IF($A382&lt;DATE(2018,7,1),"-",INDEX('I1 - Universal Data'!$E$16:$V$16, MATCH(YEAR(EOMONTH($A382,6)), 'I1 - Universal Data'!$E$14:$V$14, 0)))</f>
        <v>0.02</v>
      </c>
      <c r="G382" s="721">
        <f>IF($A382&lt;DATE(2018,7,1),"-",INDEX('I1 - Universal Data'!$E$15:$V$15, MATCH(YEAR(EOMONTH($A382,6)), 'I1 - Universal Data'!$E$14:$V$14, 0)))</f>
        <v>0.03</v>
      </c>
      <c r="H382" s="721">
        <f>IF($A382&lt;DATE(2018,7,1),"-",INDEX('I1 - Universal Data'!$E$17:$V$17, MATCH(YEAR(EOMONTH($A382,6)), 'I1 - Universal Data'!$E$14:$V$14, 0)))</f>
        <v>1.9997326712768881E-2</v>
      </c>
      <c r="I382" s="722">
        <f t="shared" si="27"/>
        <v>154.48614259387537</v>
      </c>
      <c r="J382" s="722">
        <f t="shared" si="28"/>
        <v>466.07145383333642</v>
      </c>
      <c r="K382" s="722">
        <f t="shared" si="29"/>
        <v>155.31195698760018</v>
      </c>
    </row>
    <row r="383" spans="1:11">
      <c r="A383" s="719">
        <f t="shared" si="26"/>
        <v>47756</v>
      </c>
      <c r="B383" s="720">
        <f t="shared" si="25"/>
        <v>2031</v>
      </c>
      <c r="C383" s="794"/>
      <c r="D383" s="794"/>
      <c r="E383" s="794"/>
      <c r="F383" s="721">
        <f>IF($A383&lt;DATE(2018,7,1),"-",INDEX('I1 - Universal Data'!$E$16:$V$16, MATCH(YEAR(EOMONTH($A383,6)), 'I1 - Universal Data'!$E$14:$V$14, 0)))</f>
        <v>0.02</v>
      </c>
      <c r="G383" s="721">
        <f>IF($A383&lt;DATE(2018,7,1),"-",INDEX('I1 - Universal Data'!$E$15:$V$15, MATCH(YEAR(EOMONTH($A383,6)), 'I1 - Universal Data'!$E$14:$V$14, 0)))</f>
        <v>0.03</v>
      </c>
      <c r="H383" s="721">
        <f>IF($A383&lt;DATE(2018,7,1),"-",INDEX('I1 - Universal Data'!$E$17:$V$17, MATCH(YEAR(EOMONTH($A383,6)), 'I1 - Universal Data'!$E$14:$V$14, 0)))</f>
        <v>1.9997326712768881E-2</v>
      </c>
      <c r="I383" s="722">
        <f t="shared" si="27"/>
        <v>154.74128901838921</v>
      </c>
      <c r="J383" s="722">
        <f t="shared" si="28"/>
        <v>467.22091177165919</v>
      </c>
      <c r="K383" s="722">
        <f t="shared" si="29"/>
        <v>155.56843333462612</v>
      </c>
    </row>
    <row r="384" spans="1:11">
      <c r="A384" s="719">
        <f t="shared" si="26"/>
        <v>47787</v>
      </c>
      <c r="B384" s="720">
        <f t="shared" si="25"/>
        <v>2031</v>
      </c>
      <c r="C384" s="794"/>
      <c r="D384" s="794"/>
      <c r="E384" s="794"/>
      <c r="F384" s="721">
        <f>IF($A384&lt;DATE(2018,7,1),"-",INDEX('I1 - Universal Data'!$E$16:$V$16, MATCH(YEAR(EOMONTH($A384,6)), 'I1 - Universal Data'!$E$14:$V$14, 0)))</f>
        <v>0.02</v>
      </c>
      <c r="G384" s="721">
        <f>IF($A384&lt;DATE(2018,7,1),"-",INDEX('I1 - Universal Data'!$E$15:$V$15, MATCH(YEAR(EOMONTH($A384,6)), 'I1 - Universal Data'!$E$14:$V$14, 0)))</f>
        <v>0.03</v>
      </c>
      <c r="H384" s="721">
        <f>IF($A384&lt;DATE(2018,7,1),"-",INDEX('I1 - Universal Data'!$E$17:$V$17, MATCH(YEAR(EOMONTH($A384,6)), 'I1 - Universal Data'!$E$14:$V$14, 0)))</f>
        <v>1.9997326712768881E-2</v>
      </c>
      <c r="I384" s="722">
        <f t="shared" si="27"/>
        <v>154.99685683796702</v>
      </c>
      <c r="J384" s="722">
        <f t="shared" si="28"/>
        <v>468.37320458334978</v>
      </c>
      <c r="K384" s="722">
        <f t="shared" si="29"/>
        <v>155.82533321708269</v>
      </c>
    </row>
    <row r="385" spans="1:11">
      <c r="A385" s="719">
        <f t="shared" si="26"/>
        <v>47817</v>
      </c>
      <c r="B385" s="720">
        <f t="shared" si="25"/>
        <v>2031</v>
      </c>
      <c r="C385" s="794"/>
      <c r="D385" s="794"/>
      <c r="E385" s="794"/>
      <c r="F385" s="721">
        <f>IF($A385&lt;DATE(2018,7,1),"-",INDEX('I1 - Universal Data'!$E$16:$V$16, MATCH(YEAR(EOMONTH($A385,6)), 'I1 - Universal Data'!$E$14:$V$14, 0)))</f>
        <v>0.02</v>
      </c>
      <c r="G385" s="721">
        <f>IF($A385&lt;DATE(2018,7,1),"-",INDEX('I1 - Universal Data'!$E$15:$V$15, MATCH(YEAR(EOMONTH($A385,6)), 'I1 - Universal Data'!$E$14:$V$14, 0)))</f>
        <v>0.03</v>
      </c>
      <c r="H385" s="721">
        <f>IF($A385&lt;DATE(2018,7,1),"-",INDEX('I1 - Universal Data'!$E$17:$V$17, MATCH(YEAR(EOMONTH($A385,6)), 'I1 - Universal Data'!$E$14:$V$14, 0)))</f>
        <v>1.9997326712768881E-2</v>
      </c>
      <c r="I385" s="722">
        <f t="shared" si="27"/>
        <v>155.25284674857701</v>
      </c>
      <c r="J385" s="722">
        <f t="shared" si="28"/>
        <v>469.52833925997072</v>
      </c>
      <c r="K385" s="722">
        <f t="shared" si="29"/>
        <v>156.08265733438043</v>
      </c>
    </row>
    <row r="386" spans="1:11">
      <c r="A386" s="719">
        <f t="shared" si="26"/>
        <v>47848</v>
      </c>
      <c r="B386" s="720">
        <f t="shared" si="25"/>
        <v>2031</v>
      </c>
      <c r="C386" s="794"/>
      <c r="D386" s="794"/>
      <c r="E386" s="794"/>
      <c r="F386" s="721">
        <f>IF($A386&lt;DATE(2018,7,1),"-",INDEX('I1 - Universal Data'!$E$16:$V$16, MATCH(YEAR(EOMONTH($A386,6)), 'I1 - Universal Data'!$E$14:$V$14, 0)))</f>
        <v>0.02</v>
      </c>
      <c r="G386" s="721">
        <f>IF($A386&lt;DATE(2018,7,1),"-",INDEX('I1 - Universal Data'!$E$15:$V$15, MATCH(YEAR(EOMONTH($A386,6)), 'I1 - Universal Data'!$E$14:$V$14, 0)))</f>
        <v>0.03</v>
      </c>
      <c r="H386" s="721">
        <f>IF($A386&lt;DATE(2018,7,1),"-",INDEX('I1 - Universal Data'!$E$17:$V$17, MATCH(YEAR(EOMONTH($A386,6)), 'I1 - Universal Data'!$E$14:$V$14, 0)))</f>
        <v>1.9997326712768881E-2</v>
      </c>
      <c r="I386" s="722">
        <f t="shared" si="27"/>
        <v>155.50925944733686</v>
      </c>
      <c r="J386" s="722">
        <f t="shared" si="28"/>
        <v>470.68632281032751</v>
      </c>
      <c r="K386" s="722">
        <f t="shared" si="29"/>
        <v>156.34040638708484</v>
      </c>
    </row>
    <row r="387" spans="1:11">
      <c r="A387" s="719">
        <f t="shared" si="26"/>
        <v>47879</v>
      </c>
      <c r="B387" s="720">
        <f t="shared" si="25"/>
        <v>2031</v>
      </c>
      <c r="C387" s="794"/>
      <c r="D387" s="794"/>
      <c r="E387" s="794"/>
      <c r="F387" s="721">
        <f>IF($A387&lt;DATE(2018,7,1),"-",INDEX('I1 - Universal Data'!$E$16:$V$16, MATCH(YEAR(EOMONTH($A387,6)), 'I1 - Universal Data'!$E$14:$V$14, 0)))</f>
        <v>0.02</v>
      </c>
      <c r="G387" s="721">
        <f>IF($A387&lt;DATE(2018,7,1),"-",INDEX('I1 - Universal Data'!$E$15:$V$15, MATCH(YEAR(EOMONTH($A387,6)), 'I1 - Universal Data'!$E$14:$V$14, 0)))</f>
        <v>0.03</v>
      </c>
      <c r="H387" s="721">
        <f>IF($A387&lt;DATE(2018,7,1),"-",INDEX('I1 - Universal Data'!$E$17:$V$17, MATCH(YEAR(EOMONTH($A387,6)), 'I1 - Universal Data'!$E$14:$V$14, 0)))</f>
        <v>1.9997326712768881E-2</v>
      </c>
      <c r="I387" s="722">
        <f t="shared" si="27"/>
        <v>155.76609563251554</v>
      </c>
      <c r="J387" s="722">
        <f t="shared" si="28"/>
        <v>471.84716226051137</v>
      </c>
      <c r="K387" s="722">
        <f t="shared" si="29"/>
        <v>156.59858107691835</v>
      </c>
    </row>
    <row r="388" spans="1:11">
      <c r="A388" s="719">
        <f t="shared" si="26"/>
        <v>47907</v>
      </c>
      <c r="B388" s="720">
        <f t="shared" si="25"/>
        <v>2031</v>
      </c>
      <c r="C388" s="794"/>
      <c r="D388" s="794"/>
      <c r="E388" s="794"/>
      <c r="F388" s="721">
        <f>IF($A388&lt;DATE(2018,7,1),"-",INDEX('I1 - Universal Data'!$E$16:$V$16, MATCH(YEAR(EOMONTH($A388,6)), 'I1 - Universal Data'!$E$14:$V$14, 0)))</f>
        <v>0.02</v>
      </c>
      <c r="G388" s="721">
        <f>IF($A388&lt;DATE(2018,7,1),"-",INDEX('I1 - Universal Data'!$E$15:$V$15, MATCH(YEAR(EOMONTH($A388,6)), 'I1 - Universal Data'!$E$14:$V$14, 0)))</f>
        <v>0.03</v>
      </c>
      <c r="H388" s="721">
        <f>IF($A388&lt;DATE(2018,7,1),"-",INDEX('I1 - Universal Data'!$E$17:$V$17, MATCH(YEAR(EOMONTH($A388,6)), 'I1 - Universal Data'!$E$14:$V$14, 0)))</f>
        <v>1.9997326712768881E-2</v>
      </c>
      <c r="I388" s="722">
        <f t="shared" si="27"/>
        <v>156.02335600353533</v>
      </c>
      <c r="J388" s="722">
        <f t="shared" si="28"/>
        <v>473.01086465394172</v>
      </c>
      <c r="K388" s="722">
        <f t="shared" si="29"/>
        <v>156.85718210676217</v>
      </c>
    </row>
    <row r="389" spans="1:11">
      <c r="A389" s="719">
        <f t="shared" si="26"/>
        <v>47938</v>
      </c>
      <c r="B389" s="720">
        <f t="shared" si="25"/>
        <v>2031</v>
      </c>
      <c r="C389" s="794"/>
      <c r="D389" s="794"/>
      <c r="E389" s="794"/>
      <c r="F389" s="721">
        <f>IF($A389&lt;DATE(2018,7,1),"-",INDEX('I1 - Universal Data'!$E$16:$V$16, MATCH(YEAR(EOMONTH($A389,6)), 'I1 - Universal Data'!$E$14:$V$14, 0)))</f>
        <v>0.02</v>
      </c>
      <c r="G389" s="721">
        <f>IF($A389&lt;DATE(2018,7,1),"-",INDEX('I1 - Universal Data'!$E$15:$V$15, MATCH(YEAR(EOMONTH($A389,6)), 'I1 - Universal Data'!$E$14:$V$14, 0)))</f>
        <v>0.03</v>
      </c>
      <c r="H389" s="721">
        <f>IF($A389&lt;DATE(2018,7,1),"-",INDEX('I1 - Universal Data'!$E$17:$V$17, MATCH(YEAR(EOMONTH($A389,6)), 'I1 - Universal Data'!$E$14:$V$14, 0)))</f>
        <v>1.9997326712768881E-2</v>
      </c>
      <c r="I389" s="722">
        <f t="shared" si="27"/>
        <v>156.28104126097361</v>
      </c>
      <c r="J389" s="722">
        <f t="shared" si="28"/>
        <v>474.17743705140896</v>
      </c>
      <c r="K389" s="722">
        <f t="shared" si="29"/>
        <v>157.11621018065821</v>
      </c>
    </row>
    <row r="390" spans="1:11">
      <c r="A390" s="719">
        <f t="shared" si="26"/>
        <v>47968</v>
      </c>
      <c r="B390" s="720">
        <f t="shared" ref="B390:B413" si="30">IF(MONTH(A390)&gt;=4,YEAR(A390)+1,YEAR(A390))</f>
        <v>2032</v>
      </c>
      <c r="C390" s="794"/>
      <c r="D390" s="794"/>
      <c r="E390" s="794"/>
      <c r="F390" s="721">
        <f>IF($A390&lt;DATE(2018,7,1),"-",INDEX('I1 - Universal Data'!$E$16:$V$16, MATCH(YEAR(EOMONTH($A390,6)), 'I1 - Universal Data'!$E$14:$V$14, 0)))</f>
        <v>0.02</v>
      </c>
      <c r="G390" s="721">
        <f>IF($A390&lt;DATE(2018,7,1),"-",INDEX('I1 - Universal Data'!$E$15:$V$15, MATCH(YEAR(EOMONTH($A390,6)), 'I1 - Universal Data'!$E$14:$V$14, 0)))</f>
        <v>0.03</v>
      </c>
      <c r="H390" s="721">
        <f>IF($A390&lt;DATE(2018,7,1),"-",INDEX('I1 - Universal Data'!$E$17:$V$17, MATCH(YEAR(EOMONTH($A390,6)), 'I1 - Universal Data'!$E$14:$V$14, 0)))</f>
        <v>1.9997326712768881E-2</v>
      </c>
      <c r="I390" s="722">
        <f t="shared" si="27"/>
        <v>156.53915210656484</v>
      </c>
      <c r="J390" s="722">
        <f t="shared" si="28"/>
        <v>475.34688653111726</v>
      </c>
      <c r="K390" s="722">
        <f t="shared" si="29"/>
        <v>157.37566600381103</v>
      </c>
    </row>
    <row r="391" spans="1:11">
      <c r="A391" s="719">
        <f t="shared" ref="A391:A413" si="31">IF(MONTH(A390) = 12, EOMONTH(DATE(YEAR(A390) + 1, 1, 1), 0), EOMONTH(DATE(YEAR(A390), MONTH(A390) + 1, 1), 0))</f>
        <v>47999</v>
      </c>
      <c r="B391" s="720">
        <f t="shared" si="30"/>
        <v>2032</v>
      </c>
      <c r="C391" s="794"/>
      <c r="D391" s="794"/>
      <c r="E391" s="794"/>
      <c r="F391" s="721">
        <f>IF($A391&lt;DATE(2018,7,1),"-",INDEX('I1 - Universal Data'!$E$16:$V$16, MATCH(YEAR(EOMONTH($A391,6)), 'I1 - Universal Data'!$E$14:$V$14, 0)))</f>
        <v>0.02</v>
      </c>
      <c r="G391" s="721">
        <f>IF($A391&lt;DATE(2018,7,1),"-",INDEX('I1 - Universal Data'!$E$15:$V$15, MATCH(YEAR(EOMONTH($A391,6)), 'I1 - Universal Data'!$E$14:$V$14, 0)))</f>
        <v>0.03</v>
      </c>
      <c r="H391" s="721">
        <f>IF($A391&lt;DATE(2018,7,1),"-",INDEX('I1 - Universal Data'!$E$17:$V$17, MATCH(YEAR(EOMONTH($A391,6)), 'I1 - Universal Data'!$E$14:$V$14, 0)))</f>
        <v>1.9997326712768881E-2</v>
      </c>
      <c r="I391" s="722">
        <f t="shared" ref="I391:I413" si="32">IF(ISBLANK(C391),I390*((1+F391)^(1/12)),C391)</f>
        <v>156.79768924320248</v>
      </c>
      <c r="J391" s="722">
        <f t="shared" ref="J391:J413" si="33">IF(ISBLANK(D391),J390*((1+G391)^(1/12)),D391)</f>
        <v>476.51922018872762</v>
      </c>
      <c r="K391" s="722">
        <f t="shared" ref="K391:K413" si="34">IF(ISBLANK(E391),K390*((1+H391)^(1/12)),E391)</f>
        <v>157.63555028258975</v>
      </c>
    </row>
    <row r="392" spans="1:11">
      <c r="A392" s="719">
        <f t="shared" si="31"/>
        <v>48029</v>
      </c>
      <c r="B392" s="720">
        <f t="shared" si="30"/>
        <v>2032</v>
      </c>
      <c r="C392" s="794"/>
      <c r="D392" s="794"/>
      <c r="E392" s="794"/>
      <c r="F392" s="721">
        <f>IF($A392&lt;DATE(2018,7,1),"-",INDEX('I1 - Universal Data'!$E$16:$V$16, MATCH(YEAR(EOMONTH($A392,6)), 'I1 - Universal Data'!$E$14:$V$14, 0)))</f>
        <v>0.02</v>
      </c>
      <c r="G392" s="721">
        <f>IF($A392&lt;DATE(2018,7,1),"-",INDEX('I1 - Universal Data'!$E$15:$V$15, MATCH(YEAR(EOMONTH($A392,6)), 'I1 - Universal Data'!$E$14:$V$14, 0)))</f>
        <v>0.03</v>
      </c>
      <c r="H392" s="721">
        <f>IF($A392&lt;DATE(2018,7,1),"-",INDEX('I1 - Universal Data'!$E$17:$V$17, MATCH(YEAR(EOMONTH($A392,6)), 'I1 - Universal Data'!$E$14:$V$14, 0)))</f>
        <v>1.9997326712768881E-2</v>
      </c>
      <c r="I392" s="722">
        <f t="shared" si="32"/>
        <v>157.05665337494085</v>
      </c>
      <c r="J392" s="722">
        <f t="shared" si="33"/>
        <v>477.69444513740081</v>
      </c>
      <c r="K392" s="722">
        <f t="shared" si="34"/>
        <v>157.8958637245299</v>
      </c>
    </row>
    <row r="393" spans="1:11">
      <c r="A393" s="719">
        <f t="shared" si="31"/>
        <v>48060</v>
      </c>
      <c r="B393" s="720">
        <f t="shared" si="30"/>
        <v>2032</v>
      </c>
      <c r="C393" s="794"/>
      <c r="D393" s="794"/>
      <c r="E393" s="794"/>
      <c r="F393" s="721">
        <f>IF($A393&lt;DATE(2018,7,1),"-",INDEX('I1 - Universal Data'!$E$16:$V$16, MATCH(YEAR(EOMONTH($A393,6)), 'I1 - Universal Data'!$E$14:$V$14, 0)))</f>
        <v>0.02</v>
      </c>
      <c r="G393" s="721">
        <f>IF($A393&lt;DATE(2018,7,1),"-",INDEX('I1 - Universal Data'!$E$15:$V$15, MATCH(YEAR(EOMONTH($A393,6)), 'I1 - Universal Data'!$E$14:$V$14, 0)))</f>
        <v>0.03</v>
      </c>
      <c r="H393" s="721">
        <f>IF($A393&lt;DATE(2018,7,1),"-",INDEX('I1 - Universal Data'!$E$17:$V$17, MATCH(YEAR(EOMONTH($A393,6)), 'I1 - Universal Data'!$E$14:$V$14, 0)))</f>
        <v>1.9997326712768881E-2</v>
      </c>
      <c r="I393" s="722">
        <f t="shared" si="32"/>
        <v>157.31604520699707</v>
      </c>
      <c r="J393" s="722">
        <f t="shared" si="33"/>
        <v>478.87256850784058</v>
      </c>
      <c r="K393" s="722">
        <f t="shared" si="34"/>
        <v>158.15660703833547</v>
      </c>
    </row>
    <row r="394" spans="1:11">
      <c r="A394" s="719">
        <f t="shared" si="31"/>
        <v>48091</v>
      </c>
      <c r="B394" s="720">
        <f t="shared" si="30"/>
        <v>2032</v>
      </c>
      <c r="C394" s="794"/>
      <c r="D394" s="794"/>
      <c r="E394" s="794"/>
      <c r="F394" s="721">
        <f>IF($A394&lt;DATE(2018,7,1),"-",INDEX('I1 - Universal Data'!$E$16:$V$16, MATCH(YEAR(EOMONTH($A394,6)), 'I1 - Universal Data'!$E$14:$V$14, 0)))</f>
        <v>0.02</v>
      </c>
      <c r="G394" s="721">
        <f>IF($A394&lt;DATE(2018,7,1),"-",INDEX('I1 - Universal Data'!$E$15:$V$15, MATCH(YEAR(EOMONTH($A394,6)), 'I1 - Universal Data'!$E$14:$V$14, 0)))</f>
        <v>0.03</v>
      </c>
      <c r="H394" s="721">
        <f>IF($A394&lt;DATE(2018,7,1),"-",INDEX('I1 - Universal Data'!$E$17:$V$17, MATCH(YEAR(EOMONTH($A394,6)), 'I1 - Universal Data'!$E$14:$V$14, 0)))</f>
        <v>1.9997326712768881E-2</v>
      </c>
      <c r="I394" s="722">
        <f t="shared" si="32"/>
        <v>157.57586544575298</v>
      </c>
      <c r="J394" s="722">
        <f t="shared" si="33"/>
        <v>480.05359744833692</v>
      </c>
      <c r="K394" s="722">
        <f t="shared" si="34"/>
        <v>158.41778093388072</v>
      </c>
    </row>
    <row r="395" spans="1:11">
      <c r="A395" s="719">
        <f t="shared" si="31"/>
        <v>48121</v>
      </c>
      <c r="B395" s="720">
        <f t="shared" si="30"/>
        <v>2032</v>
      </c>
      <c r="C395" s="794"/>
      <c r="D395" s="794"/>
      <c r="E395" s="794"/>
      <c r="F395" s="721">
        <f>IF($A395&lt;DATE(2018,7,1),"-",INDEX('I1 - Universal Data'!$E$16:$V$16, MATCH(YEAR(EOMONTH($A395,6)), 'I1 - Universal Data'!$E$14:$V$14, 0)))</f>
        <v>0.02</v>
      </c>
      <c r="G395" s="721">
        <f>IF($A395&lt;DATE(2018,7,1),"-",INDEX('I1 - Universal Data'!$E$15:$V$15, MATCH(YEAR(EOMONTH($A395,6)), 'I1 - Universal Data'!$E$14:$V$14, 0)))</f>
        <v>0.03</v>
      </c>
      <c r="H395" s="721">
        <f>IF($A395&lt;DATE(2018,7,1),"-",INDEX('I1 - Universal Data'!$E$17:$V$17, MATCH(YEAR(EOMONTH($A395,6)), 'I1 - Universal Data'!$E$14:$V$14, 0)))</f>
        <v>1.9997326712768881E-2</v>
      </c>
      <c r="I395" s="722">
        <f t="shared" si="32"/>
        <v>157.83611479875708</v>
      </c>
      <c r="J395" s="722">
        <f t="shared" si="33"/>
        <v>481.23753912480942</v>
      </c>
      <c r="K395" s="722">
        <f t="shared" si="34"/>
        <v>158.67938612221224</v>
      </c>
    </row>
    <row r="396" spans="1:11">
      <c r="A396" s="719">
        <f t="shared" si="31"/>
        <v>48152</v>
      </c>
      <c r="B396" s="720">
        <f t="shared" si="30"/>
        <v>2032</v>
      </c>
      <c r="C396" s="794"/>
      <c r="D396" s="794"/>
      <c r="E396" s="794"/>
      <c r="F396" s="721">
        <f>IF($A396&lt;DATE(2018,7,1),"-",INDEX('I1 - Universal Data'!$E$16:$V$16, MATCH(YEAR(EOMONTH($A396,6)), 'I1 - Universal Data'!$E$14:$V$14, 0)))</f>
        <v>0.02</v>
      </c>
      <c r="G396" s="721">
        <f>IF($A396&lt;DATE(2018,7,1),"-",INDEX('I1 - Universal Data'!$E$15:$V$15, MATCH(YEAR(EOMONTH($A396,6)), 'I1 - Universal Data'!$E$14:$V$14, 0)))</f>
        <v>0.03</v>
      </c>
      <c r="H396" s="721">
        <f>IF($A396&lt;DATE(2018,7,1),"-",INDEX('I1 - Universal Data'!$E$17:$V$17, MATCH(YEAR(EOMONTH($A396,6)), 'I1 - Universal Data'!$E$14:$V$14, 0)))</f>
        <v>1.9997326712768881E-2</v>
      </c>
      <c r="I396" s="722">
        <f t="shared" si="32"/>
        <v>158.09679397472644</v>
      </c>
      <c r="J396" s="722">
        <f t="shared" si="33"/>
        <v>482.42440072085077</v>
      </c>
      <c r="K396" s="722">
        <f t="shared" si="34"/>
        <v>158.94142331555076</v>
      </c>
    </row>
    <row r="397" spans="1:11">
      <c r="A397" s="719">
        <f t="shared" si="31"/>
        <v>48182</v>
      </c>
      <c r="B397" s="720">
        <f t="shared" si="30"/>
        <v>2032</v>
      </c>
      <c r="C397" s="794"/>
      <c r="D397" s="794"/>
      <c r="E397" s="794"/>
      <c r="F397" s="721">
        <f>IF($A397&lt;DATE(2018,7,1),"-",INDEX('I1 - Universal Data'!$E$16:$V$16, MATCH(YEAR(EOMONTH($A397,6)), 'I1 - Universal Data'!$E$14:$V$14, 0)))</f>
        <v>0.02</v>
      </c>
      <c r="G397" s="721">
        <f>IF($A397&lt;DATE(2018,7,1),"-",INDEX('I1 - Universal Data'!$E$15:$V$15, MATCH(YEAR(EOMONTH($A397,6)), 'I1 - Universal Data'!$E$14:$V$14, 0)))</f>
        <v>0.03</v>
      </c>
      <c r="H397" s="721">
        <f>IF($A397&lt;DATE(2018,7,1),"-",INDEX('I1 - Universal Data'!$E$17:$V$17, MATCH(YEAR(EOMONTH($A397,6)), 'I1 - Universal Data'!$E$14:$V$14, 0)))</f>
        <v>1.9997326712768881E-2</v>
      </c>
      <c r="I397" s="722">
        <f t="shared" si="32"/>
        <v>158.35790368354864</v>
      </c>
      <c r="J397" s="722">
        <f t="shared" si="33"/>
        <v>483.61418943777034</v>
      </c>
      <c r="K397" s="722">
        <f t="shared" si="34"/>
        <v>159.20389322729318</v>
      </c>
    </row>
    <row r="398" spans="1:11">
      <c r="A398" s="719">
        <f t="shared" si="31"/>
        <v>48213</v>
      </c>
      <c r="B398" s="720">
        <f t="shared" si="30"/>
        <v>2032</v>
      </c>
      <c r="C398" s="794"/>
      <c r="D398" s="794"/>
      <c r="E398" s="794"/>
      <c r="F398" s="721">
        <f>IF($A398&lt;DATE(2018,7,1),"-",INDEX('I1 - Universal Data'!$E$16:$V$16, MATCH(YEAR(EOMONTH($A398,6)), 'I1 - Universal Data'!$E$14:$V$14, 0)))</f>
        <v>0.02</v>
      </c>
      <c r="G398" s="721">
        <f>IF($A398&lt;DATE(2018,7,1),"-",INDEX('I1 - Universal Data'!$E$15:$V$15, MATCH(YEAR(EOMONTH($A398,6)), 'I1 - Universal Data'!$E$14:$V$14, 0)))</f>
        <v>0.03</v>
      </c>
      <c r="H398" s="721">
        <f>IF($A398&lt;DATE(2018,7,1),"-",INDEX('I1 - Universal Data'!$E$17:$V$17, MATCH(YEAR(EOMONTH($A398,6)), 'I1 - Universal Data'!$E$14:$V$14, 0)))</f>
        <v>1.9997326712768881E-2</v>
      </c>
      <c r="I398" s="722">
        <f t="shared" si="32"/>
        <v>158.61944463628367</v>
      </c>
      <c r="J398" s="722">
        <f t="shared" si="33"/>
        <v>484.80691249463786</v>
      </c>
      <c r="K398" s="722">
        <f t="shared" si="34"/>
        <v>159.46679657201443</v>
      </c>
    </row>
    <row r="399" spans="1:11">
      <c r="A399" s="719">
        <f t="shared" si="31"/>
        <v>48244</v>
      </c>
      <c r="B399" s="720">
        <f t="shared" si="30"/>
        <v>2032</v>
      </c>
      <c r="C399" s="794"/>
      <c r="D399" s="794"/>
      <c r="E399" s="794"/>
      <c r="F399" s="721">
        <f>IF($A399&lt;DATE(2018,7,1),"-",INDEX('I1 - Universal Data'!$E$16:$V$16, MATCH(YEAR(EOMONTH($A399,6)), 'I1 - Universal Data'!$E$14:$V$14, 0)))</f>
        <v>0.02</v>
      </c>
      <c r="G399" s="721">
        <f>IF($A399&lt;DATE(2018,7,1),"-",INDEX('I1 - Universal Data'!$E$15:$V$15, MATCH(YEAR(EOMONTH($A399,6)), 'I1 - Universal Data'!$E$14:$V$14, 0)))</f>
        <v>0.03</v>
      </c>
      <c r="H399" s="721">
        <f>IF($A399&lt;DATE(2018,7,1),"-",INDEX('I1 - Universal Data'!$E$17:$V$17, MATCH(YEAR(EOMONTH($A399,6)), 'I1 - Universal Data'!$E$14:$V$14, 0)))</f>
        <v>1.9997326712768881E-2</v>
      </c>
      <c r="I399" s="722">
        <f t="shared" si="32"/>
        <v>158.88141754516593</v>
      </c>
      <c r="J399" s="722">
        <f t="shared" si="33"/>
        <v>486.00257712832723</v>
      </c>
      <c r="K399" s="722">
        <f t="shared" si="34"/>
        <v>159.73013406546951</v>
      </c>
    </row>
    <row r="400" spans="1:11">
      <c r="A400" s="719">
        <f t="shared" si="31"/>
        <v>48273</v>
      </c>
      <c r="B400" s="720">
        <f t="shared" si="30"/>
        <v>2032</v>
      </c>
      <c r="C400" s="794"/>
      <c r="D400" s="794"/>
      <c r="E400" s="794"/>
      <c r="F400" s="721">
        <f>IF($A400&lt;DATE(2018,7,1),"-",INDEX('I1 - Universal Data'!$E$16:$V$16, MATCH(YEAR(EOMONTH($A400,6)), 'I1 - Universal Data'!$E$14:$V$14, 0)))</f>
        <v>0.02</v>
      </c>
      <c r="G400" s="721">
        <f>IF($A400&lt;DATE(2018,7,1),"-",INDEX('I1 - Universal Data'!$E$15:$V$15, MATCH(YEAR(EOMONTH($A400,6)), 'I1 - Universal Data'!$E$14:$V$14, 0)))</f>
        <v>0.03</v>
      </c>
      <c r="H400" s="721">
        <f>IF($A400&lt;DATE(2018,7,1),"-",INDEX('I1 - Universal Data'!$E$17:$V$17, MATCH(YEAR(EOMONTH($A400,6)), 'I1 - Universal Data'!$E$14:$V$14, 0)))</f>
        <v>1.9997326712768881E-2</v>
      </c>
      <c r="I400" s="722">
        <f t="shared" si="32"/>
        <v>159.1438231236061</v>
      </c>
      <c r="J400" s="722">
        <f t="shared" si="33"/>
        <v>487.20119059356051</v>
      </c>
      <c r="K400" s="722">
        <f t="shared" si="34"/>
        <v>159.99390642459539</v>
      </c>
    </row>
    <row r="401" spans="1:11">
      <c r="A401" s="719">
        <f t="shared" si="31"/>
        <v>48304</v>
      </c>
      <c r="B401" s="720">
        <f t="shared" si="30"/>
        <v>2032</v>
      </c>
      <c r="C401" s="794"/>
      <c r="D401" s="794"/>
      <c r="E401" s="794"/>
      <c r="F401" s="721">
        <f>IF($A401&lt;DATE(2018,7,1),"-",INDEX('I1 - Universal Data'!$E$16:$V$16, MATCH(YEAR(EOMONTH($A401,6)), 'I1 - Universal Data'!$E$14:$V$14, 0)))</f>
        <v>0.02</v>
      </c>
      <c r="G401" s="721">
        <f>IF($A401&lt;DATE(2018,7,1),"-",INDEX('I1 - Universal Data'!$E$15:$V$15, MATCH(YEAR(EOMONTH($A401,6)), 'I1 - Universal Data'!$E$14:$V$14, 0)))</f>
        <v>0.03</v>
      </c>
      <c r="H401" s="721">
        <f>IF($A401&lt;DATE(2018,7,1),"-",INDEX('I1 - Universal Data'!$E$17:$V$17, MATCH(YEAR(EOMONTH($A401,6)), 'I1 - Universal Data'!$E$14:$V$14, 0)))</f>
        <v>1.9997326712768881E-2</v>
      </c>
      <c r="I401" s="722">
        <f t="shared" si="32"/>
        <v>159.40666208619314</v>
      </c>
      <c r="J401" s="722">
        <f t="shared" si="33"/>
        <v>488.40276016295178</v>
      </c>
      <c r="K401" s="722">
        <f t="shared" si="34"/>
        <v>160.25811436751292</v>
      </c>
    </row>
    <row r="402" spans="1:11">
      <c r="A402" s="719">
        <f t="shared" si="31"/>
        <v>48334</v>
      </c>
      <c r="B402" s="720">
        <f t="shared" si="30"/>
        <v>2033</v>
      </c>
      <c r="C402" s="794"/>
      <c r="D402" s="794"/>
      <c r="E402" s="794"/>
      <c r="F402" s="721">
        <f>IF($A402&lt;DATE(2018,7,1),"-",INDEX('I1 - Universal Data'!$E$16:$V$16, MATCH(YEAR(EOMONTH($A402,6)), 'I1 - Universal Data'!$E$14:$V$14, 0)))</f>
        <v>0.02</v>
      </c>
      <c r="G402" s="721">
        <f>IF($A402&lt;DATE(2018,7,1),"-",INDEX('I1 - Universal Data'!$E$15:$V$15, MATCH(YEAR(EOMONTH($A402,6)), 'I1 - Universal Data'!$E$14:$V$14, 0)))</f>
        <v>0.03</v>
      </c>
      <c r="H402" s="721">
        <f>IF($A402&lt;DATE(2018,7,1),"-",INDEX('I1 - Universal Data'!$E$17:$V$17, MATCH(YEAR(EOMONTH($A402,6)), 'I1 - Universal Data'!$E$14:$V$14, 0)))</f>
        <v>1.9997326712768881E-2</v>
      </c>
      <c r="I402" s="722">
        <f t="shared" si="32"/>
        <v>159.6699351486962</v>
      </c>
      <c r="J402" s="722">
        <f t="shared" si="33"/>
        <v>489.60729312705138</v>
      </c>
      <c r="K402" s="722">
        <f t="shared" si="34"/>
        <v>160.52275861352888</v>
      </c>
    </row>
    <row r="403" spans="1:11">
      <c r="A403" s="719">
        <f t="shared" si="31"/>
        <v>48365</v>
      </c>
      <c r="B403" s="720">
        <f t="shared" si="30"/>
        <v>2033</v>
      </c>
      <c r="C403" s="794"/>
      <c r="D403" s="794"/>
      <c r="E403" s="794"/>
      <c r="F403" s="721">
        <f>IF($A403&lt;DATE(2018,7,1),"-",INDEX('I1 - Universal Data'!$E$16:$V$16, MATCH(YEAR(EOMONTH($A403,6)), 'I1 - Universal Data'!$E$14:$V$14, 0)))</f>
        <v>0.02</v>
      </c>
      <c r="G403" s="721">
        <f>IF($A403&lt;DATE(2018,7,1),"-",INDEX('I1 - Universal Data'!$E$15:$V$15, MATCH(YEAR(EOMONTH($A403,6)), 'I1 - Universal Data'!$E$14:$V$14, 0)))</f>
        <v>0.03</v>
      </c>
      <c r="H403" s="721">
        <f>IF($A403&lt;DATE(2018,7,1),"-",INDEX('I1 - Universal Data'!$E$17:$V$17, MATCH(YEAR(EOMONTH($A403,6)), 'I1 - Universal Data'!$E$14:$V$14, 0)))</f>
        <v>1.9997326712768881E-2</v>
      </c>
      <c r="I403" s="722">
        <f t="shared" si="32"/>
        <v>159.9336430280666</v>
      </c>
      <c r="J403" s="722">
        <f t="shared" si="33"/>
        <v>490.81479679439008</v>
      </c>
      <c r="K403" s="722">
        <f t="shared" si="34"/>
        <v>160.78783988313782</v>
      </c>
    </row>
    <row r="404" spans="1:11">
      <c r="A404" s="719">
        <f t="shared" si="31"/>
        <v>48395</v>
      </c>
      <c r="B404" s="720">
        <f t="shared" si="30"/>
        <v>2033</v>
      </c>
      <c r="C404" s="794"/>
      <c r="D404" s="794"/>
      <c r="E404" s="794"/>
      <c r="F404" s="721">
        <f>IF($A404&lt;DATE(2018,7,1),"-",INDEX('I1 - Universal Data'!$E$16:$V$16, MATCH(YEAR(EOMONTH($A404,6)), 'I1 - Universal Data'!$E$14:$V$14, 0)))</f>
        <v>0.02</v>
      </c>
      <c r="G404" s="721">
        <f>IF($A404&lt;DATE(2018,7,1),"-",INDEX('I1 - Universal Data'!$E$15:$V$15, MATCH(YEAR(EOMONTH($A404,6)), 'I1 - Universal Data'!$E$14:$V$14, 0)))</f>
        <v>0.03</v>
      </c>
      <c r="H404" s="721">
        <f>IF($A404&lt;DATE(2018,7,1),"-",INDEX('I1 - Universal Data'!$E$17:$V$17, MATCH(YEAR(EOMONTH($A404,6)), 'I1 - Universal Data'!$E$14:$V$14, 0)))</f>
        <v>1.9997326712768881E-2</v>
      </c>
      <c r="I404" s="722">
        <f t="shared" si="32"/>
        <v>160.19778644243974</v>
      </c>
      <c r="J404" s="722">
        <f t="shared" si="33"/>
        <v>492.02527849152347</v>
      </c>
      <c r="K404" s="722">
        <f t="shared" si="34"/>
        <v>161.05335889802416</v>
      </c>
    </row>
    <row r="405" spans="1:11">
      <c r="A405" s="719">
        <f t="shared" si="31"/>
        <v>48426</v>
      </c>
      <c r="B405" s="720">
        <f t="shared" si="30"/>
        <v>2033</v>
      </c>
      <c r="C405" s="794"/>
      <c r="D405" s="794"/>
      <c r="E405" s="794"/>
      <c r="F405" s="721">
        <f>IF($A405&lt;DATE(2018,7,1),"-",INDEX('I1 - Universal Data'!$E$16:$V$16, MATCH(YEAR(EOMONTH($A405,6)), 'I1 - Universal Data'!$E$14:$V$14, 0)))</f>
        <v>0.02</v>
      </c>
      <c r="G405" s="721">
        <f>IF($A405&lt;DATE(2018,7,1),"-",INDEX('I1 - Universal Data'!$E$15:$V$15, MATCH(YEAR(EOMONTH($A405,6)), 'I1 - Universal Data'!$E$14:$V$14, 0)))</f>
        <v>0.03</v>
      </c>
      <c r="H405" s="721">
        <f>IF($A405&lt;DATE(2018,7,1),"-",INDEX('I1 - Universal Data'!$E$17:$V$17, MATCH(YEAR(EOMONTH($A405,6)), 'I1 - Universal Data'!$E$14:$V$14, 0)))</f>
        <v>1.9997326712768881E-2</v>
      </c>
      <c r="I405" s="722">
        <f t="shared" si="32"/>
        <v>160.46236611113707</v>
      </c>
      <c r="J405" s="722">
        <f t="shared" si="33"/>
        <v>493.23874556307641</v>
      </c>
      <c r="K405" s="722">
        <f t="shared" si="34"/>
        <v>161.31931638106406</v>
      </c>
    </row>
    <row r="406" spans="1:11">
      <c r="A406" s="719">
        <f t="shared" si="31"/>
        <v>48457</v>
      </c>
      <c r="B406" s="720">
        <f t="shared" si="30"/>
        <v>2033</v>
      </c>
      <c r="C406" s="794"/>
      <c r="D406" s="794"/>
      <c r="E406" s="794"/>
      <c r="F406" s="721">
        <f>IF($A406&lt;DATE(2018,7,1),"-",INDEX('I1 - Universal Data'!$E$16:$V$16, MATCH(YEAR(EOMONTH($A406,6)), 'I1 - Universal Data'!$E$14:$V$14, 0)))</f>
        <v>0.02</v>
      </c>
      <c r="G406" s="721">
        <f>IF($A406&lt;DATE(2018,7,1),"-",INDEX('I1 - Universal Data'!$E$15:$V$15, MATCH(YEAR(EOMONTH($A406,6)), 'I1 - Universal Data'!$E$14:$V$14, 0)))</f>
        <v>0.03</v>
      </c>
      <c r="H406" s="721">
        <f>IF($A406&lt;DATE(2018,7,1),"-",INDEX('I1 - Universal Data'!$E$17:$V$17, MATCH(YEAR(EOMONTH($A406,6)), 'I1 - Universal Data'!$E$14:$V$14, 0)))</f>
        <v>1.9997326712768881E-2</v>
      </c>
      <c r="I406" s="722">
        <f t="shared" si="32"/>
        <v>160.7273827546681</v>
      </c>
      <c r="J406" s="722">
        <f t="shared" si="33"/>
        <v>494.4552053717876</v>
      </c>
      <c r="K406" s="722">
        <f t="shared" si="34"/>
        <v>161.58571305632739</v>
      </c>
    </row>
    <row r="407" spans="1:11">
      <c r="A407" s="719">
        <f t="shared" si="31"/>
        <v>48487</v>
      </c>
      <c r="B407" s="720">
        <f t="shared" si="30"/>
        <v>2033</v>
      </c>
      <c r="C407" s="794"/>
      <c r="D407" s="794"/>
      <c r="E407" s="794"/>
      <c r="F407" s="721">
        <f>IF($A407&lt;DATE(2018,7,1),"-",INDEX('I1 - Universal Data'!$E$16:$V$16, MATCH(YEAR(EOMONTH($A407,6)), 'I1 - Universal Data'!$E$14:$V$14, 0)))</f>
        <v>0.02</v>
      </c>
      <c r="G407" s="721">
        <f>IF($A407&lt;DATE(2018,7,1),"-",INDEX('I1 - Universal Data'!$E$15:$V$15, MATCH(YEAR(EOMONTH($A407,6)), 'I1 - Universal Data'!$E$14:$V$14, 0)))</f>
        <v>0.03</v>
      </c>
      <c r="H407" s="721">
        <f>IF($A407&lt;DATE(2018,7,1),"-",INDEX('I1 - Universal Data'!$E$17:$V$17, MATCH(YEAR(EOMONTH($A407,6)), 'I1 - Universal Data'!$E$14:$V$14, 0)))</f>
        <v>1.9997326712768881E-2</v>
      </c>
      <c r="I407" s="722">
        <f t="shared" si="32"/>
        <v>160.99283709473229</v>
      </c>
      <c r="J407" s="722">
        <f t="shared" si="33"/>
        <v>495.67466529855426</v>
      </c>
      <c r="K407" s="722">
        <f t="shared" si="34"/>
        <v>161.85254964907972</v>
      </c>
    </row>
    <row r="408" spans="1:11">
      <c r="A408" s="719">
        <f t="shared" si="31"/>
        <v>48518</v>
      </c>
      <c r="B408" s="720">
        <f t="shared" si="30"/>
        <v>2033</v>
      </c>
      <c r="C408" s="794"/>
      <c r="D408" s="794"/>
      <c r="E408" s="794"/>
      <c r="F408" s="721">
        <f>IF($A408&lt;DATE(2018,7,1),"-",INDEX('I1 - Universal Data'!$E$16:$V$16, MATCH(YEAR(EOMONTH($A408,6)), 'I1 - Universal Data'!$E$14:$V$14, 0)))</f>
        <v>0.02</v>
      </c>
      <c r="G408" s="721">
        <f>IF($A408&lt;DATE(2018,7,1),"-",INDEX('I1 - Universal Data'!$E$15:$V$15, MATCH(YEAR(EOMONTH($A408,6)), 'I1 - Universal Data'!$E$14:$V$14, 0)))</f>
        <v>0.03</v>
      </c>
      <c r="H408" s="721">
        <f>IF($A408&lt;DATE(2018,7,1),"-",INDEX('I1 - Universal Data'!$E$17:$V$17, MATCH(YEAR(EOMONTH($A408,6)), 'I1 - Universal Data'!$E$14:$V$14, 0)))</f>
        <v>1.9997326712768881E-2</v>
      </c>
      <c r="I408" s="722">
        <f t="shared" si="32"/>
        <v>161.25872985422103</v>
      </c>
      <c r="J408" s="722">
        <f t="shared" si="33"/>
        <v>496.89713274247686</v>
      </c>
      <c r="K408" s="722">
        <f t="shared" si="34"/>
        <v>162.11982688578433</v>
      </c>
    </row>
    <row r="409" spans="1:11">
      <c r="A409" s="719">
        <f t="shared" si="31"/>
        <v>48548</v>
      </c>
      <c r="B409" s="720">
        <f t="shared" si="30"/>
        <v>2033</v>
      </c>
      <c r="C409" s="794"/>
      <c r="D409" s="794"/>
      <c r="E409" s="794"/>
      <c r="F409" s="721">
        <f>IF($A409&lt;DATE(2018,7,1),"-",INDEX('I1 - Universal Data'!$E$16:$V$16, MATCH(YEAR(EOMONTH($A409,6)), 'I1 - Universal Data'!$E$14:$V$14, 0)))</f>
        <v>0.02</v>
      </c>
      <c r="G409" s="721">
        <f>IF($A409&lt;DATE(2018,7,1),"-",INDEX('I1 - Universal Data'!$E$15:$V$15, MATCH(YEAR(EOMONTH($A409,6)), 'I1 - Universal Data'!$E$14:$V$14, 0)))</f>
        <v>0.03</v>
      </c>
      <c r="H409" s="721">
        <f>IF($A409&lt;DATE(2018,7,1),"-",INDEX('I1 - Universal Data'!$E$17:$V$17, MATCH(YEAR(EOMONTH($A409,6)), 'I1 - Universal Data'!$E$14:$V$14, 0)))</f>
        <v>1.9997326712768881E-2</v>
      </c>
      <c r="I409" s="722">
        <f t="shared" si="32"/>
        <v>161.52506175721967</v>
      </c>
      <c r="J409" s="722">
        <f t="shared" si="33"/>
        <v>498.12261512090402</v>
      </c>
      <c r="K409" s="722">
        <f t="shared" si="34"/>
        <v>162.38754549410413</v>
      </c>
    </row>
    <row r="410" spans="1:11">
      <c r="A410" s="719">
        <f t="shared" si="31"/>
        <v>48579</v>
      </c>
      <c r="B410" s="720">
        <f t="shared" si="30"/>
        <v>2033</v>
      </c>
      <c r="C410" s="794"/>
      <c r="D410" s="794"/>
      <c r="E410" s="794"/>
      <c r="F410" s="721">
        <f>IF($A410&lt;DATE(2018,7,1),"-",INDEX('I1 - Universal Data'!$E$16:$V$16, MATCH(YEAR(EOMONTH($A410,6)), 'I1 - Universal Data'!$E$14:$V$14, 0)))</f>
        <v>0.02</v>
      </c>
      <c r="G410" s="721">
        <f>IF($A410&lt;DATE(2018,7,1),"-",INDEX('I1 - Universal Data'!$E$15:$V$15, MATCH(YEAR(EOMONTH($A410,6)), 'I1 - Universal Data'!$E$14:$V$14, 0)))</f>
        <v>0.03</v>
      </c>
      <c r="H410" s="721">
        <f>IF($A410&lt;DATE(2018,7,1),"-",INDEX('I1 - Universal Data'!$E$17:$V$17, MATCH(YEAR(EOMONTH($A410,6)), 'I1 - Universal Data'!$E$14:$V$14, 0)))</f>
        <v>1.9997326712768881E-2</v>
      </c>
      <c r="I410" s="722">
        <f t="shared" si="32"/>
        <v>161.79183352900941</v>
      </c>
      <c r="J410" s="722">
        <f t="shared" si="33"/>
        <v>499.35111986947754</v>
      </c>
      <c r="K410" s="722">
        <f t="shared" si="34"/>
        <v>162.65570620290364</v>
      </c>
    </row>
    <row r="411" spans="1:11">
      <c r="A411" s="719">
        <f t="shared" si="31"/>
        <v>48610</v>
      </c>
      <c r="B411" s="720">
        <f t="shared" si="30"/>
        <v>2033</v>
      </c>
      <c r="C411" s="794"/>
      <c r="D411" s="794"/>
      <c r="E411" s="794"/>
      <c r="F411" s="721">
        <f>IF($A411&lt;DATE(2018,7,1),"-",INDEX('I1 - Universal Data'!$E$16:$V$16, MATCH(YEAR(EOMONTH($A411,6)), 'I1 - Universal Data'!$E$14:$V$14, 0)))</f>
        <v>0.02</v>
      </c>
      <c r="G411" s="721">
        <f>IF($A411&lt;DATE(2018,7,1),"-",INDEX('I1 - Universal Data'!$E$15:$V$15, MATCH(YEAR(EOMONTH($A411,6)), 'I1 - Universal Data'!$E$14:$V$14, 0)))</f>
        <v>0.03</v>
      </c>
      <c r="H411" s="721">
        <f>IF($A411&lt;DATE(2018,7,1),"-",INDEX('I1 - Universal Data'!$E$17:$V$17, MATCH(YEAR(EOMONTH($A411,6)), 'I1 - Universal Data'!$E$14:$V$14, 0)))</f>
        <v>1.9997326712768881E-2</v>
      </c>
      <c r="I411" s="722">
        <f t="shared" si="32"/>
        <v>162.05904589606931</v>
      </c>
      <c r="J411" s="722">
        <f t="shared" si="33"/>
        <v>500.58265444217761</v>
      </c>
      <c r="K411" s="722">
        <f t="shared" si="34"/>
        <v>162.92430974225107</v>
      </c>
    </row>
    <row r="412" spans="1:11">
      <c r="A412" s="719">
        <f t="shared" si="31"/>
        <v>48638</v>
      </c>
      <c r="B412" s="720">
        <f t="shared" si="30"/>
        <v>2033</v>
      </c>
      <c r="C412" s="714"/>
      <c r="D412" s="714"/>
      <c r="E412" s="714"/>
      <c r="F412" s="721">
        <f>IF($A412&lt;DATE(2018,7,1),"-",INDEX('I1 - Universal Data'!$E$16:$V$16, MATCH(YEAR(EOMONTH($A412,6)), 'I1 - Universal Data'!$E$14:$V$14, 0)))</f>
        <v>0.02</v>
      </c>
      <c r="G412" s="721">
        <f>IF($A412&lt;DATE(2018,7,1),"-",INDEX('I1 - Universal Data'!$E$15:$V$15, MATCH(YEAR(EOMONTH($A412,6)), 'I1 - Universal Data'!$E$14:$V$14, 0)))</f>
        <v>0.03</v>
      </c>
      <c r="H412" s="721">
        <f>IF($A412&lt;DATE(2018,7,1),"-",INDEX('I1 - Universal Data'!$E$17:$V$17, MATCH(YEAR(EOMONTH($A412,6)), 'I1 - Universal Data'!$E$14:$V$14, 0)))</f>
        <v>1.9997326712768881E-2</v>
      </c>
      <c r="I412" s="722">
        <f t="shared" si="32"/>
        <v>162.32669958607829</v>
      </c>
      <c r="J412" s="722">
        <f t="shared" si="33"/>
        <v>501.8172263113679</v>
      </c>
      <c r="K412" s="722">
        <f t="shared" si="34"/>
        <v>163.19335684342019</v>
      </c>
    </row>
    <row r="413" spans="1:11">
      <c r="A413" s="719">
        <f t="shared" si="31"/>
        <v>48669</v>
      </c>
      <c r="B413" s="720">
        <f t="shared" si="30"/>
        <v>2033</v>
      </c>
      <c r="C413" s="714"/>
      <c r="D413" s="714"/>
      <c r="E413" s="714"/>
      <c r="F413" s="721">
        <f>IF($A413&lt;DATE(2018,7,1),"-",INDEX('I1 - Universal Data'!$E$16:$V$16, MATCH(YEAR(EOMONTH($A413,6)), 'I1 - Universal Data'!$E$14:$V$14, 0)))</f>
        <v>0.02</v>
      </c>
      <c r="G413" s="721">
        <f>IF($A413&lt;DATE(2018,7,1),"-",INDEX('I1 - Universal Data'!$E$15:$V$15, MATCH(YEAR(EOMONTH($A413,6)), 'I1 - Universal Data'!$E$14:$V$14, 0)))</f>
        <v>0.03</v>
      </c>
      <c r="H413" s="721">
        <f>IF($A413&lt;DATE(2018,7,1),"-",INDEX('I1 - Universal Data'!$E$17:$V$17, MATCH(YEAR(EOMONTH($A413,6)), 'I1 - Universal Data'!$E$14:$V$14, 0)))</f>
        <v>1.9997326712768881E-2</v>
      </c>
      <c r="I413" s="722">
        <f t="shared" si="32"/>
        <v>162.59479532791707</v>
      </c>
      <c r="J413" s="722">
        <f t="shared" si="33"/>
        <v>503.0548429678409</v>
      </c>
      <c r="K413" s="722">
        <f t="shared" si="34"/>
        <v>163.46284823889235</v>
      </c>
    </row>
    <row r="414" spans="1:11">
      <c r="A414" s="709"/>
    </row>
    <row r="415" spans="1:11">
      <c r="A415" s="709"/>
    </row>
    <row r="416" spans="1:11" hidden="1">
      <c r="A416" s="709"/>
    </row>
    <row r="417" spans="1:1" hidden="1">
      <c r="A417" s="709"/>
    </row>
    <row r="418" spans="1:1" hidden="1">
      <c r="A418" s="709"/>
    </row>
    <row r="419" spans="1:1" hidden="1">
      <c r="A419" s="709"/>
    </row>
    <row r="420" spans="1:1" hidden="1">
      <c r="A420" s="709"/>
    </row>
    <row r="421" spans="1:1" hidden="1">
      <c r="A421" s="709"/>
    </row>
    <row r="422" spans="1:1" hidden="1">
      <c r="A422" s="709"/>
    </row>
    <row r="423" spans="1:1" hidden="1">
      <c r="A423" s="709"/>
    </row>
    <row r="424" spans="1:1" hidden="1">
      <c r="A424" s="709"/>
    </row>
    <row r="425" spans="1:1" hidden="1">
      <c r="A425" s="709"/>
    </row>
    <row r="426" spans="1:1" hidden="1">
      <c r="A426" s="709"/>
    </row>
    <row r="427" spans="1:1" hidden="1">
      <c r="A427" s="709"/>
    </row>
    <row r="428" spans="1:1" hidden="1">
      <c r="A428" s="709"/>
    </row>
    <row r="429" spans="1:1"/>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91e9d3178b0913f320655df5bbf4e546">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1d11cfb487c2823afc117963230ec203"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TaxCatchAll xmlns="d66eba0d-a2b9-4833-9603-ab5d8f45883c" xsi:nil="true"/>
    <PublicationRequestID xmlns="3ffacce4-957f-4f0a-910f-9efe2ecf512c">3421</PublicationRequestID>
    <DocumentTitle xmlns="3ffacce4-957f-4f0a-910f-9efe2ecf512c">RIIO-2-RFPR-template-v.5.0</DocumentTitle>
    <DocumentRank xmlns="3ffacce4-957f-4f0a-910f-9efe2ecf512c">Subsidiary</DocumentRank>
  </documentManagement>
</p:properties>
</file>

<file path=customXml/item3.xml>��
</file>

<file path=customXml/item4.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461F91-6CFF-401B-BCAB-944F436835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285FE4-1466-4BF7-8FA9-67F63A3D57B8}">
  <ds:schemaRefs>
    <ds:schemaRef ds:uri="http://schemas.microsoft.com/office/2006/metadata/properties"/>
    <ds:schemaRef ds:uri="http://schemas.microsoft.com/office/infopath/2007/PartnerControls"/>
    <ds:schemaRef ds:uri="http://schemas.microsoft.com/sharepoint/v3"/>
    <ds:schemaRef ds:uri="3ffacce4-957f-4f0a-910f-9efe2ecf512c"/>
    <ds:schemaRef ds:uri="d66eba0d-a2b9-4833-9603-ab5d8f45883c"/>
  </ds:schemaRefs>
</ds:datastoreItem>
</file>

<file path=customXml/itemProps3.xml><?xml version="1.0" encoding="utf-8"?>
<ds:datastoreItem xmlns:ds="http://schemas.openxmlformats.org/officeDocument/2006/customXml" ds:itemID="{ED8114B6-BDD8-4CB5-AA20-4A909702B5CF}">
  <ds:schemaRefs>
    <ds:schemaRef ds:uri="http://schemas.microsoft.com/DataMashup"/>
  </ds:schemaRefs>
</ds:datastoreItem>
</file>

<file path=customXml/itemProps4.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customXml/itemProps5.xml><?xml version="1.0" encoding="utf-8"?>
<ds:datastoreItem xmlns:ds="http://schemas.openxmlformats.org/officeDocument/2006/customXml" ds:itemID="{0F84B15B-8890-4BBF-8F1F-B67789940F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64</vt:i4>
      </vt:variant>
    </vt:vector>
  </HeadingPairs>
  <TitlesOfParts>
    <vt:vector size="81"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Input sheets for R5a and R6a&gt;&gt;&gt;</vt:lpstr>
      <vt:lpstr>I1 - Universal Data</vt:lpstr>
      <vt:lpstr>I2 - Monthly Inflation</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Macpherson, Scott</cp:lastModifiedBy>
  <cp:revision/>
  <dcterms:created xsi:type="dcterms:W3CDTF">2018-06-13T08:32:09Z</dcterms:created>
  <dcterms:modified xsi:type="dcterms:W3CDTF">2026-09-29T09:30:04Z</dcterms:modified>
  <cp:category/>
  <cp:contentStatus>Draft</cp:contentStatus>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0x010100D7C6947C0F765F428416B2828D309B65</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Sensitivity">
    <vt:lpwstr>Strictly Confidential</vt:lpwstr>
  </property>
  <property fmtid="{D5CDD505-2E9C-101B-9397-08002B2CF9AE}" pid="14" name="MSIP_Label_f3d2b2bd-d80d-46d9-a8ad-6eca3b55f93a_Extended_MSFT_Method">
    <vt:lpwstr>Standard</vt:lpwstr>
  </property>
  <property fmtid="{D5CDD505-2E9C-101B-9397-08002B2CF9AE}" pid="15" name="MSIP_Label_f3d2b2bd-d80d-46d9-a8ad-6eca3b55f93a_Removed">
    <vt:lpwstr>False</vt:lpwstr>
  </property>
  <property fmtid="{D5CDD505-2E9C-101B-9397-08002B2CF9AE}" pid="16" name="bjClsUserRVM">
    <vt:lpwstr>[]</vt:lpwstr>
  </property>
  <property fmtid="{D5CDD505-2E9C-101B-9397-08002B2CF9AE}" pid="17" name="bjDocumentSecurityLabel">
    <vt:lpwstr>OFFICIAL</vt:lpwstr>
  </property>
  <property fmtid="{D5CDD505-2E9C-101B-9397-08002B2CF9AE}" pid="18"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19" name="bjDocumentLabelXML-0">
    <vt:lpwstr>ames.com/2008/01/sie/internal/label"&gt;&lt;element uid="id_classification_nonbusiness" value="" /&gt;&lt;/sisl&gt;</vt:lpwstr>
  </property>
  <property fmtid="{D5CDD505-2E9C-101B-9397-08002B2CF9AE}" pid="20" name="MediaServiceImageTags">
    <vt:lpwstr/>
  </property>
  <property fmtid="{D5CDD505-2E9C-101B-9397-08002B2CF9AE}" pid="21" name="MSIP_Label_f3d2b2bd-d80d-46d9-a8ad-6eca3b55f93a_ActionId">
    <vt:lpwstr>29245f9b-c995-4652-a1e2-ba5e6d6ece08</vt:lpwstr>
  </property>
  <property fmtid="{D5CDD505-2E9C-101B-9397-08002B2CF9AE}" pid="22" name="MSIP_Label_f3d2b2bd-d80d-46d9-a8ad-6eca3b55f93a_Name">
    <vt:lpwstr>Strictly Confidential</vt:lpwstr>
  </property>
  <property fmtid="{D5CDD505-2E9C-101B-9397-08002B2CF9AE}" pid="23" name="MSIP_Label_f3d2b2bd-d80d-46d9-a8ad-6eca3b55f93a_SetDate">
    <vt:lpwstr>2026-09-30T12:33:48Z</vt:lpwstr>
  </property>
  <property fmtid="{D5CDD505-2E9C-101B-9397-08002B2CF9AE}" pid="24" name="MSIP_Label_f3d2b2bd-d80d-46d9-a8ad-6eca3b55f93a_SiteId">
    <vt:lpwstr>f98a6a53-25f3-4212-901c-c7787fcd3495</vt:lpwstr>
  </property>
  <property fmtid="{D5CDD505-2E9C-101B-9397-08002B2CF9AE}" pid="25" name="MSIP_Label_f3d2b2bd-d80d-46d9-a8ad-6eca3b55f93a_Enabled">
    <vt:lpwstr>True</vt:lpwstr>
  </property>
  <property fmtid="{D5CDD505-2E9C-101B-9397-08002B2CF9AE}" pid="26" name="Comparison_Data2RowInsertions47">
    <vt:lpwstr/>
  </property>
  <property fmtid="{D5CDD505-2E9C-101B-9397-08002B2CF9AE}" pid="27" name="Comparison_Data2ColumnInsertions48">
    <vt:lpwstr/>
  </property>
  <property fmtid="{D5CDD505-2E9C-101B-9397-08002B2CF9AE}" pid="28" name="Comparison_Content &amp; Version Control3RowInsertions49">
    <vt:lpwstr/>
  </property>
  <property fmtid="{D5CDD505-2E9C-101B-9397-08002B2CF9AE}" pid="29" name="Comparison_Content &amp; Version Control3ColumnInsertions50">
    <vt:lpwstr/>
  </property>
  <property fmtid="{D5CDD505-2E9C-101B-9397-08002B2CF9AE}" pid="30" name="Comparison_Change log4RowInsertions51">
    <vt:lpwstr/>
  </property>
  <property fmtid="{D5CDD505-2E9C-101B-9397-08002B2CF9AE}" pid="31" name="Comparison_Change log4ColumnInsertions52">
    <vt:lpwstr/>
  </property>
  <property fmtid="{D5CDD505-2E9C-101B-9397-08002B2CF9AE}" pid="32" name="Comparison_R1 - RoRE5RowInsertions53">
    <vt:lpwstr/>
  </property>
  <property fmtid="{D5CDD505-2E9C-101B-9397-08002B2CF9AE}" pid="33" name="Comparison_R1 - RoRE5ColumnInsertions54">
    <vt:lpwstr/>
  </property>
  <property fmtid="{D5CDD505-2E9C-101B-9397-08002B2CF9AE}" pid="34" name="Comparison_R2 - Rec to Revenue and Profit6RowInsertions55">
    <vt:lpwstr/>
  </property>
  <property fmtid="{D5CDD505-2E9C-101B-9397-08002B2CF9AE}" pid="35" name="Comparison_R2 - Rec to Revenue and Profit6ColumnInsertions56">
    <vt:lpwstr/>
  </property>
  <property fmtid="{D5CDD505-2E9C-101B-9397-08002B2CF9AE}" pid="36" name="Comparison_R3 - Totex - Reconciliation7RowInsertions57">
    <vt:lpwstr/>
  </property>
  <property fmtid="{D5CDD505-2E9C-101B-9397-08002B2CF9AE}" pid="37" name="Comparison_R3 - Totex - Reconciliation7ColumnInsertions58">
    <vt:lpwstr/>
  </property>
  <property fmtid="{D5CDD505-2E9C-101B-9397-08002B2CF9AE}" pid="38" name="Comparison_R4 - Incentives and Other Rev8RowInsertions59">
    <vt:lpwstr/>
  </property>
  <property fmtid="{D5CDD505-2E9C-101B-9397-08002B2CF9AE}" pid="39" name="Comparison_R4 - Incentives and Other Rev8ColumnInsertions60">
    <vt:lpwstr/>
  </property>
  <property fmtid="{D5CDD505-2E9C-101B-9397-08002B2CF9AE}" pid="40" name="Comparison_R5 - Financing9RowInsertions61">
    <vt:lpwstr/>
  </property>
  <property fmtid="{D5CDD505-2E9C-101B-9397-08002B2CF9AE}" pid="41" name="Comparison_R5 - Financing9ColumnInsertions62">
    <vt:lpwstr/>
  </property>
  <property fmtid="{D5CDD505-2E9C-101B-9397-08002B2CF9AE}" pid="42" name="Comparison_R5a - Financing input10RowInsertions63">
    <vt:lpwstr/>
  </property>
  <property fmtid="{D5CDD505-2E9C-101B-9397-08002B2CF9AE}" pid="43" name="Comparison_R5a - Financing input10ColumnInsertions64">
    <vt:lpwstr/>
  </property>
  <property fmtid="{D5CDD505-2E9C-101B-9397-08002B2CF9AE}" pid="44" name="Comparison_R6 - Net Debt11RowInsertions65">
    <vt:lpwstr/>
  </property>
  <property fmtid="{D5CDD505-2E9C-101B-9397-08002B2CF9AE}" pid="45" name="Comparison_R6 - Net Debt11ColumnInsertions66">
    <vt:lpwstr/>
  </property>
  <property fmtid="{D5CDD505-2E9C-101B-9397-08002B2CF9AE}" pid="46" name="Comparison_R6a - Net Debt input12RowInsertions67">
    <vt:lpwstr/>
  </property>
  <property fmtid="{D5CDD505-2E9C-101B-9397-08002B2CF9AE}" pid="47" name="Comparison_R6a - Net Debt input12ColumnInsertions68">
    <vt:lpwstr/>
  </property>
  <property fmtid="{D5CDD505-2E9C-101B-9397-08002B2CF9AE}" pid="48" name="Comparison_R7 - RAV13RowInsertions69">
    <vt:lpwstr/>
  </property>
  <property fmtid="{D5CDD505-2E9C-101B-9397-08002B2CF9AE}" pid="49" name="Comparison_R7 - RAV13ColumnInsertions70">
    <vt:lpwstr/>
  </property>
  <property fmtid="{D5CDD505-2E9C-101B-9397-08002B2CF9AE}" pid="50" name="Comparison_R8 - Tax14RowInsertions71">
    <vt:lpwstr/>
  </property>
  <property fmtid="{D5CDD505-2E9C-101B-9397-08002B2CF9AE}" pid="51" name="Comparison_R8 - Tax14ColumnInsertions72">
    <vt:lpwstr/>
  </property>
  <property fmtid="{D5CDD505-2E9C-101B-9397-08002B2CF9AE}" pid="52" name="Comparison_R8a - Tax Reconciliation15RowInsertions73">
    <vt:lpwstr/>
  </property>
  <property fmtid="{D5CDD505-2E9C-101B-9397-08002B2CF9AE}" pid="53" name="Comparison_R8a - Tax Reconciliation15ColumnInsertions74">
    <vt:lpwstr/>
  </property>
  <property fmtid="{D5CDD505-2E9C-101B-9397-08002B2CF9AE}" pid="54" name="Comparison_R9 - Corporate Governance16RowInsertions75">
    <vt:lpwstr/>
  </property>
  <property fmtid="{D5CDD505-2E9C-101B-9397-08002B2CF9AE}" pid="55" name="Comparison_R9 - Corporate Governance16ColumnInsertions76">
    <vt:lpwstr/>
  </property>
  <property fmtid="{D5CDD505-2E9C-101B-9397-08002B2CF9AE}" pid="56" name="Comparison_R10 - Pensions &amp; Oth Activities17RowInsertions77">
    <vt:lpwstr/>
  </property>
  <property fmtid="{D5CDD505-2E9C-101B-9397-08002B2CF9AE}" pid="57" name="Comparison_R10 - Pensions &amp; Oth Activities17ColumnInsertions78">
    <vt:lpwstr/>
  </property>
  <property fmtid="{D5CDD505-2E9C-101B-9397-08002B2CF9AE}" pid="58" name="Comparison_Input sheets for R5a and R6a&gt;&gt;&gt;18RowInsertions79">
    <vt:lpwstr/>
  </property>
  <property fmtid="{D5CDD505-2E9C-101B-9397-08002B2CF9AE}" pid="59" name="Comparison_Input sheets for R5a and R6a&gt;&gt;&gt;18ColumnInsertions80">
    <vt:lpwstr/>
  </property>
  <property fmtid="{D5CDD505-2E9C-101B-9397-08002B2CF9AE}" pid="60" name="Comparison_F3 - Fixed Rate Debt19RowInsertions81">
    <vt:lpwstr/>
  </property>
  <property fmtid="{D5CDD505-2E9C-101B-9397-08002B2CF9AE}" pid="61" name="Comparison_F3 - Fixed Rate Debt19ColumnInsertions82">
    <vt:lpwstr/>
  </property>
  <property fmtid="{D5CDD505-2E9C-101B-9397-08002B2CF9AE}" pid="62" name="Comparison_F4 - Floating Rate Debt20RowInsertions83">
    <vt:lpwstr/>
  </property>
  <property fmtid="{D5CDD505-2E9C-101B-9397-08002B2CF9AE}" pid="63" name="Comparison_F4 - Floating Rate Debt20ColumnInsertions84">
    <vt:lpwstr/>
  </property>
  <property fmtid="{D5CDD505-2E9C-101B-9397-08002B2CF9AE}" pid="64" name="Comparison_F5 - Inflation Linked Debt21RowInsertions85">
    <vt:lpwstr/>
  </property>
  <property fmtid="{D5CDD505-2E9C-101B-9397-08002B2CF9AE}" pid="65" name="Comparison_F5 - Inflation Linked Debt21ColumnInsertions86">
    <vt:lpwstr/>
  </property>
  <property fmtid="{D5CDD505-2E9C-101B-9397-08002B2CF9AE}" pid="66" name="Comparison_F6 - Debt Dataset22RowInsertions87">
    <vt:lpwstr/>
  </property>
  <property fmtid="{D5CDD505-2E9C-101B-9397-08002B2CF9AE}" pid="67" name="Comparison_F6 - Debt Dataset22ColumnInsertions88">
    <vt:lpwstr/>
  </property>
  <property fmtid="{D5CDD505-2E9C-101B-9397-08002B2CF9AE}" pid="68" name="Comparison_I1 - Universal Data23RowInsertions89">
    <vt:lpwstr/>
  </property>
  <property fmtid="{D5CDD505-2E9C-101B-9397-08002B2CF9AE}" pid="69" name="Comparison_I1 - Universal Data23ColumnInsertions90">
    <vt:lpwstr/>
  </property>
  <property fmtid="{D5CDD505-2E9C-101B-9397-08002B2CF9AE}" pid="70" name="Comparison_I2 - Monthly Inflation24RowInsertions91">
    <vt:lpwstr/>
  </property>
  <property fmtid="{D5CDD505-2E9C-101B-9397-08002B2CF9AE}" pid="71" name="Comparison_I2 - Monthly Inflation24ColumnInsertions92">
    <vt:lpwstr/>
  </property>
  <property fmtid="{D5CDD505-2E9C-101B-9397-08002B2CF9AE}" pid="72" name="xd_ProgID">
    <vt:lpwstr/>
  </property>
  <property fmtid="{D5CDD505-2E9C-101B-9397-08002B2CF9AE}" pid="73" name="ComplianceAssetId">
    <vt:lpwstr/>
  </property>
  <property fmtid="{D5CDD505-2E9C-101B-9397-08002B2CF9AE}" pid="74" name="TemplateUrl">
    <vt:lpwstr/>
  </property>
  <property fmtid="{D5CDD505-2E9C-101B-9397-08002B2CF9AE}" pid="75" name="xd_Signature">
    <vt:bool>false</vt:bool>
  </property>
  <property fmtid="{D5CDD505-2E9C-101B-9397-08002B2CF9AE}" pid="76" name="TriggerFlowInfo">
    <vt:lpwstr/>
  </property>
  <property fmtid="{D5CDD505-2E9C-101B-9397-08002B2CF9AE}" pid="77" name="Order">
    <vt:r8>1664200</vt:r8>
  </property>
  <property fmtid="{D5CDD505-2E9C-101B-9397-08002B2CF9AE}" pid="78" name="Year">
    <vt:lpwstr>2023</vt:lpwstr>
  </property>
</Properties>
</file>