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64011"/>
  <mc:AlternateContent xmlns:mc="http://schemas.openxmlformats.org/markup-compatibility/2006">
    <mc:Choice Requires="x15">
      <x15ac:absPath xmlns:x15ac="http://schemas.microsoft.com/office/spreadsheetml/2010/11/ac" url="T:\ED1 RRPs\RRP 2022 23\RFPR\FOR WEBSITE\"/>
    </mc:Choice>
  </mc:AlternateContent>
  <bookViews>
    <workbookView xWindow="0" yWindow="0" windowWidth="28800" windowHeight="12300"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 r:id="rId22"/>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log'!$A$1:$D$62</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5" i="5" l="1"/>
  <c r="G69" i="29"/>
  <c r="G71" i="29"/>
  <c r="F19" i="29"/>
  <c r="K17" i="3"/>
  <c r="K18" i="4"/>
  <c r="K14" i="4"/>
  <c r="K15" i="20"/>
  <c r="K14" i="19"/>
  <c r="J19" i="19"/>
  <c r="H14" i="19"/>
  <c r="H49" i="5"/>
  <c r="H51" i="5"/>
  <c r="H39" i="5"/>
  <c r="H51" i="1"/>
  <c r="G21" i="20"/>
  <c r="J61" i="5"/>
  <c r="J63" i="5"/>
  <c r="J42" i="5"/>
  <c r="J54" i="1"/>
  <c r="J65" i="10"/>
  <c r="B108" i="5"/>
  <c r="E49" i="5"/>
  <c r="E51" i="5"/>
  <c r="E39" i="5"/>
  <c r="E51" i="1"/>
  <c r="F49" i="5"/>
  <c r="F51" i="5"/>
  <c r="F39" i="5"/>
  <c r="E57" i="5"/>
  <c r="E59" i="5"/>
  <c r="E41" i="5"/>
  <c r="F57" i="5"/>
  <c r="F59" i="5"/>
  <c r="F41" i="5"/>
  <c r="F53" i="1"/>
  <c r="F61" i="5"/>
  <c r="F63" i="5"/>
  <c r="F42" i="5"/>
  <c r="F54" i="1"/>
  <c r="J57" i="5"/>
  <c r="J59" i="5"/>
  <c r="J41" i="5"/>
  <c r="J53" i="1"/>
  <c r="E61" i="5"/>
  <c r="E63" i="5"/>
  <c r="E42" i="5"/>
  <c r="E54" i="1"/>
  <c r="E65" i="5"/>
  <c r="E67" i="5"/>
  <c r="E43" i="5"/>
  <c r="E55" i="1"/>
  <c r="E69" i="5"/>
  <c r="E73" i="5"/>
  <c r="E75" i="5"/>
  <c r="E45" i="5"/>
  <c r="G73" i="5"/>
  <c r="G75" i="5"/>
  <c r="G45" i="5"/>
  <c r="D57" i="5"/>
  <c r="D59" i="5"/>
  <c r="D41" i="5"/>
  <c r="D53" i="1"/>
  <c r="D73" i="5"/>
  <c r="D75" i="5"/>
  <c r="D45" i="5"/>
  <c r="I14" i="2"/>
  <c r="D18" i="10"/>
  <c r="T85" i="28"/>
  <c r="K40" i="10"/>
  <c r="K43" i="10"/>
  <c r="D14" i="2"/>
  <c r="D19" i="2"/>
  <c r="M23" i="2"/>
  <c r="D49" i="5"/>
  <c r="D53" i="5"/>
  <c r="D55" i="5"/>
  <c r="D40" i="5"/>
  <c r="D52" i="1"/>
  <c r="F53" i="5"/>
  <c r="F55" i="5"/>
  <c r="F40" i="5"/>
  <c r="F52" i="1"/>
  <c r="G53" i="5"/>
  <c r="G55" i="5"/>
  <c r="G40" i="5"/>
  <c r="G52" i="1"/>
  <c r="G57" i="5"/>
  <c r="G59" i="5"/>
  <c r="G41" i="5"/>
  <c r="G53" i="1"/>
  <c r="G61" i="5"/>
  <c r="G63" i="5"/>
  <c r="G42" i="5"/>
  <c r="G54" i="1"/>
  <c r="D65" i="5"/>
  <c r="D67" i="5"/>
  <c r="D43" i="5"/>
  <c r="D55" i="1"/>
  <c r="F65" i="5"/>
  <c r="F67" i="5"/>
  <c r="F43" i="5"/>
  <c r="F55" i="1"/>
  <c r="G65" i="5"/>
  <c r="G67" i="5"/>
  <c r="K65" i="5"/>
  <c r="K67" i="5"/>
  <c r="K43" i="5"/>
  <c r="K55" i="1"/>
  <c r="K11" i="3"/>
  <c r="K12" i="3"/>
  <c r="K17" i="4"/>
  <c r="D14" i="20"/>
  <c r="D16" i="20"/>
  <c r="D8" i="20"/>
  <c r="D57" i="1"/>
  <c r="E21" i="20"/>
  <c r="G14" i="20"/>
  <c r="G16" i="20"/>
  <c r="G8" i="20"/>
  <c r="G57" i="1"/>
  <c r="H21" i="20"/>
  <c r="E69" i="29"/>
  <c r="F69" i="29"/>
  <c r="F71" i="29"/>
  <c r="G19" i="29"/>
  <c r="H19" i="29"/>
  <c r="H69" i="29"/>
  <c r="I19" i="29"/>
  <c r="I69" i="29"/>
  <c r="I71" i="29"/>
  <c r="J69" i="29"/>
  <c r="K69" i="29"/>
  <c r="K71" i="29"/>
  <c r="D69" i="29"/>
  <c r="D71" i="29"/>
  <c r="I63" i="29"/>
  <c r="H63" i="29"/>
  <c r="H71" i="29"/>
  <c r="G63" i="29"/>
  <c r="F63" i="29"/>
  <c r="E63" i="29"/>
  <c r="E71" i="29"/>
  <c r="D63" i="29"/>
  <c r="K63" i="29"/>
  <c r="J63" i="29"/>
  <c r="J71" i="29"/>
  <c r="J20" i="20"/>
  <c r="J21" i="20"/>
  <c r="J8" i="20"/>
  <c r="J57" i="1"/>
  <c r="T81" i="28"/>
  <c r="F26" i="28"/>
  <c r="H38" i="28"/>
  <c r="I38" i="28"/>
  <c r="J38" i="28"/>
  <c r="J11" i="20"/>
  <c r="I20" i="20"/>
  <c r="K16" i="20"/>
  <c r="K14" i="20"/>
  <c r="J14" i="20"/>
  <c r="J15" i="20"/>
  <c r="J16" i="20"/>
  <c r="B106" i="5"/>
  <c r="B21" i="1"/>
  <c r="B3" i="1"/>
  <c r="B3" i="11"/>
  <c r="A3" i="20"/>
  <c r="A2" i="20"/>
  <c r="A3" i="19"/>
  <c r="A2" i="19"/>
  <c r="A3" i="11"/>
  <c r="A2" i="11"/>
  <c r="K19" i="29"/>
  <c r="A3" i="29"/>
  <c r="A2" i="29"/>
  <c r="K28" i="10"/>
  <c r="J28" i="10"/>
  <c r="I28" i="10"/>
  <c r="H28" i="10"/>
  <c r="G28" i="10"/>
  <c r="F28" i="10"/>
  <c r="E28" i="10"/>
  <c r="D28" i="10"/>
  <c r="A3" i="10"/>
  <c r="A2" i="10"/>
  <c r="B3" i="3"/>
  <c r="A3" i="3"/>
  <c r="A2" i="3"/>
  <c r="A111" i="5"/>
  <c r="A110" i="5"/>
  <c r="A109" i="5"/>
  <c r="A108" i="5"/>
  <c r="A107" i="5"/>
  <c r="A106" i="5"/>
  <c r="A105" i="5"/>
  <c r="A100" i="5"/>
  <c r="A97" i="5"/>
  <c r="A94" i="5"/>
  <c r="A91" i="5"/>
  <c r="A88" i="5"/>
  <c r="A85" i="5"/>
  <c r="A82" i="5"/>
  <c r="K73" i="5"/>
  <c r="K75" i="5"/>
  <c r="K45" i="5"/>
  <c r="J73" i="5"/>
  <c r="J75" i="5"/>
  <c r="J45" i="5"/>
  <c r="K69" i="5"/>
  <c r="K71" i="5"/>
  <c r="K44" i="5"/>
  <c r="H69" i="5"/>
  <c r="H71" i="5"/>
  <c r="H44" i="5"/>
  <c r="G69" i="5"/>
  <c r="G71" i="5"/>
  <c r="G44" i="5"/>
  <c r="F69" i="5"/>
  <c r="F71" i="5"/>
  <c r="F44" i="5"/>
  <c r="A69" i="5"/>
  <c r="A65" i="5"/>
  <c r="A61" i="5"/>
  <c r="A57" i="5"/>
  <c r="A53" i="5"/>
  <c r="A49" i="5"/>
  <c r="A45" i="5"/>
  <c r="A44" i="5"/>
  <c r="A43" i="5"/>
  <c r="A42" i="5"/>
  <c r="A41" i="5"/>
  <c r="A40" i="5"/>
  <c r="A39" i="5"/>
  <c r="A25" i="5"/>
  <c r="A24" i="5"/>
  <c r="A23" i="5"/>
  <c r="A22" i="5"/>
  <c r="A21"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c r="K63" i="2"/>
  <c r="J44" i="2"/>
  <c r="I44" i="2"/>
  <c r="I58" i="2"/>
  <c r="I62" i="2"/>
  <c r="H44" i="2"/>
  <c r="H58" i="2"/>
  <c r="G44" i="2"/>
  <c r="F44" i="2"/>
  <c r="F46" i="2"/>
  <c r="E44" i="2"/>
  <c r="E58" i="2"/>
  <c r="D44" i="2"/>
  <c r="M42" i="2"/>
  <c r="K42" i="2"/>
  <c r="J42" i="2"/>
  <c r="I42" i="2"/>
  <c r="H42" i="2"/>
  <c r="G42" i="2"/>
  <c r="F42" i="2"/>
  <c r="E42" i="2"/>
  <c r="D42" i="2"/>
  <c r="M41" i="2"/>
  <c r="M40" i="2"/>
  <c r="K16" i="2"/>
  <c r="J16" i="2"/>
  <c r="I16" i="2"/>
  <c r="H16" i="2"/>
  <c r="G16" i="2"/>
  <c r="F16" i="2"/>
  <c r="E16" i="2"/>
  <c r="D16" i="2"/>
  <c r="L6" i="2"/>
  <c r="A3" i="2"/>
  <c r="A2" i="2"/>
  <c r="A3" i="15"/>
  <c r="A2" i="15"/>
  <c r="A3" i="4"/>
  <c r="A2" i="4"/>
  <c r="B42" i="1"/>
  <c r="B39" i="1"/>
  <c r="B38" i="1"/>
  <c r="B37" i="1"/>
  <c r="B31" i="1"/>
  <c r="B30" i="1"/>
  <c r="B23" i="1"/>
  <c r="B22" i="1"/>
  <c r="B20" i="1"/>
  <c r="B19" i="1"/>
  <c r="B18" i="1"/>
  <c r="B12" i="1"/>
  <c r="B11" i="1"/>
  <c r="M6" i="1"/>
  <c r="A3" i="1"/>
  <c r="A2" i="1"/>
  <c r="A3" i="14"/>
  <c r="A2" i="14"/>
  <c r="A3" i="21"/>
  <c r="A2" i="21"/>
  <c r="E202" i="28"/>
  <c r="B202" i="28"/>
  <c r="E192" i="28"/>
  <c r="F157" i="28"/>
  <c r="B192" i="28"/>
  <c r="E182" i="28"/>
  <c r="B182" i="28"/>
  <c r="F159" i="28"/>
  <c r="F158"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S86" i="28"/>
  <c r="R86" i="28"/>
  <c r="Q86" i="28"/>
  <c r="P86" i="28"/>
  <c r="O86" i="28"/>
  <c r="N86" i="28"/>
  <c r="M86" i="28"/>
  <c r="H86" i="28"/>
  <c r="S85" i="28"/>
  <c r="R85" i="28"/>
  <c r="Q85" i="28"/>
  <c r="P85" i="28"/>
  <c r="O85" i="28"/>
  <c r="N85" i="28"/>
  <c r="M85" i="28"/>
  <c r="H85" i="28"/>
  <c r="S84" i="28"/>
  <c r="R84" i="28"/>
  <c r="Q84" i="28"/>
  <c r="P84" i="28"/>
  <c r="O84" i="28"/>
  <c r="N84" i="28"/>
  <c r="M84" i="28"/>
  <c r="H84" i="28"/>
  <c r="S83" i="28"/>
  <c r="R83" i="28"/>
  <c r="Q83" i="28"/>
  <c r="P83" i="28"/>
  <c r="O83" i="28"/>
  <c r="N83" i="28"/>
  <c r="M83" i="28"/>
  <c r="H83" i="28"/>
  <c r="S82" i="28"/>
  <c r="R82" i="28"/>
  <c r="Q82" i="28"/>
  <c r="P82" i="28"/>
  <c r="O82" i="28"/>
  <c r="N82" i="28"/>
  <c r="M82" i="28"/>
  <c r="H82" i="28"/>
  <c r="S81" i="28"/>
  <c r="R81" i="28"/>
  <c r="Q81" i="28"/>
  <c r="P81" i="28"/>
  <c r="O81" i="28"/>
  <c r="N81" i="28"/>
  <c r="M81" i="28"/>
  <c r="H81" i="28"/>
  <c r="S80" i="28"/>
  <c r="R80" i="28"/>
  <c r="Q80" i="28"/>
  <c r="P80" i="28"/>
  <c r="O80" i="28"/>
  <c r="N80" i="28"/>
  <c r="M80" i="28"/>
  <c r="H80" i="28"/>
  <c r="S79" i="28"/>
  <c r="R79" i="28"/>
  <c r="Q79" i="28"/>
  <c r="P79" i="28"/>
  <c r="O79" i="28"/>
  <c r="N79" i="28"/>
  <c r="M79" i="28"/>
  <c r="H79" i="28"/>
  <c r="S78" i="28"/>
  <c r="R78" i="28"/>
  <c r="Q78" i="28"/>
  <c r="P78" i="28"/>
  <c r="O78" i="28"/>
  <c r="N78" i="28"/>
  <c r="M78" i="28"/>
  <c r="H78" i="28"/>
  <c r="S77" i="28"/>
  <c r="R77" i="28"/>
  <c r="Q77" i="28"/>
  <c r="P77" i="28"/>
  <c r="O77" i="28"/>
  <c r="N77" i="28"/>
  <c r="M77" i="28"/>
  <c r="H77" i="28"/>
  <c r="S76" i="28"/>
  <c r="R76" i="28"/>
  <c r="Q76" i="28"/>
  <c r="P76" i="28"/>
  <c r="O76" i="28"/>
  <c r="N76" i="28"/>
  <c r="M76" i="28"/>
  <c r="H76" i="28"/>
  <c r="S75" i="28"/>
  <c r="R75" i="28"/>
  <c r="Q75" i="28"/>
  <c r="P75" i="28"/>
  <c r="O75" i="28"/>
  <c r="N75" i="28"/>
  <c r="M75" i="28"/>
  <c r="H75" i="28"/>
  <c r="S74" i="28"/>
  <c r="R74" i="28"/>
  <c r="Q74" i="28"/>
  <c r="P74" i="28"/>
  <c r="O74" i="28"/>
  <c r="N74" i="28"/>
  <c r="M74" i="28"/>
  <c r="H74"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2" i="28"/>
  <c r="I42" i="28"/>
  <c r="H42" i="28"/>
  <c r="G42" i="28"/>
  <c r="F42" i="28"/>
  <c r="E42" i="28"/>
  <c r="G38" i="28"/>
  <c r="F38" i="28"/>
  <c r="E38" i="28"/>
  <c r="D30" i="28"/>
  <c r="D29" i="28"/>
  <c r="D28" i="28"/>
  <c r="D27" i="28"/>
  <c r="D26" i="28"/>
  <c r="D25" i="28"/>
  <c r="D24" i="28"/>
  <c r="D23" i="28"/>
  <c r="D22" i="28"/>
  <c r="D21" i="28"/>
  <c r="D20" i="28"/>
  <c r="D19" i="28"/>
  <c r="D18" i="28"/>
  <c r="D17" i="28"/>
  <c r="D16" i="28"/>
  <c r="D15" i="28"/>
  <c r="D14" i="28"/>
  <c r="A3" i="28"/>
  <c r="A2" i="28"/>
  <c r="C14" i="13"/>
  <c r="C42" i="2"/>
  <c r="C13" i="13"/>
  <c r="D6" i="15"/>
  <c r="C12" i="13"/>
  <c r="C11" i="13"/>
  <c r="C10" i="13"/>
  <c r="J41" i="10"/>
  <c r="C6" i="13"/>
  <c r="E156" i="28"/>
  <c r="A3" i="13"/>
  <c r="A2" i="13"/>
  <c r="I59" i="2"/>
  <c r="K46" i="2"/>
  <c r="F47" i="2"/>
  <c r="E46" i="2"/>
  <c r="E62" i="2"/>
  <c r="I46" i="2"/>
  <c r="E59" i="2"/>
  <c r="E159" i="28"/>
  <c r="C51" i="1"/>
  <c r="C55" i="1"/>
  <c r="C61" i="1"/>
  <c r="J42" i="10"/>
  <c r="F42" i="10"/>
  <c r="G47" i="29"/>
  <c r="C33" i="28"/>
  <c r="C50" i="1"/>
  <c r="C54" i="1"/>
  <c r="C66" i="1"/>
  <c r="E157" i="28"/>
  <c r="E153" i="28"/>
  <c r="D6" i="20"/>
  <c r="D6" i="19"/>
  <c r="D6" i="3"/>
  <c r="D6" i="10"/>
  <c r="D5" i="10"/>
  <c r="D6" i="11"/>
  <c r="D6" i="29"/>
  <c r="D5" i="29"/>
  <c r="D6" i="4"/>
  <c r="E6" i="4"/>
  <c r="D6" i="1"/>
  <c r="D6" i="2"/>
  <c r="D6" i="5"/>
  <c r="B48" i="28"/>
  <c r="B10" i="2"/>
  <c r="B88" i="2"/>
  <c r="B149" i="28"/>
  <c r="E158" i="28"/>
  <c r="C48" i="1"/>
  <c r="C53" i="1"/>
  <c r="C12" i="2"/>
  <c r="F58" i="2"/>
  <c r="F59" i="2"/>
  <c r="J58" i="2"/>
  <c r="J59" i="2"/>
  <c r="J47" i="2"/>
  <c r="J46" i="2"/>
  <c r="F41" i="10"/>
  <c r="I41" i="10"/>
  <c r="E41" i="10"/>
  <c r="H41" i="10"/>
  <c r="D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c r="B116" i="2"/>
  <c r="E152" i="28"/>
  <c r="E155" i="28"/>
  <c r="C52" i="1"/>
  <c r="C57" i="1"/>
  <c r="C18" i="2"/>
  <c r="C24" i="2"/>
  <c r="C27" i="2"/>
  <c r="K58" i="2"/>
  <c r="K62" i="2"/>
  <c r="K64" i="2"/>
  <c r="K59" i="2"/>
  <c r="D59" i="2"/>
  <c r="D46" i="2"/>
  <c r="H59" i="2"/>
  <c r="H63" i="2"/>
  <c r="H46" i="2"/>
  <c r="H47" i="2"/>
  <c r="D47" i="2"/>
  <c r="D63" i="2"/>
  <c r="D58" i="2"/>
  <c r="E47" i="2"/>
  <c r="E63" i="2"/>
  <c r="I47" i="2"/>
  <c r="F63" i="2"/>
  <c r="D78" i="2"/>
  <c r="E6" i="2"/>
  <c r="D5" i="2"/>
  <c r="D77" i="2"/>
  <c r="D5" i="20"/>
  <c r="E6" i="20"/>
  <c r="D5" i="1"/>
  <c r="E6" i="1"/>
  <c r="E6" i="29"/>
  <c r="F6" i="29"/>
  <c r="E6" i="10"/>
  <c r="E5" i="10"/>
  <c r="D36" i="10"/>
  <c r="J62" i="2"/>
  <c r="D5" i="4"/>
  <c r="J63" i="2"/>
  <c r="D99" i="5"/>
  <c r="D93" i="5"/>
  <c r="D87" i="5"/>
  <c r="D81" i="5"/>
  <c r="D96" i="5"/>
  <c r="D90" i="5"/>
  <c r="D84" i="5"/>
  <c r="D66" i="5"/>
  <c r="D50" i="5"/>
  <c r="D70" i="5"/>
  <c r="D58" i="5"/>
  <c r="D74" i="5"/>
  <c r="D62" i="5"/>
  <c r="D5" i="5"/>
  <c r="E6" i="5"/>
  <c r="D54" i="5"/>
  <c r="E6" i="11"/>
  <c r="E5" i="11"/>
  <c r="D5" i="11"/>
  <c r="D5" i="19"/>
  <c r="E6" i="19"/>
  <c r="D33" i="28"/>
  <c r="D36" i="28"/>
  <c r="C36" i="28"/>
  <c r="C35" i="28"/>
  <c r="D34" i="10"/>
  <c r="C34" i="28"/>
  <c r="D40" i="29"/>
  <c r="C32" i="28"/>
  <c r="J64" i="2"/>
  <c r="E78" i="2"/>
  <c r="E77" i="2"/>
  <c r="E5" i="2"/>
  <c r="F6" i="2"/>
  <c r="E33" i="28"/>
  <c r="F6" i="11"/>
  <c r="F5" i="11"/>
  <c r="F6" i="19"/>
  <c r="E5" i="19"/>
  <c r="E96" i="5"/>
  <c r="E90" i="5"/>
  <c r="E84" i="5"/>
  <c r="E99" i="5"/>
  <c r="E70" i="5"/>
  <c r="E54" i="5"/>
  <c r="F6" i="5"/>
  <c r="F90" i="5"/>
  <c r="E81" i="5"/>
  <c r="E87" i="5"/>
  <c r="E74" i="5"/>
  <c r="E62" i="5"/>
  <c r="E93" i="5"/>
  <c r="E66" i="5"/>
  <c r="E50" i="5"/>
  <c r="E5" i="5"/>
  <c r="E58" i="5"/>
  <c r="F6" i="10"/>
  <c r="F5" i="10"/>
  <c r="F6" i="1"/>
  <c r="E5" i="1"/>
  <c r="F77" i="2"/>
  <c r="G6" i="2"/>
  <c r="F78" i="2"/>
  <c r="F5" i="2"/>
  <c r="F96" i="5"/>
  <c r="F99" i="5"/>
  <c r="F93" i="5"/>
  <c r="F87" i="5"/>
  <c r="F81" i="5"/>
  <c r="F74" i="5"/>
  <c r="F66" i="5"/>
  <c r="F70" i="5"/>
  <c r="F54" i="5"/>
  <c r="F50" i="5"/>
  <c r="G6" i="11"/>
  <c r="G6" i="10"/>
  <c r="G40" i="10"/>
  <c r="G43" i="10"/>
  <c r="E36" i="28"/>
  <c r="E35" i="28"/>
  <c r="F34" i="10"/>
  <c r="E34" i="28"/>
  <c r="E32" i="28"/>
  <c r="F33" i="28"/>
  <c r="G33" i="28"/>
  <c r="G32" i="28"/>
  <c r="F36" i="28"/>
  <c r="F35" i="28"/>
  <c r="G34" i="10"/>
  <c r="F34" i="28"/>
  <c r="F32" i="28"/>
  <c r="G77" i="2"/>
  <c r="G78" i="2"/>
  <c r="H6" i="2"/>
  <c r="H5" i="2"/>
  <c r="G5" i="2"/>
  <c r="H6" i="10"/>
  <c r="H40" i="10"/>
  <c r="H43" i="10"/>
  <c r="I6" i="10"/>
  <c r="I40" i="10"/>
  <c r="I43" i="10"/>
  <c r="H78" i="2"/>
  <c r="I6" i="2"/>
  <c r="I5" i="2"/>
  <c r="H33" i="28"/>
  <c r="H34" i="28"/>
  <c r="G35" i="28"/>
  <c r="H34" i="10"/>
  <c r="G34" i="28"/>
  <c r="H40" i="29"/>
  <c r="G36" i="28"/>
  <c r="H32" i="28"/>
  <c r="H35" i="28"/>
  <c r="I34" i="10"/>
  <c r="H36" i="28"/>
  <c r="I78" i="2"/>
  <c r="I77" i="2"/>
  <c r="I14" i="19"/>
  <c r="I21" i="20"/>
  <c r="H35" i="10"/>
  <c r="G40" i="29"/>
  <c r="F86" i="2"/>
  <c r="F105" i="2"/>
  <c r="D14" i="19"/>
  <c r="F14" i="19"/>
  <c r="G35" i="10"/>
  <c r="G86" i="2"/>
  <c r="G131" i="2"/>
  <c r="G14" i="19"/>
  <c r="I35" i="10"/>
  <c r="F40" i="29"/>
  <c r="H28" i="3"/>
  <c r="H56" i="1"/>
  <c r="I86" i="2"/>
  <c r="I118" i="2"/>
  <c r="I40" i="29"/>
  <c r="H86" i="2"/>
  <c r="H100" i="2"/>
  <c r="H131" i="2"/>
  <c r="H130" i="2"/>
  <c r="I102" i="2"/>
  <c r="I105" i="2"/>
  <c r="I132" i="2"/>
  <c r="I133" i="2"/>
  <c r="I129" i="2"/>
  <c r="I128" i="2"/>
  <c r="D32" i="28"/>
  <c r="E5" i="29"/>
  <c r="F130" i="2"/>
  <c r="H133" i="2"/>
  <c r="I131" i="2"/>
  <c r="I119" i="2"/>
  <c r="I120" i="2"/>
  <c r="H119" i="2"/>
  <c r="J6" i="2"/>
  <c r="I33" i="28"/>
  <c r="G5" i="10"/>
  <c r="F62" i="5"/>
  <c r="F5" i="5"/>
  <c r="F84" i="5"/>
  <c r="D34" i="28"/>
  <c r="E42" i="10"/>
  <c r="F47" i="29"/>
  <c r="H102" i="2"/>
  <c r="I130" i="2"/>
  <c r="I134" i="2"/>
  <c r="H118" i="2"/>
  <c r="F119" i="2"/>
  <c r="J6" i="10"/>
  <c r="K6" i="10"/>
  <c r="K5" i="10"/>
  <c r="K32" i="10"/>
  <c r="G6" i="5"/>
  <c r="F58" i="5"/>
  <c r="D35" i="28"/>
  <c r="E34" i="10"/>
  <c r="G41" i="10"/>
  <c r="D47" i="29"/>
  <c r="H129" i="2"/>
  <c r="H128" i="2"/>
  <c r="H77" i="2"/>
  <c r="H79" i="2"/>
  <c r="F35" i="10"/>
  <c r="K42" i="10"/>
  <c r="H47" i="29"/>
  <c r="E64" i="2"/>
  <c r="F40" i="10"/>
  <c r="F43" i="10"/>
  <c r="F79" i="2"/>
  <c r="F50" i="1"/>
  <c r="E79" i="2"/>
  <c r="E50" i="1"/>
  <c r="I79" i="2"/>
  <c r="I23" i="29"/>
  <c r="G79" i="2"/>
  <c r="G23" i="29"/>
  <c r="I125" i="2"/>
  <c r="I124" i="2"/>
  <c r="I50" i="1"/>
  <c r="F5" i="29"/>
  <c r="G6" i="29"/>
  <c r="G129" i="2"/>
  <c r="G133" i="2"/>
  <c r="G132" i="2"/>
  <c r="G119" i="2"/>
  <c r="G118" i="2"/>
  <c r="G128" i="2"/>
  <c r="G103" i="2"/>
  <c r="G90" i="2"/>
  <c r="G81" i="15"/>
  <c r="G130" i="2"/>
  <c r="G105" i="2"/>
  <c r="F128" i="2"/>
  <c r="D62" i="2"/>
  <c r="D5" i="3"/>
  <c r="E6" i="3"/>
  <c r="F62" i="2"/>
  <c r="F64" i="2"/>
  <c r="G59" i="2"/>
  <c r="M59" i="2"/>
  <c r="G47" i="2"/>
  <c r="G63" i="2"/>
  <c r="M63" i="2"/>
  <c r="G58" i="2"/>
  <c r="M58" i="2"/>
  <c r="G46" i="2"/>
  <c r="G91" i="2"/>
  <c r="F131" i="2"/>
  <c r="F90" i="2"/>
  <c r="F81" i="15"/>
  <c r="F133" i="2"/>
  <c r="J40" i="10"/>
  <c r="J43" i="10"/>
  <c r="J5" i="10"/>
  <c r="G5" i="11"/>
  <c r="H6" i="11"/>
  <c r="G6" i="1"/>
  <c r="F5" i="1"/>
  <c r="I32" i="28"/>
  <c r="I35" i="28"/>
  <c r="J34" i="10"/>
  <c r="G104" i="2"/>
  <c r="F100" i="2"/>
  <c r="H132" i="2"/>
  <c r="F103" i="2"/>
  <c r="D35" i="10"/>
  <c r="F132" i="2"/>
  <c r="D86" i="2"/>
  <c r="I34" i="28"/>
  <c r="G6" i="19"/>
  <c r="F5" i="19"/>
  <c r="H62" i="2"/>
  <c r="H64" i="2"/>
  <c r="E6" i="15"/>
  <c r="D5" i="15"/>
  <c r="E5" i="4"/>
  <c r="F6" i="4"/>
  <c r="F129" i="2"/>
  <c r="F118" i="2"/>
  <c r="F120" i="2"/>
  <c r="F6" i="20"/>
  <c r="E5" i="20"/>
  <c r="D79" i="2"/>
  <c r="D23" i="29"/>
  <c r="I63" i="2"/>
  <c r="I64" i="2"/>
  <c r="B153" i="28"/>
  <c r="B11" i="5"/>
  <c r="B159" i="28"/>
  <c r="B17" i="5"/>
  <c r="B156" i="28"/>
  <c r="B14" i="5"/>
  <c r="B155" i="28"/>
  <c r="B13" i="5"/>
  <c r="E40" i="10"/>
  <c r="E43" i="10"/>
  <c r="I101" i="2"/>
  <c r="I5" i="10"/>
  <c r="H5" i="10"/>
  <c r="G42" i="10"/>
  <c r="I42" i="10"/>
  <c r="J47" i="29"/>
  <c r="E154" i="28"/>
  <c r="B158" i="28"/>
  <c r="B16" i="5"/>
  <c r="G102" i="2"/>
  <c r="F104" i="2"/>
  <c r="F91" i="2"/>
  <c r="D102" i="2"/>
  <c r="D40" i="10"/>
  <c r="D43" i="10"/>
  <c r="I100" i="2"/>
  <c r="M46" i="2"/>
  <c r="K47" i="29"/>
  <c r="D42" i="10"/>
  <c r="E47" i="29"/>
  <c r="C11" i="4"/>
  <c r="H105" i="2"/>
  <c r="H90" i="2"/>
  <c r="I90" i="2"/>
  <c r="I81" i="15"/>
  <c r="H42" i="10"/>
  <c r="I47" i="29"/>
  <c r="H104" i="2"/>
  <c r="H91" i="2"/>
  <c r="G100" i="2"/>
  <c r="F102" i="2"/>
  <c r="D100" i="2"/>
  <c r="H61" i="5"/>
  <c r="H63" i="5"/>
  <c r="H42" i="5"/>
  <c r="H54" i="1"/>
  <c r="F14" i="20"/>
  <c r="F16" i="20"/>
  <c r="E13" i="11"/>
  <c r="F21" i="20"/>
  <c r="D21" i="20"/>
  <c r="H13" i="11"/>
  <c r="H14" i="20"/>
  <c r="H16" i="20"/>
  <c r="M22" i="2"/>
  <c r="F13" i="11"/>
  <c r="G13" i="11"/>
  <c r="I13" i="11"/>
  <c r="F28" i="2"/>
  <c r="F31" i="2"/>
  <c r="K20" i="20"/>
  <c r="K21" i="20"/>
  <c r="E14" i="20"/>
  <c r="E16" i="20"/>
  <c r="J69" i="5"/>
  <c r="J71" i="5"/>
  <c r="J44" i="5"/>
  <c r="H14" i="4"/>
  <c r="H65" i="5"/>
  <c r="H67" i="5"/>
  <c r="H43" i="5"/>
  <c r="H55" i="1"/>
  <c r="I103" i="2"/>
  <c r="D19" i="19"/>
  <c r="D101" i="2"/>
  <c r="D13" i="11"/>
  <c r="H101" i="2"/>
  <c r="F101" i="2"/>
  <c r="I19" i="19"/>
  <c r="H19" i="19"/>
  <c r="G19" i="19"/>
  <c r="I53" i="5"/>
  <c r="I55" i="5"/>
  <c r="I40" i="5"/>
  <c r="I52" i="1"/>
  <c r="K57" i="5"/>
  <c r="K59" i="5"/>
  <c r="K41" i="5"/>
  <c r="K53" i="1"/>
  <c r="H14" i="2"/>
  <c r="H19" i="2"/>
  <c r="G14" i="2"/>
  <c r="G19" i="2"/>
  <c r="F14" i="2"/>
  <c r="F19" i="2"/>
  <c r="I69" i="5"/>
  <c r="I71" i="5"/>
  <c r="I44" i="5"/>
  <c r="H73" i="5"/>
  <c r="H75" i="5"/>
  <c r="H45" i="5"/>
  <c r="J14" i="2"/>
  <c r="E14" i="2"/>
  <c r="E18" i="2"/>
  <c r="M13" i="2"/>
  <c r="H50" i="1"/>
  <c r="H23" i="29"/>
  <c r="I136" i="2"/>
  <c r="I137" i="2"/>
  <c r="H134" i="2"/>
  <c r="E14" i="19"/>
  <c r="E40" i="29"/>
  <c r="E23" i="29"/>
  <c r="E35" i="10"/>
  <c r="E86" i="2"/>
  <c r="H120" i="2"/>
  <c r="J33" i="28"/>
  <c r="I36" i="28"/>
  <c r="F134" i="2"/>
  <c r="K6" i="2"/>
  <c r="J5" i="2"/>
  <c r="J77" i="2"/>
  <c r="J78" i="2"/>
  <c r="J79" i="2"/>
  <c r="J50" i="1"/>
  <c r="G87" i="5"/>
  <c r="G70" i="5"/>
  <c r="G54" i="5"/>
  <c r="G81" i="5"/>
  <c r="G96" i="5"/>
  <c r="G5" i="5"/>
  <c r="G74" i="5"/>
  <c r="G58" i="5"/>
  <c r="G62" i="5"/>
  <c r="G66" i="5"/>
  <c r="G99" i="5"/>
  <c r="G84" i="5"/>
  <c r="H6" i="5"/>
  <c r="G93" i="5"/>
  <c r="G90" i="5"/>
  <c r="G50" i="5"/>
  <c r="G134" i="2"/>
  <c r="G136" i="2"/>
  <c r="I140" i="2"/>
  <c r="I142" i="2"/>
  <c r="G62" i="2"/>
  <c r="G64" i="2"/>
  <c r="I141" i="2"/>
  <c r="L40" i="2"/>
  <c r="M47" i="2"/>
  <c r="G50" i="1"/>
  <c r="F23" i="29"/>
  <c r="B97" i="5"/>
  <c r="B44" i="5"/>
  <c r="B69" i="5"/>
  <c r="G6" i="4"/>
  <c r="F5" i="4"/>
  <c r="G137" i="2"/>
  <c r="B49" i="5"/>
  <c r="B82" i="5"/>
  <c r="B39" i="5"/>
  <c r="B51" i="1"/>
  <c r="F125" i="2"/>
  <c r="F124" i="2"/>
  <c r="J14" i="19"/>
  <c r="J86" i="2"/>
  <c r="J35" i="10"/>
  <c r="J40" i="29"/>
  <c r="J23" i="29"/>
  <c r="G5" i="1"/>
  <c r="H6" i="1"/>
  <c r="M62" i="2"/>
  <c r="D64" i="2"/>
  <c r="M64" i="2"/>
  <c r="B42" i="5"/>
  <c r="B54" i="1"/>
  <c r="B61" i="5"/>
  <c r="B91" i="5"/>
  <c r="B45" i="5"/>
  <c r="B100" i="5"/>
  <c r="B73" i="5"/>
  <c r="H6" i="19"/>
  <c r="G5" i="19"/>
  <c r="G6" i="20"/>
  <c r="F5" i="20"/>
  <c r="E5" i="15"/>
  <c r="F6" i="15"/>
  <c r="D132" i="2"/>
  <c r="D130" i="2"/>
  <c r="D133" i="2"/>
  <c r="D119" i="2"/>
  <c r="D105" i="2"/>
  <c r="D118" i="2"/>
  <c r="D90" i="2"/>
  <c r="D81" i="15"/>
  <c r="D128" i="2"/>
  <c r="D104" i="2"/>
  <c r="D129" i="2"/>
  <c r="D131" i="2"/>
  <c r="I6" i="11"/>
  <c r="H5" i="11"/>
  <c r="F137" i="2"/>
  <c r="F136" i="2"/>
  <c r="G120" i="2"/>
  <c r="D50" i="1"/>
  <c r="E5" i="3"/>
  <c r="F6" i="3"/>
  <c r="H6" i="29"/>
  <c r="G5" i="29"/>
  <c r="B154" i="28"/>
  <c r="B12" i="5"/>
  <c r="B160" i="28"/>
  <c r="B157" i="28"/>
  <c r="B15" i="5"/>
  <c r="B41" i="5"/>
  <c r="B53" i="1"/>
  <c r="B57" i="5"/>
  <c r="B88" i="5"/>
  <c r="F30" i="2"/>
  <c r="H124" i="2"/>
  <c r="H140" i="2"/>
  <c r="H142" i="2"/>
  <c r="H125" i="2"/>
  <c r="H141" i="2"/>
  <c r="H136" i="2"/>
  <c r="H137" i="2"/>
  <c r="L53" i="2"/>
  <c r="K5" i="2"/>
  <c r="K78" i="2"/>
  <c r="K77" i="2"/>
  <c r="L77" i="2"/>
  <c r="L55" i="2"/>
  <c r="L51" i="2"/>
  <c r="L56" i="2"/>
  <c r="L63" i="2"/>
  <c r="L59" i="2"/>
  <c r="L22" i="2"/>
  <c r="L41" i="2"/>
  <c r="L46" i="2"/>
  <c r="L64" i="2"/>
  <c r="L50" i="2"/>
  <c r="L52" i="2"/>
  <c r="L54" i="2"/>
  <c r="L58" i="2"/>
  <c r="H96" i="5"/>
  <c r="H58" i="5"/>
  <c r="H90" i="5"/>
  <c r="H74" i="5"/>
  <c r="H99" i="5"/>
  <c r="H84" i="5"/>
  <c r="H62" i="5"/>
  <c r="H87" i="5"/>
  <c r="H5" i="5"/>
  <c r="H93" i="5"/>
  <c r="H66" i="5"/>
  <c r="H54" i="5"/>
  <c r="H50" i="5"/>
  <c r="H81" i="5"/>
  <c r="H70" i="5"/>
  <c r="I6" i="5"/>
  <c r="J32" i="28"/>
  <c r="J34" i="28"/>
  <c r="J35" i="28"/>
  <c r="K34" i="10"/>
  <c r="J36" i="28"/>
  <c r="E118" i="2"/>
  <c r="E103" i="2"/>
  <c r="E133" i="2"/>
  <c r="E128" i="2"/>
  <c r="E134" i="2"/>
  <c r="E131" i="2"/>
  <c r="E129" i="2"/>
  <c r="E119" i="2"/>
  <c r="E130" i="2"/>
  <c r="E132" i="2"/>
  <c r="E91" i="2"/>
  <c r="E90" i="2"/>
  <c r="E102" i="2"/>
  <c r="E100" i="2"/>
  <c r="E104" i="2"/>
  <c r="E101" i="2"/>
  <c r="L62" i="2"/>
  <c r="L47" i="2"/>
  <c r="F5" i="3"/>
  <c r="G6" i="3"/>
  <c r="F5" i="15"/>
  <c r="G6" i="15"/>
  <c r="B35" i="1"/>
  <c r="B16" i="1"/>
  <c r="B32" i="1"/>
  <c r="B13" i="1"/>
  <c r="B40" i="5"/>
  <c r="B52" i="1"/>
  <c r="B53" i="5"/>
  <c r="B85" i="5"/>
  <c r="H5" i="29"/>
  <c r="I6" i="29"/>
  <c r="J6" i="11"/>
  <c r="I5" i="11"/>
  <c r="H6" i="20"/>
  <c r="G5" i="20"/>
  <c r="I6" i="19"/>
  <c r="H5" i="19"/>
  <c r="I6" i="1"/>
  <c r="H5" i="1"/>
  <c r="D134" i="2"/>
  <c r="J128" i="2"/>
  <c r="J133" i="2"/>
  <c r="J131" i="2"/>
  <c r="J132" i="2"/>
  <c r="J119" i="2"/>
  <c r="J120" i="2"/>
  <c r="J130" i="2"/>
  <c r="J129" i="2"/>
  <c r="J118" i="2"/>
  <c r="J100" i="2"/>
  <c r="J104" i="2"/>
  <c r="J90" i="2"/>
  <c r="J81" i="15"/>
  <c r="J101" i="2"/>
  <c r="J91" i="2"/>
  <c r="J105" i="2"/>
  <c r="G5" i="4"/>
  <c r="H6" i="4"/>
  <c r="B34" i="1"/>
  <c r="B15" i="1"/>
  <c r="F140" i="2"/>
  <c r="F142" i="2"/>
  <c r="B65" i="5"/>
  <c r="B43" i="5"/>
  <c r="B55" i="1"/>
  <c r="B94" i="5"/>
  <c r="G124" i="2"/>
  <c r="G140" i="2"/>
  <c r="G142" i="2"/>
  <c r="G125" i="2"/>
  <c r="G141" i="2"/>
  <c r="D120" i="2"/>
  <c r="F141" i="2"/>
  <c r="J134" i="2"/>
  <c r="E137" i="2"/>
  <c r="E136" i="2"/>
  <c r="K86" i="2"/>
  <c r="K40" i="29"/>
  <c r="K35" i="10"/>
  <c r="K8" i="20"/>
  <c r="K57" i="1"/>
  <c r="M77" i="2"/>
  <c r="E120" i="2"/>
  <c r="I90" i="5"/>
  <c r="I50" i="5"/>
  <c r="I58" i="5"/>
  <c r="I70" i="5"/>
  <c r="I66" i="5"/>
  <c r="I62" i="5"/>
  <c r="I81" i="5"/>
  <c r="I54" i="5"/>
  <c r="I74" i="5"/>
  <c r="I99" i="5"/>
  <c r="I5" i="5"/>
  <c r="I93" i="5"/>
  <c r="I96" i="5"/>
  <c r="I84" i="5"/>
  <c r="J6" i="5"/>
  <c r="I87" i="5"/>
  <c r="K79" i="2"/>
  <c r="J125" i="2"/>
  <c r="J124" i="2"/>
  <c r="D136" i="2"/>
  <c r="D137" i="2"/>
  <c r="I5" i="19"/>
  <c r="J6" i="19"/>
  <c r="B14" i="1"/>
  <c r="B33" i="1"/>
  <c r="I6" i="20"/>
  <c r="H5" i="20"/>
  <c r="J6" i="29"/>
  <c r="I5" i="29"/>
  <c r="H6" i="15"/>
  <c r="G5" i="15"/>
  <c r="D124" i="2"/>
  <c r="D125" i="2"/>
  <c r="J137" i="2"/>
  <c r="J136" i="2"/>
  <c r="J6" i="1"/>
  <c r="I5" i="1"/>
  <c r="K6" i="11"/>
  <c r="K5" i="11"/>
  <c r="J5" i="11"/>
  <c r="H6" i="3"/>
  <c r="G5" i="3"/>
  <c r="B36" i="1"/>
  <c r="B17" i="1"/>
  <c r="I6" i="4"/>
  <c r="H5" i="4"/>
  <c r="K50" i="1"/>
  <c r="M79" i="2"/>
  <c r="L79" i="2"/>
  <c r="J81" i="5"/>
  <c r="J90" i="5"/>
  <c r="J93" i="5"/>
  <c r="J54" i="5"/>
  <c r="J50" i="5"/>
  <c r="J66" i="5"/>
  <c r="J5" i="5"/>
  <c r="J62" i="5"/>
  <c r="J87" i="5"/>
  <c r="K6" i="5"/>
  <c r="J99" i="5"/>
  <c r="J70" i="5"/>
  <c r="J74" i="5"/>
  <c r="J58" i="5"/>
  <c r="J96" i="5"/>
  <c r="J84" i="5"/>
  <c r="K91" i="2"/>
  <c r="K105" i="2"/>
  <c r="K128" i="2"/>
  <c r="K132" i="2"/>
  <c r="K131" i="2"/>
  <c r="K129" i="2"/>
  <c r="K130" i="2"/>
  <c r="K104" i="2"/>
  <c r="K118" i="2"/>
  <c r="K133" i="2"/>
  <c r="K100" i="2"/>
  <c r="K119" i="2"/>
  <c r="K23" i="29"/>
  <c r="E125" i="2"/>
  <c r="E141" i="2"/>
  <c r="E124" i="2"/>
  <c r="E140" i="2"/>
  <c r="D141" i="2"/>
  <c r="H5" i="3"/>
  <c r="I6" i="3"/>
  <c r="D140" i="2"/>
  <c r="J6" i="4"/>
  <c r="I5" i="4"/>
  <c r="K6" i="1"/>
  <c r="J5" i="1"/>
  <c r="K6" i="29"/>
  <c r="J5" i="29"/>
  <c r="J6" i="20"/>
  <c r="I5" i="20"/>
  <c r="J140" i="2"/>
  <c r="H5" i="15"/>
  <c r="I6" i="15"/>
  <c r="J5" i="19"/>
  <c r="K6" i="19"/>
  <c r="K5" i="19"/>
  <c r="J141" i="2"/>
  <c r="L131" i="2"/>
  <c r="M131" i="2"/>
  <c r="L133" i="2"/>
  <c r="M133" i="2"/>
  <c r="M132" i="2"/>
  <c r="L132" i="2"/>
  <c r="M118" i="2"/>
  <c r="L118" i="2"/>
  <c r="K134" i="2"/>
  <c r="M128" i="2"/>
  <c r="L128" i="2"/>
  <c r="N50" i="1"/>
  <c r="J142" i="2"/>
  <c r="E142" i="2"/>
  <c r="M130" i="2"/>
  <c r="L130" i="2"/>
  <c r="K81" i="5"/>
  <c r="K5" i="5"/>
  <c r="K99" i="5"/>
  <c r="K70" i="5"/>
  <c r="K62" i="5"/>
  <c r="K90" i="5"/>
  <c r="K93" i="5"/>
  <c r="K84" i="5"/>
  <c r="K50" i="5"/>
  <c r="K96" i="5"/>
  <c r="K58" i="5"/>
  <c r="K87" i="5"/>
  <c r="K74" i="5"/>
  <c r="K54" i="5"/>
  <c r="K66" i="5"/>
  <c r="K120" i="2"/>
  <c r="M119" i="2"/>
  <c r="M120" i="2"/>
  <c r="L119" i="2"/>
  <c r="L129" i="2"/>
  <c r="M129" i="2"/>
  <c r="D142" i="2"/>
  <c r="K6" i="20"/>
  <c r="K5" i="20"/>
  <c r="J5" i="20"/>
  <c r="K5" i="1"/>
  <c r="I5" i="3"/>
  <c r="J6" i="3"/>
  <c r="M50" i="1"/>
  <c r="I5" i="15"/>
  <c r="J6" i="15"/>
  <c r="K5" i="29"/>
  <c r="K6" i="4"/>
  <c r="K5" i="4"/>
  <c r="J5" i="4"/>
  <c r="K136" i="2"/>
  <c r="K137" i="2"/>
  <c r="M134" i="2"/>
  <c r="L134" i="2"/>
  <c r="K124" i="2"/>
  <c r="K125" i="2"/>
  <c r="K6" i="3"/>
  <c r="K5" i="3"/>
  <c r="J5" i="3"/>
  <c r="K6" i="15"/>
  <c r="K5" i="15"/>
  <c r="J5" i="15"/>
  <c r="K140" i="2"/>
  <c r="L124" i="2"/>
  <c r="M124" i="2"/>
  <c r="M137" i="2"/>
  <c r="L137" i="2"/>
  <c r="M136" i="2"/>
  <c r="L136" i="2"/>
  <c r="K141" i="2"/>
  <c r="L125" i="2"/>
  <c r="M125" i="2"/>
  <c r="K142" i="2"/>
  <c r="L140" i="2"/>
  <c r="M140" i="2"/>
  <c r="M141" i="2"/>
  <c r="L141" i="2"/>
  <c r="L142" i="2"/>
  <c r="M142" i="2"/>
  <c r="J17" i="3"/>
  <c r="J18" i="4"/>
  <c r="I14" i="4"/>
  <c r="L16" i="5"/>
  <c r="H57" i="5"/>
  <c r="H59" i="5"/>
  <c r="H41" i="5"/>
  <c r="H53" i="1"/>
  <c r="G28" i="2"/>
  <c r="G31" i="2"/>
  <c r="M100" i="2"/>
  <c r="L104" i="2"/>
  <c r="L27" i="2"/>
  <c r="H103" i="2"/>
  <c r="H106" i="2"/>
  <c r="L26" i="2"/>
  <c r="I28" i="2"/>
  <c r="M26" i="2"/>
  <c r="I104" i="2"/>
  <c r="I106" i="2"/>
  <c r="G30" i="2"/>
  <c r="E8" i="20"/>
  <c r="E57" i="1"/>
  <c r="G101" i="2"/>
  <c r="F106" i="2"/>
  <c r="H28" i="2"/>
  <c r="L100" i="2"/>
  <c r="F35" i="2"/>
  <c r="F70" i="2"/>
  <c r="F8" i="20"/>
  <c r="F57" i="1"/>
  <c r="D28" i="2"/>
  <c r="L23" i="2"/>
  <c r="D103" i="2"/>
  <c r="D106" i="2"/>
  <c r="J62" i="10"/>
  <c r="E28" i="2"/>
  <c r="H8" i="20"/>
  <c r="H57" i="1"/>
  <c r="E105" i="2"/>
  <c r="L105" i="2"/>
  <c r="K101" i="2"/>
  <c r="I14" i="20"/>
  <c r="I16" i="20"/>
  <c r="I8" i="20"/>
  <c r="I57" i="1"/>
  <c r="I28" i="3"/>
  <c r="I56" i="1"/>
  <c r="I17" i="3"/>
  <c r="I18" i="4"/>
  <c r="F28" i="3"/>
  <c r="F56" i="1"/>
  <c r="D69" i="5"/>
  <c r="D71" i="5"/>
  <c r="D44" i="5"/>
  <c r="D14" i="4"/>
  <c r="D102" i="5"/>
  <c r="D22" i="29"/>
  <c r="F17" i="3"/>
  <c r="F18" i="4"/>
  <c r="E78" i="15"/>
  <c r="E18" i="15"/>
  <c r="E23" i="15"/>
  <c r="D35" i="19"/>
  <c r="I57" i="5"/>
  <c r="I59" i="5"/>
  <c r="I41" i="5"/>
  <c r="I53" i="1"/>
  <c r="I12" i="3"/>
  <c r="I17" i="4"/>
  <c r="K53" i="5"/>
  <c r="K55" i="5"/>
  <c r="K40" i="5"/>
  <c r="K52" i="1"/>
  <c r="K61" i="5"/>
  <c r="K63" i="5"/>
  <c r="K42" i="5"/>
  <c r="K54" i="1"/>
  <c r="G64" i="4"/>
  <c r="G46" i="15"/>
  <c r="E102" i="5"/>
  <c r="E22" i="29"/>
  <c r="F102" i="5"/>
  <c r="F22" i="29"/>
  <c r="F12" i="3"/>
  <c r="F17" i="4"/>
  <c r="D17" i="3"/>
  <c r="D18" i="4"/>
  <c r="G28" i="3"/>
  <c r="G56" i="1"/>
  <c r="F19" i="19"/>
  <c r="H45" i="4"/>
  <c r="E12" i="3"/>
  <c r="E17" i="4"/>
  <c r="M16" i="5"/>
  <c r="H102" i="5"/>
  <c r="H22" i="29"/>
  <c r="J28" i="3"/>
  <c r="J56" i="1"/>
  <c r="D36" i="19"/>
  <c r="E18" i="5"/>
  <c r="J12" i="3"/>
  <c r="J17" i="4"/>
  <c r="E28" i="3"/>
  <c r="E56" i="1"/>
  <c r="H17" i="3"/>
  <c r="H18" i="4"/>
  <c r="I73" i="5"/>
  <c r="I75" i="5"/>
  <c r="I45" i="5"/>
  <c r="F64" i="4"/>
  <c r="J78" i="15"/>
  <c r="F78" i="15"/>
  <c r="G18" i="5"/>
  <c r="I102" i="5"/>
  <c r="I15" i="4"/>
  <c r="E19" i="19"/>
  <c r="M15" i="5"/>
  <c r="E53" i="5"/>
  <c r="E55" i="5"/>
  <c r="E40" i="5"/>
  <c r="E52" i="1"/>
  <c r="J14" i="4"/>
  <c r="G102" i="5"/>
  <c r="G22" i="29"/>
  <c r="F45" i="4"/>
  <c r="I45" i="4"/>
  <c r="J45" i="4"/>
  <c r="E46" i="15"/>
  <c r="E48" i="15"/>
  <c r="E80" i="15"/>
  <c r="E82" i="15"/>
  <c r="F18" i="15"/>
  <c r="F23" i="15"/>
  <c r="I18" i="15"/>
  <c r="I23" i="15"/>
  <c r="L15" i="5"/>
  <c r="I65" i="5"/>
  <c r="I67" i="5"/>
  <c r="I43" i="5"/>
  <c r="I55" i="1"/>
  <c r="G49" i="5"/>
  <c r="G51" i="5"/>
  <c r="G39" i="5"/>
  <c r="G51" i="1"/>
  <c r="G45" i="4"/>
  <c r="G66" i="4"/>
  <c r="G68" i="4"/>
  <c r="G18" i="15"/>
  <c r="F14" i="4"/>
  <c r="H64" i="4"/>
  <c r="H66" i="4"/>
  <c r="H68" i="4"/>
  <c r="J46" i="15"/>
  <c r="H46" i="15"/>
  <c r="F46" i="15"/>
  <c r="F48" i="15"/>
  <c r="D18" i="5"/>
  <c r="G17" i="3"/>
  <c r="G18" i="4"/>
  <c r="E14" i="4"/>
  <c r="D46" i="15"/>
  <c r="I46" i="15"/>
  <c r="D18" i="15"/>
  <c r="D23" i="15"/>
  <c r="H12" i="3"/>
  <c r="H17" i="4"/>
  <c r="K19" i="19"/>
  <c r="J18" i="15"/>
  <c r="J23" i="15"/>
  <c r="G12" i="3"/>
  <c r="G17" i="4"/>
  <c r="D12" i="3"/>
  <c r="D17" i="4"/>
  <c r="L120" i="2"/>
  <c r="J102" i="2"/>
  <c r="E19" i="29"/>
  <c r="D19" i="29"/>
  <c r="H18" i="2"/>
  <c r="F92" i="2"/>
  <c r="F96" i="2"/>
  <c r="G14" i="4"/>
  <c r="E45" i="4"/>
  <c r="M17" i="5"/>
  <c r="L17" i="5"/>
  <c r="F73" i="5"/>
  <c r="F75" i="5"/>
  <c r="F45" i="5"/>
  <c r="H53" i="5"/>
  <c r="H55" i="5"/>
  <c r="H40" i="5"/>
  <c r="E17" i="3"/>
  <c r="E18" i="4"/>
  <c r="D45" i="4"/>
  <c r="D78" i="15"/>
  <c r="G78" i="15"/>
  <c r="H78" i="15"/>
  <c r="H18" i="15"/>
  <c r="H23" i="15"/>
  <c r="H48" i="15"/>
  <c r="D28" i="3"/>
  <c r="D56" i="1"/>
  <c r="E81" i="15"/>
  <c r="D64" i="4"/>
  <c r="I64" i="4"/>
  <c r="I66" i="4"/>
  <c r="I68" i="4"/>
  <c r="J64" i="4"/>
  <c r="J66" i="4"/>
  <c r="J68" i="4"/>
  <c r="I78" i="15"/>
  <c r="M14" i="5"/>
  <c r="D61" i="5"/>
  <c r="D63" i="5"/>
  <c r="D42" i="5"/>
  <c r="J65" i="5"/>
  <c r="L65" i="5"/>
  <c r="E64" i="4"/>
  <c r="G23" i="15"/>
  <c r="G48" i="15"/>
  <c r="F18" i="5"/>
  <c r="G15" i="4"/>
  <c r="L13" i="5"/>
  <c r="K13" i="11"/>
  <c r="E92" i="2"/>
  <c r="E97" i="2"/>
  <c r="G18" i="2"/>
  <c r="M13" i="5"/>
  <c r="E19" i="2"/>
  <c r="G92" i="2"/>
  <c r="G96" i="2"/>
  <c r="J53" i="5"/>
  <c r="J55" i="5"/>
  <c r="J40" i="5"/>
  <c r="I61" i="5"/>
  <c r="J92" i="2"/>
  <c r="J96" i="2"/>
  <c r="J67" i="10"/>
  <c r="K18" i="15"/>
  <c r="K23" i="15"/>
  <c r="G35" i="2"/>
  <c r="G49" i="1"/>
  <c r="M27" i="2"/>
  <c r="T82" i="28"/>
  <c r="J18" i="5"/>
  <c r="H18" i="5"/>
  <c r="I49" i="5"/>
  <c r="I51" i="5"/>
  <c r="I39" i="5"/>
  <c r="I51" i="1"/>
  <c r="J102" i="5"/>
  <c r="J15" i="4"/>
  <c r="T75" i="28"/>
  <c r="J13" i="11"/>
  <c r="E53" i="1"/>
  <c r="J49" i="5"/>
  <c r="J51" i="5"/>
  <c r="J39" i="5"/>
  <c r="J51" i="1"/>
  <c r="T83" i="28"/>
  <c r="I18" i="5"/>
  <c r="K102" i="5"/>
  <c r="K64" i="4"/>
  <c r="T86" i="28"/>
  <c r="T84" i="28"/>
  <c r="M11" i="5"/>
  <c r="M12" i="5"/>
  <c r="L12" i="5"/>
  <c r="L42" i="2"/>
  <c r="J19" i="2"/>
  <c r="L13" i="2"/>
  <c r="I91" i="2"/>
  <c r="I92" i="2"/>
  <c r="F18" i="2"/>
  <c r="F34" i="2"/>
  <c r="F36" i="2"/>
  <c r="H92" i="2"/>
  <c r="H97" i="2"/>
  <c r="J18" i="2"/>
  <c r="D91" i="2"/>
  <c r="H81" i="15"/>
  <c r="K18" i="5"/>
  <c r="F51" i="1"/>
  <c r="T79" i="28"/>
  <c r="T76" i="28"/>
  <c r="T73" i="28"/>
  <c r="T77" i="28"/>
  <c r="T74" i="28"/>
  <c r="T78" i="28"/>
  <c r="T80" i="28"/>
  <c r="L14" i="5"/>
  <c r="F49" i="1"/>
  <c r="K46" i="15"/>
  <c r="L11" i="5"/>
  <c r="G43" i="5"/>
  <c r="I18" i="2"/>
  <c r="I19" i="2"/>
  <c r="E71" i="5"/>
  <c r="M69" i="5"/>
  <c r="L69" i="5"/>
  <c r="D51" i="5"/>
  <c r="K49" i="5"/>
  <c r="D18" i="2"/>
  <c r="D24" i="10"/>
  <c r="M59" i="5"/>
  <c r="E15" i="4"/>
  <c r="H15" i="4"/>
  <c r="D15" i="4"/>
  <c r="I26" i="4"/>
  <c r="I28" i="4"/>
  <c r="G26" i="4"/>
  <c r="G28" i="4"/>
  <c r="H46" i="5"/>
  <c r="I22" i="29"/>
  <c r="M104" i="2"/>
  <c r="H108" i="2"/>
  <c r="H109" i="2"/>
  <c r="E30" i="2"/>
  <c r="E34" i="2"/>
  <c r="E69" i="2"/>
  <c r="E31" i="2"/>
  <c r="H30" i="2"/>
  <c r="H31" i="2"/>
  <c r="H35" i="2"/>
  <c r="L101" i="2"/>
  <c r="G106" i="2"/>
  <c r="H113" i="2"/>
  <c r="H148" i="2"/>
  <c r="N57" i="1"/>
  <c r="F108" i="2"/>
  <c r="F112" i="2"/>
  <c r="F147" i="2"/>
  <c r="F109" i="2"/>
  <c r="I31" i="2"/>
  <c r="I35" i="2"/>
  <c r="I30" i="2"/>
  <c r="I34" i="2"/>
  <c r="I69" i="2"/>
  <c r="M57" i="1"/>
  <c r="I109" i="2"/>
  <c r="I108" i="2"/>
  <c r="G34" i="2"/>
  <c r="G69" i="2"/>
  <c r="D109" i="2"/>
  <c r="D108" i="2"/>
  <c r="M101" i="2"/>
  <c r="E35" i="2"/>
  <c r="E49" i="1"/>
  <c r="H34" i="2"/>
  <c r="H69" i="2"/>
  <c r="D31" i="2"/>
  <c r="D35" i="2"/>
  <c r="D70" i="2"/>
  <c r="D30" i="2"/>
  <c r="E106" i="2"/>
  <c r="M105" i="2"/>
  <c r="E66" i="4"/>
  <c r="E68" i="4"/>
  <c r="M57" i="5"/>
  <c r="L59" i="5"/>
  <c r="L57" i="5"/>
  <c r="L41" i="5"/>
  <c r="N53" i="1"/>
  <c r="M41" i="5"/>
  <c r="D48" i="15"/>
  <c r="D50" i="15"/>
  <c r="F66" i="4"/>
  <c r="F68" i="4"/>
  <c r="M45" i="5"/>
  <c r="D26" i="4"/>
  <c r="D28" i="4"/>
  <c r="E26" i="4"/>
  <c r="E28" i="4"/>
  <c r="F15" i="4"/>
  <c r="F26" i="4"/>
  <c r="F28" i="4"/>
  <c r="E50" i="15"/>
  <c r="G46" i="5"/>
  <c r="M75" i="5"/>
  <c r="H26" i="4"/>
  <c r="H28" i="4"/>
  <c r="J48" i="15"/>
  <c r="I48" i="15"/>
  <c r="I50" i="15"/>
  <c r="L73" i="5"/>
  <c r="F97" i="2"/>
  <c r="F113" i="2"/>
  <c r="F148" i="2"/>
  <c r="F46" i="5"/>
  <c r="E70" i="2"/>
  <c r="K48" i="15"/>
  <c r="J67" i="5"/>
  <c r="J43" i="5"/>
  <c r="J55" i="1"/>
  <c r="H52" i="1"/>
  <c r="M65" i="5"/>
  <c r="L45" i="5"/>
  <c r="J26" i="4"/>
  <c r="J28" i="4"/>
  <c r="L40" i="5"/>
  <c r="L61" i="5"/>
  <c r="M55" i="5"/>
  <c r="M53" i="5"/>
  <c r="L53" i="5"/>
  <c r="L55" i="5"/>
  <c r="M73" i="5"/>
  <c r="I63" i="5"/>
  <c r="M63" i="5"/>
  <c r="G97" i="2"/>
  <c r="M61" i="5"/>
  <c r="L75" i="5"/>
  <c r="G36" i="2"/>
  <c r="H50" i="15"/>
  <c r="H80" i="15"/>
  <c r="H82" i="15"/>
  <c r="G50" i="15"/>
  <c r="G80" i="15"/>
  <c r="G82" i="15"/>
  <c r="M40" i="5"/>
  <c r="F50" i="15"/>
  <c r="F80" i="15"/>
  <c r="F82" i="15"/>
  <c r="D66" i="4"/>
  <c r="D68" i="4"/>
  <c r="E96" i="2"/>
  <c r="G70" i="2"/>
  <c r="J97" i="2"/>
  <c r="H36" i="2"/>
  <c r="J22" i="29"/>
  <c r="M18" i="5"/>
  <c r="D54" i="1"/>
  <c r="K15" i="4"/>
  <c r="K22" i="29"/>
  <c r="K35" i="29"/>
  <c r="M53" i="1"/>
  <c r="L18" i="5"/>
  <c r="F69" i="2"/>
  <c r="F71" i="2"/>
  <c r="D92" i="2"/>
  <c r="M91" i="2"/>
  <c r="L91" i="2"/>
  <c r="H96" i="2"/>
  <c r="H112" i="2"/>
  <c r="I97" i="2"/>
  <c r="I113" i="2"/>
  <c r="I148" i="2"/>
  <c r="I96" i="2"/>
  <c r="I112" i="2"/>
  <c r="D34" i="2"/>
  <c r="K51" i="5"/>
  <c r="K39" i="5"/>
  <c r="L49" i="5"/>
  <c r="D39" i="5"/>
  <c r="G55" i="1"/>
  <c r="M49" i="5"/>
  <c r="L71" i="5"/>
  <c r="E44" i="5"/>
  <c r="M71" i="5"/>
  <c r="J52" i="1"/>
  <c r="E108" i="2"/>
  <c r="E112" i="2"/>
  <c r="E114" i="2"/>
  <c r="E109" i="2"/>
  <c r="E113" i="2"/>
  <c r="E148" i="2"/>
  <c r="G71" i="2"/>
  <c r="H114" i="2"/>
  <c r="H49" i="1"/>
  <c r="H70" i="2"/>
  <c r="H71" i="2"/>
  <c r="G109" i="2"/>
  <c r="G113" i="2"/>
  <c r="G148" i="2"/>
  <c r="G108" i="2"/>
  <c r="G112" i="2"/>
  <c r="G147" i="2"/>
  <c r="E36" i="2"/>
  <c r="D49" i="1"/>
  <c r="E71" i="2"/>
  <c r="D80" i="15"/>
  <c r="D82" i="15"/>
  <c r="I42" i="5"/>
  <c r="I46" i="5"/>
  <c r="F114" i="2"/>
  <c r="F149" i="2"/>
  <c r="J50" i="15"/>
  <c r="J80" i="15"/>
  <c r="J82" i="15"/>
  <c r="I80" i="15"/>
  <c r="I82" i="15"/>
  <c r="J46" i="5"/>
  <c r="M43" i="5"/>
  <c r="L43" i="5"/>
  <c r="M67" i="5"/>
  <c r="L67" i="5"/>
  <c r="L63" i="5"/>
  <c r="I36" i="2"/>
  <c r="H147" i="2"/>
  <c r="H149" i="2"/>
  <c r="M51" i="5"/>
  <c r="I54" i="1"/>
  <c r="L42" i="5"/>
  <c r="K26" i="4"/>
  <c r="I147" i="2"/>
  <c r="I149" i="2"/>
  <c r="I114" i="2"/>
  <c r="D97" i="2"/>
  <c r="D96" i="2"/>
  <c r="K46" i="5"/>
  <c r="K51" i="1"/>
  <c r="D69" i="2"/>
  <c r="D71" i="2"/>
  <c r="D36" i="2"/>
  <c r="I70" i="2"/>
  <c r="I71" i="2"/>
  <c r="I49" i="1"/>
  <c r="M52" i="1"/>
  <c r="N52" i="1"/>
  <c r="N55" i="1"/>
  <c r="M55" i="1"/>
  <c r="D46" i="5"/>
  <c r="M39" i="5"/>
  <c r="D51" i="1"/>
  <c r="L39" i="5"/>
  <c r="M44" i="5"/>
  <c r="L44" i="5"/>
  <c r="E46" i="5"/>
  <c r="L51" i="5"/>
  <c r="M42" i="5"/>
  <c r="G149" i="2"/>
  <c r="E147" i="2"/>
  <c r="E149" i="2"/>
  <c r="G114" i="2"/>
  <c r="K28" i="4"/>
  <c r="M54" i="1"/>
  <c r="N54" i="1"/>
  <c r="M46" i="5"/>
  <c r="L46" i="5"/>
  <c r="D112" i="2"/>
  <c r="D113" i="2"/>
  <c r="D148" i="2"/>
  <c r="N51" i="1"/>
  <c r="M51" i="1"/>
  <c r="D147" i="2"/>
  <c r="D149" i="2"/>
  <c r="D114" i="2"/>
  <c r="H35" i="29"/>
  <c r="H38" i="29"/>
  <c r="H42" i="29"/>
  <c r="H80" i="29"/>
  <c r="G35" i="29"/>
  <c r="G38" i="29"/>
  <c r="G42" i="29"/>
  <c r="G80" i="29"/>
  <c r="I35" i="29"/>
  <c r="I38" i="29"/>
  <c r="J35" i="29"/>
  <c r="D35" i="29"/>
  <c r="D38" i="29"/>
  <c r="E35" i="29"/>
  <c r="E38" i="29"/>
  <c r="F35" i="29"/>
  <c r="F38" i="29"/>
  <c r="H50" i="29"/>
  <c r="G50" i="29"/>
  <c r="E50" i="29"/>
  <c r="E42" i="29"/>
  <c r="E80" i="29"/>
  <c r="I50" i="29"/>
  <c r="I42" i="29"/>
  <c r="I80" i="29"/>
  <c r="F50" i="29"/>
  <c r="F42" i="29"/>
  <c r="F80" i="29"/>
  <c r="D50" i="29"/>
  <c r="D42" i="29"/>
  <c r="D80" i="29"/>
  <c r="J19" i="29"/>
  <c r="J38" i="29"/>
  <c r="J50" i="29"/>
  <c r="J42" i="29"/>
  <c r="J80" i="29"/>
  <c r="K38" i="29"/>
  <c r="K50" i="29"/>
  <c r="K42" i="29"/>
  <c r="K80" i="29"/>
  <c r="E75" i="29"/>
  <c r="D75" i="29"/>
  <c r="K75" i="29"/>
  <c r="H75" i="29"/>
  <c r="I75" i="29"/>
  <c r="F75" i="29"/>
  <c r="G75" i="29"/>
  <c r="J75" i="29"/>
  <c r="K103" i="2"/>
  <c r="L24" i="2"/>
  <c r="K102" i="2"/>
  <c r="K28" i="2"/>
  <c r="M24" i="2"/>
  <c r="K30" i="2"/>
  <c r="K31" i="2"/>
  <c r="M102" i="2"/>
  <c r="K106" i="2"/>
  <c r="L102" i="2"/>
  <c r="K108" i="2"/>
  <c r="K109" i="2"/>
  <c r="H21" i="10"/>
  <c r="J21" i="10"/>
  <c r="F21" i="10"/>
  <c r="E21" i="10"/>
  <c r="I21" i="10"/>
  <c r="J28" i="2"/>
  <c r="J103" i="2"/>
  <c r="M25" i="2"/>
  <c r="L25" i="2"/>
  <c r="G21" i="10"/>
  <c r="K21" i="10"/>
  <c r="J106" i="2"/>
  <c r="L103" i="2"/>
  <c r="M103" i="2"/>
  <c r="J31" i="2"/>
  <c r="J30" i="2"/>
  <c r="M28" i="2"/>
  <c r="L28" i="2"/>
  <c r="E31" i="10"/>
  <c r="F31" i="10"/>
  <c r="G31" i="10"/>
  <c r="I31" i="10"/>
  <c r="K31" i="10"/>
  <c r="H31" i="10"/>
  <c r="J31" i="10"/>
  <c r="J34" i="2"/>
  <c r="M30" i="2"/>
  <c r="L30" i="2"/>
  <c r="J35" i="2"/>
  <c r="L31" i="2"/>
  <c r="M31" i="2"/>
  <c r="J108" i="2"/>
  <c r="J109" i="2"/>
  <c r="M106" i="2"/>
  <c r="L106" i="2"/>
  <c r="D21" i="10"/>
  <c r="D29" i="10"/>
  <c r="D31" i="10"/>
  <c r="G24" i="10"/>
  <c r="I24" i="10"/>
  <c r="K24" i="10"/>
  <c r="E24" i="10"/>
  <c r="J68" i="10"/>
  <c r="J70" i="10"/>
  <c r="J24" i="10"/>
  <c r="H24" i="10"/>
  <c r="F24" i="10"/>
  <c r="J69" i="2"/>
  <c r="J36" i="2"/>
  <c r="J113" i="2"/>
  <c r="M109" i="2"/>
  <c r="L109" i="2"/>
  <c r="J112" i="2"/>
  <c r="L108" i="2"/>
  <c r="M108" i="2"/>
  <c r="J49" i="1"/>
  <c r="J70" i="2"/>
  <c r="D38" i="10"/>
  <c r="D32" i="10"/>
  <c r="D47" i="10"/>
  <c r="E16" i="10"/>
  <c r="E18" i="10"/>
  <c r="E29" i="10"/>
  <c r="F16" i="10"/>
  <c r="F18" i="10"/>
  <c r="F29" i="10"/>
  <c r="E32" i="10"/>
  <c r="E38" i="10"/>
  <c r="E47" i="10"/>
  <c r="J71" i="2"/>
  <c r="D46" i="10"/>
  <c r="D45" i="10"/>
  <c r="J148" i="2"/>
  <c r="J147" i="2"/>
  <c r="J114" i="2"/>
  <c r="F47" i="10"/>
  <c r="F46" i="10"/>
  <c r="F32" i="10"/>
  <c r="F38" i="10"/>
  <c r="G16" i="10"/>
  <c r="G18" i="10"/>
  <c r="G29" i="10"/>
  <c r="E45" i="10"/>
  <c r="E53" i="10"/>
  <c r="E46" i="10"/>
  <c r="E54" i="10"/>
  <c r="D49" i="10"/>
  <c r="D53" i="10"/>
  <c r="D66" i="1"/>
  <c r="D48" i="29"/>
  <c r="D54" i="10"/>
  <c r="D65" i="1"/>
  <c r="D50" i="10"/>
  <c r="J149" i="2"/>
  <c r="F45" i="10"/>
  <c r="G38" i="10"/>
  <c r="E50" i="10"/>
  <c r="E48" i="1"/>
  <c r="E65" i="1"/>
  <c r="E11" i="1"/>
  <c r="E49" i="10"/>
  <c r="G32" i="10"/>
  <c r="H16" i="10"/>
  <c r="H18" i="10"/>
  <c r="H29" i="10"/>
  <c r="G47" i="10"/>
  <c r="G46" i="10"/>
  <c r="D58" i="10"/>
  <c r="D48" i="1"/>
  <c r="D55" i="10"/>
  <c r="D14" i="1"/>
  <c r="D12" i="1"/>
  <c r="D17" i="1"/>
  <c r="D11" i="1"/>
  <c r="D16" i="1"/>
  <c r="D19" i="1"/>
  <c r="D15" i="1"/>
  <c r="D18" i="1"/>
  <c r="D13" i="1"/>
  <c r="D57" i="10"/>
  <c r="D51" i="10"/>
  <c r="D31" i="1"/>
  <c r="D37" i="1"/>
  <c r="D33" i="1"/>
  <c r="D35" i="1"/>
  <c r="D38" i="1"/>
  <c r="D34" i="1"/>
  <c r="D32" i="1"/>
  <c r="D30" i="1"/>
  <c r="D36" i="1"/>
  <c r="E48" i="29"/>
  <c r="F53" i="10"/>
  <c r="F49" i="10"/>
  <c r="E15" i="1"/>
  <c r="E18" i="1"/>
  <c r="E17" i="1"/>
  <c r="E66" i="1"/>
  <c r="F65" i="1"/>
  <c r="F50" i="10"/>
  <c r="F54" i="10"/>
  <c r="E55" i="10"/>
  <c r="E13" i="1"/>
  <c r="E12" i="1"/>
  <c r="G45" i="10"/>
  <c r="G49" i="10"/>
  <c r="E19" i="1"/>
  <c r="E57" i="10"/>
  <c r="E51" i="10"/>
  <c r="F48" i="29"/>
  <c r="E58" i="10"/>
  <c r="E14" i="1"/>
  <c r="E16" i="1"/>
  <c r="D59" i="10"/>
  <c r="I16" i="10"/>
  <c r="I18" i="10"/>
  <c r="I29" i="10"/>
  <c r="H47" i="10"/>
  <c r="H32" i="10"/>
  <c r="H38" i="10"/>
  <c r="E59" i="10"/>
  <c r="D58" i="1"/>
  <c r="D10" i="1"/>
  <c r="D29" i="1"/>
  <c r="E58" i="1"/>
  <c r="E29" i="1"/>
  <c r="E10" i="1"/>
  <c r="E38" i="1"/>
  <c r="E33" i="1"/>
  <c r="E35" i="1"/>
  <c r="E30" i="1"/>
  <c r="E31" i="1"/>
  <c r="E36" i="1"/>
  <c r="E37" i="1"/>
  <c r="E32" i="1"/>
  <c r="E34" i="1"/>
  <c r="F57" i="10"/>
  <c r="F51" i="10"/>
  <c r="F55" i="10"/>
  <c r="F48" i="1"/>
  <c r="F58" i="10"/>
  <c r="F16" i="1"/>
  <c r="F11" i="1"/>
  <c r="F18" i="1"/>
  <c r="F15" i="1"/>
  <c r="F14" i="1"/>
  <c r="F13" i="1"/>
  <c r="F19" i="1"/>
  <c r="F12" i="1"/>
  <c r="F17" i="1"/>
  <c r="G50" i="10"/>
  <c r="G65" i="1"/>
  <c r="G54" i="10"/>
  <c r="G53" i="10"/>
  <c r="J16" i="10"/>
  <c r="J18" i="10"/>
  <c r="J64" i="10"/>
  <c r="J71" i="10"/>
  <c r="J75" i="10"/>
  <c r="I32" i="10"/>
  <c r="F66" i="1"/>
  <c r="F32" i="1"/>
  <c r="I47" i="10"/>
  <c r="I46" i="10"/>
  <c r="I38" i="10"/>
  <c r="H46" i="10"/>
  <c r="H54" i="10"/>
  <c r="G66" i="1"/>
  <c r="G35" i="1"/>
  <c r="H45" i="10"/>
  <c r="H49" i="10"/>
  <c r="D86" i="29"/>
  <c r="D39" i="1"/>
  <c r="D20" i="1"/>
  <c r="G55" i="10"/>
  <c r="E39" i="1"/>
  <c r="G51" i="10"/>
  <c r="G57" i="10"/>
  <c r="G11" i="1"/>
  <c r="G13" i="1"/>
  <c r="G16" i="1"/>
  <c r="G19" i="1"/>
  <c r="G18" i="1"/>
  <c r="G15" i="1"/>
  <c r="G17" i="1"/>
  <c r="G12" i="1"/>
  <c r="G14" i="1"/>
  <c r="G58" i="10"/>
  <c r="G48" i="1"/>
  <c r="F59" i="10"/>
  <c r="J29" i="10"/>
  <c r="E86" i="29"/>
  <c r="F10" i="1"/>
  <c r="F58" i="1"/>
  <c r="E20" i="1"/>
  <c r="F38" i="1"/>
  <c r="F37" i="1"/>
  <c r="F30" i="1"/>
  <c r="F29" i="1"/>
  <c r="F31" i="1"/>
  <c r="F35" i="1"/>
  <c r="I66" i="1"/>
  <c r="F34" i="1"/>
  <c r="F33" i="1"/>
  <c r="I45" i="10"/>
  <c r="I49" i="10"/>
  <c r="G48" i="29"/>
  <c r="F36" i="1"/>
  <c r="H50" i="10"/>
  <c r="H58" i="10"/>
  <c r="G31" i="1"/>
  <c r="H65" i="1"/>
  <c r="H18" i="1"/>
  <c r="I48" i="29"/>
  <c r="G37" i="1"/>
  <c r="G30" i="1"/>
  <c r="G32" i="1"/>
  <c r="G34" i="1"/>
  <c r="G33" i="1"/>
  <c r="G36" i="1"/>
  <c r="G38" i="1"/>
  <c r="H53" i="10"/>
  <c r="H55" i="10"/>
  <c r="D88" i="29"/>
  <c r="D89" i="29"/>
  <c r="D59" i="1"/>
  <c r="D87" i="29"/>
  <c r="F86" i="29"/>
  <c r="I50" i="10"/>
  <c r="I65" i="1"/>
  <c r="I54" i="10"/>
  <c r="J74" i="10"/>
  <c r="J73" i="10"/>
  <c r="H57" i="10"/>
  <c r="J32" i="10"/>
  <c r="K16" i="10"/>
  <c r="K18" i="10"/>
  <c r="K29" i="10"/>
  <c r="J38" i="10"/>
  <c r="J47" i="10"/>
  <c r="G10" i="1"/>
  <c r="G29" i="1"/>
  <c r="G58" i="1"/>
  <c r="G59" i="10"/>
  <c r="F20" i="1"/>
  <c r="E87" i="29"/>
  <c r="F39" i="1"/>
  <c r="H51" i="10"/>
  <c r="H48" i="1"/>
  <c r="I53" i="10"/>
  <c r="I55" i="10"/>
  <c r="H15" i="1"/>
  <c r="H12" i="1"/>
  <c r="H16" i="1"/>
  <c r="H17" i="1"/>
  <c r="H19" i="1"/>
  <c r="H14" i="1"/>
  <c r="H13" i="1"/>
  <c r="H11" i="1"/>
  <c r="D21" i="1"/>
  <c r="D51" i="29"/>
  <c r="D52" i="29"/>
  <c r="D54" i="29"/>
  <c r="D82" i="29"/>
  <c r="D61" i="1"/>
  <c r="D90" i="29"/>
  <c r="D60" i="1"/>
  <c r="H66" i="1"/>
  <c r="H48" i="29"/>
  <c r="F88" i="29"/>
  <c r="F89" i="29"/>
  <c r="F59" i="1"/>
  <c r="G20" i="1"/>
  <c r="E88" i="29"/>
  <c r="J45" i="10"/>
  <c r="J46" i="10"/>
  <c r="H58" i="1"/>
  <c r="H10" i="1"/>
  <c r="K47" i="10"/>
  <c r="K38" i="10"/>
  <c r="I19" i="1"/>
  <c r="I16" i="1"/>
  <c r="I17" i="1"/>
  <c r="I11" i="1"/>
  <c r="I18" i="1"/>
  <c r="I15" i="1"/>
  <c r="I13" i="1"/>
  <c r="I12" i="1"/>
  <c r="I14" i="1"/>
  <c r="F87" i="29"/>
  <c r="I58" i="10"/>
  <c r="I48" i="1"/>
  <c r="I35" i="1"/>
  <c r="I32" i="1"/>
  <c r="I37" i="1"/>
  <c r="I38" i="1"/>
  <c r="I33" i="1"/>
  <c r="I30" i="1"/>
  <c r="I34" i="1"/>
  <c r="I36" i="1"/>
  <c r="I31" i="1"/>
  <c r="I57" i="10"/>
  <c r="I51" i="10"/>
  <c r="G86" i="29"/>
  <c r="H59" i="10"/>
  <c r="G39" i="1"/>
  <c r="H29" i="1"/>
  <c r="D84" i="29"/>
  <c r="D62" i="1"/>
  <c r="D41" i="1"/>
  <c r="D40" i="1"/>
  <c r="H31" i="1"/>
  <c r="H38" i="1"/>
  <c r="H30" i="1"/>
  <c r="H37" i="1"/>
  <c r="H34" i="1"/>
  <c r="H33" i="1"/>
  <c r="H32" i="1"/>
  <c r="H36" i="1"/>
  <c r="H35" i="1"/>
  <c r="F90" i="29"/>
  <c r="F21" i="1"/>
  <c r="F51" i="29"/>
  <c r="F52" i="29"/>
  <c r="F54" i="29"/>
  <c r="F82" i="29"/>
  <c r="F61" i="1"/>
  <c r="D22" i="1"/>
  <c r="I59" i="10"/>
  <c r="E89" i="29"/>
  <c r="E51" i="29"/>
  <c r="E52" i="29"/>
  <c r="E54" i="29"/>
  <c r="E82" i="29"/>
  <c r="H86" i="29"/>
  <c r="J50" i="10"/>
  <c r="J54" i="10"/>
  <c r="J65" i="1"/>
  <c r="I10" i="1"/>
  <c r="I58" i="1"/>
  <c r="I29" i="1"/>
  <c r="K45" i="10"/>
  <c r="K46" i="10"/>
  <c r="J53" i="10"/>
  <c r="J49" i="10"/>
  <c r="G87" i="29"/>
  <c r="H20" i="1"/>
  <c r="G88" i="29"/>
  <c r="G89" i="29"/>
  <c r="G59" i="1"/>
  <c r="D63" i="1"/>
  <c r="J66" i="1"/>
  <c r="J37" i="1"/>
  <c r="J48" i="29"/>
  <c r="G90" i="29"/>
  <c r="G51" i="29"/>
  <c r="G52" i="29"/>
  <c r="G54" i="29"/>
  <c r="G82" i="29"/>
  <c r="G61" i="1"/>
  <c r="H39" i="1"/>
  <c r="F84" i="29"/>
  <c r="F62" i="1"/>
  <c r="F60" i="1"/>
  <c r="D23" i="1"/>
  <c r="D42" i="1"/>
  <c r="I88" i="29"/>
  <c r="I89" i="29"/>
  <c r="I59" i="1"/>
  <c r="I21" i="1"/>
  <c r="K53" i="10"/>
  <c r="K49" i="10"/>
  <c r="J13" i="1"/>
  <c r="J15" i="1"/>
  <c r="J17" i="1"/>
  <c r="J14" i="1"/>
  <c r="J11" i="1"/>
  <c r="J18" i="1"/>
  <c r="J19" i="1"/>
  <c r="J16" i="1"/>
  <c r="J12" i="1"/>
  <c r="G84" i="29"/>
  <c r="G62" i="1"/>
  <c r="J48" i="1"/>
  <c r="J58" i="10"/>
  <c r="H87" i="29"/>
  <c r="E61" i="1"/>
  <c r="E84" i="29"/>
  <c r="J51" i="10"/>
  <c r="J57" i="10"/>
  <c r="I39" i="1"/>
  <c r="J30" i="1"/>
  <c r="J33" i="1"/>
  <c r="J31" i="1"/>
  <c r="J35" i="1"/>
  <c r="J36" i="1"/>
  <c r="E59" i="1"/>
  <c r="E90" i="29"/>
  <c r="E60" i="1"/>
  <c r="J55" i="10"/>
  <c r="I20" i="1"/>
  <c r="K65" i="1"/>
  <c r="K50" i="10"/>
  <c r="K54" i="10"/>
  <c r="I86" i="29"/>
  <c r="F22" i="1"/>
  <c r="G60" i="1"/>
  <c r="G21" i="1"/>
  <c r="J32" i="1"/>
  <c r="J34" i="1"/>
  <c r="J38" i="1"/>
  <c r="F63" i="1"/>
  <c r="F41" i="1"/>
  <c r="G40" i="1"/>
  <c r="M14" i="1"/>
  <c r="M17" i="1"/>
  <c r="F40" i="1"/>
  <c r="J59" i="10"/>
  <c r="M16" i="1"/>
  <c r="M15" i="1"/>
  <c r="N15" i="1"/>
  <c r="E62" i="1"/>
  <c r="E41" i="1"/>
  <c r="N12" i="1"/>
  <c r="N14" i="1"/>
  <c r="F23" i="1"/>
  <c r="N13" i="1"/>
  <c r="E22" i="1"/>
  <c r="M19" i="1"/>
  <c r="K57" i="10"/>
  <c r="K51" i="10"/>
  <c r="I87" i="29"/>
  <c r="I90" i="29"/>
  <c r="I51" i="29"/>
  <c r="I52" i="29"/>
  <c r="I54" i="29"/>
  <c r="I82" i="29"/>
  <c r="K55" i="10"/>
  <c r="G22" i="1"/>
  <c r="G41" i="1"/>
  <c r="K48" i="1"/>
  <c r="M48" i="1"/>
  <c r="K58" i="10"/>
  <c r="N19" i="1"/>
  <c r="K17" i="1"/>
  <c r="K19" i="1"/>
  <c r="K13" i="1"/>
  <c r="K14" i="1"/>
  <c r="K15" i="1"/>
  <c r="K12" i="1"/>
  <c r="K16" i="1"/>
  <c r="N16" i="1"/>
  <c r="M13" i="1"/>
  <c r="J10" i="1"/>
  <c r="J58" i="1"/>
  <c r="J29" i="1"/>
  <c r="N17" i="1"/>
  <c r="E21" i="1"/>
  <c r="E40" i="1"/>
  <c r="G63" i="1"/>
  <c r="M12" i="1"/>
  <c r="H88" i="29"/>
  <c r="E63" i="1"/>
  <c r="F42" i="1"/>
  <c r="I60" i="1"/>
  <c r="K59" i="10"/>
  <c r="E23" i="1"/>
  <c r="J39" i="1"/>
  <c r="K10" i="1"/>
  <c r="M10" i="1"/>
  <c r="N48" i="1"/>
  <c r="G42" i="1"/>
  <c r="J86" i="29"/>
  <c r="J20" i="1"/>
  <c r="N10" i="1"/>
  <c r="G23" i="1"/>
  <c r="E42" i="1"/>
  <c r="I84" i="29"/>
  <c r="I62" i="1"/>
  <c r="I61" i="1"/>
  <c r="J88" i="29"/>
  <c r="J89" i="29"/>
  <c r="J59" i="1"/>
  <c r="H89" i="29"/>
  <c r="H51" i="29"/>
  <c r="H52" i="29"/>
  <c r="H54" i="29"/>
  <c r="H82" i="29"/>
  <c r="I40" i="1"/>
  <c r="I63" i="1"/>
  <c r="I22" i="1"/>
  <c r="I41" i="1"/>
  <c r="J87" i="29"/>
  <c r="J21" i="1"/>
  <c r="J90" i="29"/>
  <c r="J60" i="1"/>
  <c r="J51" i="29"/>
  <c r="J52" i="29"/>
  <c r="J54" i="29"/>
  <c r="J82" i="29"/>
  <c r="J84" i="29"/>
  <c r="J62" i="1"/>
  <c r="H59" i="1"/>
  <c r="H90" i="29"/>
  <c r="H60" i="1"/>
  <c r="H84" i="29"/>
  <c r="H61" i="1"/>
  <c r="I23" i="1"/>
  <c r="I42" i="1"/>
  <c r="J40" i="1"/>
  <c r="H62" i="1"/>
  <c r="J61" i="1"/>
  <c r="J22" i="1"/>
  <c r="H22" i="1"/>
  <c r="H21" i="1"/>
  <c r="H40" i="1"/>
  <c r="J41" i="1"/>
  <c r="H63" i="1"/>
  <c r="J63" i="1"/>
  <c r="H41" i="1"/>
  <c r="H42" i="1"/>
  <c r="H23" i="1"/>
  <c r="J23" i="1"/>
  <c r="J42" i="1"/>
  <c r="K45" i="4"/>
  <c r="K66" i="4"/>
  <c r="K68" i="4"/>
  <c r="K28" i="3"/>
  <c r="K56" i="1"/>
  <c r="N56" i="1"/>
  <c r="M56" i="1"/>
  <c r="K18" i="1"/>
  <c r="M18" i="1"/>
  <c r="N18" i="1"/>
  <c r="K50" i="15"/>
  <c r="K78" i="15"/>
  <c r="K80" i="15"/>
  <c r="K14" i="2"/>
  <c r="L12" i="2"/>
  <c r="L14" i="2"/>
  <c r="K90" i="2"/>
  <c r="M12" i="2"/>
  <c r="M14" i="2"/>
  <c r="K81" i="15"/>
  <c r="K92" i="2"/>
  <c r="L90" i="2"/>
  <c r="L92" i="2"/>
  <c r="M90" i="2"/>
  <c r="M92" i="2"/>
  <c r="K82" i="15"/>
  <c r="K18" i="2"/>
  <c r="K19" i="2"/>
  <c r="M18" i="2"/>
  <c r="L18" i="2"/>
  <c r="K34" i="2"/>
  <c r="K97" i="2"/>
  <c r="K96" i="2"/>
  <c r="L19" i="2"/>
  <c r="M19" i="2"/>
  <c r="K35" i="2"/>
  <c r="K70" i="2"/>
  <c r="K49" i="1"/>
  <c r="L35" i="2"/>
  <c r="M35" i="2"/>
  <c r="M97" i="2"/>
  <c r="L97" i="2"/>
  <c r="K113" i="2"/>
  <c r="K36" i="2"/>
  <c r="K69" i="2"/>
  <c r="L34" i="2"/>
  <c r="M34" i="2"/>
  <c r="M96" i="2"/>
  <c r="L96" i="2"/>
  <c r="K112" i="2"/>
  <c r="L36" i="2"/>
  <c r="M36" i="2"/>
  <c r="K148" i="2"/>
  <c r="M113" i="2"/>
  <c r="L113" i="2"/>
  <c r="N49" i="1"/>
  <c r="M49" i="1"/>
  <c r="K11" i="1"/>
  <c r="N11" i="1"/>
  <c r="M11" i="1"/>
  <c r="K58" i="1"/>
  <c r="K71" i="2"/>
  <c r="L69" i="2"/>
  <c r="M69" i="2"/>
  <c r="K147" i="2"/>
  <c r="K114" i="2"/>
  <c r="L112" i="2"/>
  <c r="M112" i="2"/>
  <c r="L70" i="2"/>
  <c r="M70" i="2"/>
  <c r="M114" i="2"/>
  <c r="L114" i="2"/>
  <c r="M20" i="1"/>
  <c r="M58" i="1"/>
  <c r="N20" i="1"/>
  <c r="N58" i="1"/>
  <c r="M148" i="2"/>
  <c r="L148" i="2"/>
  <c r="K20" i="1"/>
  <c r="K149" i="2"/>
  <c r="M147" i="2"/>
  <c r="L147" i="2"/>
  <c r="M71" i="2"/>
  <c r="L71" i="2"/>
  <c r="M149" i="2"/>
  <c r="L149" i="2"/>
  <c r="K66" i="1"/>
  <c r="K48" i="29"/>
  <c r="K33" i="1"/>
  <c r="N35" i="1"/>
  <c r="N31" i="1"/>
  <c r="N34" i="1"/>
  <c r="N38" i="1"/>
  <c r="K30" i="1"/>
  <c r="N36" i="1"/>
  <c r="M38" i="1"/>
  <c r="K32" i="1"/>
  <c r="N32" i="1"/>
  <c r="M31" i="1"/>
  <c r="N30" i="1"/>
  <c r="M30" i="1"/>
  <c r="M32" i="1"/>
  <c r="K34" i="1"/>
  <c r="K29" i="1"/>
  <c r="N29" i="1"/>
  <c r="M33" i="1"/>
  <c r="N33" i="1"/>
  <c r="K36" i="1"/>
  <c r="M37" i="1"/>
  <c r="M36" i="1"/>
  <c r="M35" i="1"/>
  <c r="K38" i="1"/>
  <c r="K31" i="1"/>
  <c r="M34" i="1"/>
  <c r="K37" i="1"/>
  <c r="N37" i="1"/>
  <c r="K35" i="1"/>
  <c r="M29" i="1"/>
  <c r="N39" i="1"/>
  <c r="K39" i="1"/>
  <c r="K86" i="29"/>
  <c r="M39" i="1"/>
  <c r="K87" i="29"/>
  <c r="K88" i="29"/>
  <c r="K89" i="29"/>
  <c r="K51" i="29"/>
  <c r="K52" i="29"/>
  <c r="K54" i="29"/>
  <c r="K82" i="29"/>
  <c r="K90" i="29"/>
  <c r="K60" i="1"/>
  <c r="K59" i="1"/>
  <c r="K84" i="29"/>
  <c r="K62" i="1"/>
  <c r="K61" i="1"/>
  <c r="K41" i="1"/>
  <c r="M62" i="1"/>
  <c r="N62" i="1"/>
  <c r="M59" i="1"/>
  <c r="K40" i="1"/>
  <c r="K21" i="1"/>
  <c r="N40" i="1"/>
  <c r="N59" i="1"/>
  <c r="M21" i="1"/>
  <c r="M40" i="1"/>
  <c r="N21" i="1"/>
  <c r="K63" i="1"/>
  <c r="M22" i="1"/>
  <c r="K22" i="1"/>
  <c r="N22" i="1"/>
  <c r="M61" i="1"/>
  <c r="N61" i="1"/>
  <c r="N41" i="1"/>
  <c r="M41" i="1"/>
  <c r="M60" i="1"/>
  <c r="N60" i="1"/>
  <c r="N42" i="1"/>
  <c r="K23" i="1"/>
  <c r="K42" i="1"/>
  <c r="M63" i="1"/>
  <c r="N23" i="1"/>
  <c r="M42" i="1"/>
  <c r="M23" i="1"/>
  <c r="N63" i="1"/>
</calcChain>
</file>

<file path=xl/comments1.xml><?xml version="1.0" encoding="utf-8"?>
<comments xmlns="http://schemas.openxmlformats.org/spreadsheetml/2006/main">
  <authors>
    <author>Bartlam, Katherine</author>
  </authors>
  <commentList>
    <comment ref="J37" authorId="0" shapeId="0">
      <text>
        <r>
          <rPr>
            <b/>
            <sz val="9"/>
            <color indexed="81"/>
            <rFont val="Tahoma"/>
            <family val="2"/>
          </rPr>
          <t xml:space="preserve">NGED: </t>
        </r>
        <r>
          <rPr>
            <sz val="9"/>
            <color indexed="81"/>
            <rFont val="Tahoma"/>
            <family val="2"/>
          </rPr>
          <t xml:space="preserve">This cell should be greyed out as detail provided above.
</t>
        </r>
      </text>
    </comment>
  </commentList>
</comments>
</file>

<file path=xl/sharedStrings.xml><?xml version="1.0" encoding="utf-8"?>
<sst xmlns="http://schemas.openxmlformats.org/spreadsheetml/2006/main" count="1513" uniqueCount="677">
  <si>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</si>
  <si>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</si>
  <si>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</si>
  <si>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</si>
  <si>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</si>
  <si>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</si>
  <si>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</si>
  <si>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</si>
  <si>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</si>
  <si>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</si>
  <si>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</si>
  <si>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</si>
  <si>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</si>
  <si>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</si>
  <si>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</si>
  <si>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</si>
  <si>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</si>
  <si>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</si>
  <si>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</si>
  <si>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</si>
  <si>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</si>
  <si>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</si>
  <si>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</si>
  <si>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</si>
  <si>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</si>
  <si>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</si>
  <si>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</si>
  <si>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</si>
  <si>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</si>
  <si>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</si>
  <si>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</si>
  <si>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</si>
  <si>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</si>
  <si>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</si>
  <si>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</si>
  <si>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</si>
  <si>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</si>
  <si>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</si>
  <si>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</si>
  <si>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</si>
  <si>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</si>
  <si>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</si>
  <si>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</si>
  <si>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</si>
  <si>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</si>
  <si>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</si>
  <si>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</si>
  <si>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</si>
  <si>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</si>
  <si>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</si>
  <si>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</si>
  <si>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</si>
  <si>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</si>
  <si>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</si>
  <si>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</si>
  <si>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</si>
  <si>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</si>
  <si>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</si>
  <si>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</si>
  <si>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</si>
  <si>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</si>
  <si>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</si>
  <si>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</si>
  <si>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</si>
  <si>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</si>
  <si>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</si>
  <si>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</si>
  <si>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</si>
  <si>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</si>
  <si>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</si>
  <si>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</si>
  <si>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</si>
  <si>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</si>
  <si>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</si>
  <si>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</si>
  <si>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</si>
  <si>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</si>
  <si>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</si>
  <si>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</si>
  <si>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</si>
  <si>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</si>
  <si>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</si>
  <si>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</si>
  <si>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</si>
  <si>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</si>
  <si>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</si>
  <si>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</si>
  <si>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</si>
  <si>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</si>
  <si>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</si>
  <si>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</si>
  <si>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</si>
  <si>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</si>
  <si>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</si>
  <si>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</si>
  <si>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</si>
  <si>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</si>
  <si>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</si>
  <si>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</si>
  <si>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</si>
  <si>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</si>
  <si>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</si>
  <si>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</si>
  <si>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</si>
  <si>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</si>
  <si>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</si>
  <si>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</si>
  <si>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</si>
  <si>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</si>
  <si>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</si>
  <si>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</si>
  <si>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</si>
  <si>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</si>
  <si>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</si>
  <si>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</si>
  <si>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</si>
  <si>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</si>
  <si>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</si>
  <si>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</si>
  <si>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</si>
  <si>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</si>
  <si>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</si>
  <si>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</si>
  <si>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</si>
  <si>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</si>
  <si>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</si>
  <si>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</si>
  <si>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</si>
  <si>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</si>
  <si>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</si>
  <si>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</si>
  <si>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</si>
  <si>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</si>
  <si>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</si>
  <si>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</si>
  <si>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</si>
  <si>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</si>
  <si>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</si>
  <si>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</si>
  <si>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</si>
  <si>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</si>
  <si>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</si>
  <si>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</si>
  <si>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</si>
  <si>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</si>
  <si>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</si>
  <si>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</si>
  <si>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</si>
  <si>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</si>
  <si>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</si>
  <si>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</si>
  <si>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</si>
  <si>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</si>
  <si>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</si>
  <si>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</si>
  <si>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</si>
  <si>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</si>
  <si>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</si>
  <si>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</si>
  <si>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</si>
  <si>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</si>
  <si>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</si>
  <si>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</si>
  <si>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</si>
  <si>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</si>
  <si>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</si>
  <si>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</si>
  <si>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</si>
  <si>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</si>
  <si>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</si>
  <si>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</si>
  <si>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</si>
  <si>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</si>
  <si>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</si>
  <si>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</si>
  <si>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</si>
  <si>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</si>
  <si>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</si>
  <si>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</si>
  <si>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</si>
  <si>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</si>
  <si>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</si>
  <si>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</si>
  <si>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</si>
  <si>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</si>
  <si>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</si>
  <si>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</si>
  <si>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</si>
  <si>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</si>
  <si>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</si>
  <si>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</si>
  <si>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</si>
  <si>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</si>
  <si>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</si>
  <si>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</si>
  <si>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</si>
  <si>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</si>
  <si>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</si>
  <si>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</si>
  <si>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</si>
  <si>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</si>
  <si>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</si>
  <si>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</si>
  <si>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</si>
  <si>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</si>
  <si>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</si>
  <si>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</si>
  <si>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</si>
  <si>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</si>
  <si>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</si>
  <si>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</si>
  <si>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</si>
  <si>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</si>
  <si>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</si>
  <si>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</si>
  <si>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</si>
  <si>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</si>
  <si>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</si>
  <si>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</si>
  <si>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</si>
  <si>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</si>
  <si>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</si>
  <si>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</si>
  <si>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</si>
  <si>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</si>
  <si>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</si>
  <si>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</si>
  <si>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</si>
  <si>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</si>
  <si>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</si>
  <si>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</si>
  <si>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</si>
  <si>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</si>
  <si>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</si>
  <si>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</si>
  <si>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</si>
  <si>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</si>
  <si>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</si>
  <si>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</si>
  <si>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</si>
  <si>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</si>
  <si>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</si>
  <si>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</si>
  <si>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</si>
  <si>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</si>
  <si>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</si>
  <si>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</si>
  <si>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</si>
  <si>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</si>
  <si>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</si>
  <si>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</si>
  <si>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</si>
  <si>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</si>
  <si>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</si>
  <si>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</si>
  <si>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</si>
  <si>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</si>
  <si>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</si>
  <si>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</si>
  <si>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</si>
  <si>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</si>
  <si>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</si>
  <si>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</si>
  <si>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</si>
  <si>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</si>
  <si>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</si>
  <si>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</si>
  <si>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</si>
  <si>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</si>
  <si>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</si>
  <si>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</si>
  <si>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</si>
  <si>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</si>
  <si>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</si>
  <si>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</si>
  <si>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</si>
  <si>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</si>
  <si>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</si>
  <si>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</si>
  <si>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</si>
  <si>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</si>
  <si>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</si>
  <si>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</si>
  <si>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</si>
  <si>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</si>
  <si>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</si>
  <si>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</si>
  <si>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</si>
  <si>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</si>
  <si>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</si>
  <si>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</si>
  <si>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</si>
  <si>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</si>
  <si>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</si>
  <si>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</si>
  <si>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</si>
  <si>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</si>
  <si>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</si>
  <si>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</si>
  <si>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</si>
  <si>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</si>
  <si>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</si>
  <si>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</si>
  <si>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</si>
  <si>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</si>
  <si>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</si>
  <si>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</si>
  <si>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</si>
  <si>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</si>
  <si>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</si>
  <si>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</si>
  <si>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</si>
  <si>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</si>
  <si>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</si>
  <si>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</si>
  <si>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</si>
  <si>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</si>
  <si>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</si>
  <si>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</si>
  <si>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</si>
  <si>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</si>
  <si>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</si>
  <si>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</si>
  <si>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</si>
  <si>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</si>
  <si>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</si>
  <si>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</si>
  <si>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</si>
  <si>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</si>
  <si>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</si>
  <si>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</si>
  <si>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</si>
  <si>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</si>
  <si>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</si>
  <si>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</si>
  <si>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</si>
  <si>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</si>
  <si>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</si>
  <si>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</si>
  <si>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</si>
  <si>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</si>
  <si>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</si>
  <si>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</si>
  <si>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</si>
  <si>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ET - excluding SHET</t>
  </si>
  <si>
    <t>Allowed cost of debt %</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</si>
  <si>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</si>
  <si>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</si>
  <si>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</si>
  <si>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</si>
  <si>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</si>
  <si>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</si>
  <si>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</si>
  <si>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</si>
  <si>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</si>
  <si>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</si>
  <si>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</si>
  <si>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</si>
  <si>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</si>
  <si>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</si>
  <si>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</si>
  <si>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</si>
  <si>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</si>
  <si>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</si>
  <si>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</si>
  <si>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</si>
  <si>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</si>
  <si>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</si>
  <si>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</si>
  <si>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</si>
  <si>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</si>
  <si>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</si>
  <si>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</si>
  <si>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</si>
  <si>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</si>
  <si>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</si>
  <si>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</si>
  <si>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</si>
  <si>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</si>
  <si>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</si>
  <si>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</si>
  <si>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</si>
  <si>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</si>
  <si>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</si>
  <si>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</si>
  <si>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</si>
  <si>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</si>
  <si>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</si>
  <si>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</si>
  <si>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</si>
  <si>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</si>
  <si>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</si>
  <si>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</si>
  <si>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</si>
  <si>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</si>
  <si>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</si>
  <si>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</si>
  <si>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</si>
  <si>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</si>
  <si>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</si>
  <si>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</si>
  <si>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</si>
  <si>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</si>
  <si>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</si>
  <si>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</si>
  <si>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</si>
  <si>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</si>
  <si>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</si>
  <si>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</si>
  <si>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</si>
  <si>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</si>
  <si>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</si>
  <si>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</si>
  <si>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</si>
  <si>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</si>
  <si>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</si>
  <si>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</si>
  <si>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</si>
  <si>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</si>
  <si>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</si>
  <si>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</si>
  <si>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</si>
  <si>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</si>
  <si>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</si>
  <si>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</si>
  <si>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</si>
  <si>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</si>
  <si>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</si>
  <si>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</si>
  <si>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</si>
  <si>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</si>
  <si>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</si>
  <si>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</si>
  <si>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</si>
  <si>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</si>
  <si>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</si>
  <si>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</si>
  <si>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</si>
  <si>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</si>
  <si>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</si>
  <si>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</si>
  <si>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</si>
  <si>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</si>
  <si>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</si>
  <si>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</si>
  <si>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</si>
  <si>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</si>
  <si>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</si>
  <si>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</si>
  <si>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</si>
  <si>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</si>
  <si>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</si>
  <si>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</si>
  <si>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</si>
  <si>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</si>
  <si>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</si>
  <si>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</si>
  <si>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</si>
  <si>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</si>
  <si>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</si>
  <si>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</si>
  <si>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</si>
  <si>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</si>
  <si>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</si>
  <si>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</si>
  <si>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</si>
  <si>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</si>
  <si>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</si>
  <si>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</si>
  <si>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</si>
  <si>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</si>
  <si>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</si>
  <si>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</si>
  <si>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</si>
  <si>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</si>
  <si>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</si>
  <si>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</si>
  <si>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</si>
  <si>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</si>
  <si>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</si>
  <si>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</si>
  <si>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</si>
  <si>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</si>
  <si>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</si>
  <si>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</si>
  <si>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</si>
  <si>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</si>
  <si>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</si>
  <si>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</si>
  <si>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</si>
  <si>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</si>
  <si>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</si>
  <si>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</si>
  <si>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</si>
  <si>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</si>
  <si>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</si>
  <si>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</si>
  <si>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</si>
  <si>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</si>
  <si>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</si>
  <si>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</si>
  <si>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</si>
  <si>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</si>
  <si>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</si>
  <si>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</si>
  <si>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</si>
  <si>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</si>
  <si>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</si>
  <si>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</si>
  <si>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</si>
  <si>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</si>
  <si>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</si>
  <si>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</si>
  <si>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</si>
  <si>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</si>
  <si>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</si>
  <si>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</si>
  <si>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</si>
  <si>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</si>
  <si>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</si>
  <si>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</si>
  <si>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</si>
  <si>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</si>
  <si>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</si>
  <si>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</si>
  <si>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</si>
  <si>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</si>
  <si>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</si>
  <si>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</si>
  <si>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</si>
  <si>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</si>
  <si>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</si>
  <si>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</si>
  <si>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</si>
  <si>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</si>
  <si>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</si>
  <si>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</si>
  <si>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</si>
  <si>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</si>
  <si>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</si>
  <si>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</si>
  <si>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</si>
  <si>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</si>
  <si>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</si>
  <si>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</si>
  <si>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</si>
  <si>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</si>
  <si>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</si>
  <si>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</si>
  <si>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</si>
  <si>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</si>
  <si>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</si>
  <si>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</si>
  <si>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</si>
  <si>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</si>
  <si>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</si>
  <si>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</si>
  <si>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</si>
  <si>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</si>
  <si>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</si>
  <si>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</si>
  <si>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</si>
  <si>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</si>
  <si>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</si>
  <si>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</si>
  <si>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</si>
  <si>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</si>
  <si>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</si>
  <si>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</si>
  <si>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</si>
  <si>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</si>
  <si>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</si>
  <si>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</si>
  <si>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</si>
  <si>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</si>
  <si>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</si>
  <si>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</si>
  <si>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</si>
  <si>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</si>
  <si>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</si>
  <si>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</si>
  <si>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</si>
  <si>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</si>
  <si>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</si>
  <si>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</si>
  <si>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</si>
  <si>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</si>
  <si>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</si>
  <si>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</si>
  <si>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</si>
  <si>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</si>
  <si>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</si>
  <si>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</si>
  <si>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</si>
  <si>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</si>
  <si>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</si>
  <si>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</si>
  <si>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</si>
  <si>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</si>
  <si>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</si>
  <si>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</si>
  <si>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</si>
  <si>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</si>
  <si>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</si>
  <si>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</si>
  <si>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</si>
  <si>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</si>
  <si>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</si>
  <si>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</si>
  <si>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</si>
  <si>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</si>
  <si>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</si>
  <si>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</si>
  <si>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</si>
  <si>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</si>
  <si>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</si>
  <si>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FRS101 adjustment - ARO</t>
  </si>
  <si>
    <t>Other finance costs</t>
  </si>
  <si>
    <t>IFRS16 Lease Interest Expense</t>
  </si>
  <si>
    <t>Interest capitalised</t>
  </si>
  <si>
    <t>Interest associated to Long term loans (Not for benefit of regulated business or distribution in nature)</t>
  </si>
  <si>
    <t>Formula in cell E37 has been corrected</t>
  </si>
  <si>
    <t xml:space="preserve"> Cell M30 -formula has been removed.</t>
  </si>
  <si>
    <t>Metering equipment and services</t>
  </si>
  <si>
    <t>Directly Remunerated Services (excluding metering)</t>
  </si>
  <si>
    <t>RPI true up</t>
  </si>
  <si>
    <t>DPCR5 legacy revenue adjustment</t>
  </si>
  <si>
    <t>Revenue profiling adjustment</t>
  </si>
  <si>
    <t>Enduring value adjustments</t>
  </si>
  <si>
    <t>R5</t>
  </si>
  <si>
    <t>TIM neutral Green recovery adjustment to Totex allowance</t>
  </si>
  <si>
    <t>Priority Service Register (PSR) fine</t>
  </si>
  <si>
    <t>Revised Opening RAV</t>
  </si>
  <si>
    <t>Net Additions</t>
  </si>
  <si>
    <t>Remove Rail Electrification EV adj due to not being in Corp Model RAV</t>
  </si>
  <si>
    <t>5BD Lag SONIA</t>
  </si>
  <si>
    <t xml:space="preserve">Price base in cell D26 corrected to read "Nominal", rather than 2012/13 prices. </t>
  </si>
  <si>
    <t xml:space="preserve">General </t>
  </si>
  <si>
    <t>In the 2020/21 submission, 2021/22 values were forecast values; these have now been updated in the 2021/22 submission with actual values. Similarly, forecast data for 2022/23 has been updated in the 2021/22 submission to reflect more recent views of forecast performance.</t>
  </si>
  <si>
    <t>R4-Totex</t>
  </si>
  <si>
    <t xml:space="preserve">Following the AIP and finalisation of the 2021 PCFM in November 2021 the 2020/21 TIM neutral and Smart meter allowance adjustments have now been updated. This requires a prior year restatement of RFPR values in Totex allowances in cell I13 and Enduring values adjustment in I24 due to the balance previously reported within I24 now being factored into the allowance in I13. Overall net impact being zero. </t>
  </si>
  <si>
    <t>SOLR and bad debt claims not in P&amp;L (20/21); difference in accounting between stats and RRP (21/22)</t>
  </si>
  <si>
    <t xml:space="preserve">Updated cells E26 and F26 following confirmation of Financial Year Average RPI (RPIt) and Year end RPI indicesfrom Stephanie Fernandes at Ofgem on the 21/06/22.
Updated cells I39 to J39 following confirmation of the May 2022 publication associated to the M3 New Forecasts RPI confirmation from Stephanie Fernandes at Ofgem on the 21/06/22. Additionally the associated hyperlink in K39 has been updated accordingly.
Updated cells L63 and L64 to correspond to the 2022/23 cost of debt per the November 2021 AIP PCFM, as confirmed via email by Penny Harandy at Ofgem on 11/07/22. </t>
  </si>
  <si>
    <t>2021 values have been updated in the R5-Output incentive table, cells I12 and I14, following final Ofgem approval of Interruptions related quality of service performance in October 2020 and Time to Connect Incentive. This has decreased the Output Incentive in 2021 by -£0.1m.</t>
  </si>
  <si>
    <t>2019/20 and 2020/21 values in cells H11 and I11 in table R5-Output incentives table has been updated. 2019/20 and 2020/21 SECV award forecasts now reflect the 2021/22 award. These values flow through to calculations in cell J82 and K82 of table R5.</t>
  </si>
  <si>
    <t>R10</t>
  </si>
  <si>
    <t>Prior year adjustments have been applied with small movements (&lt;0.1m), to reflect the inclusion of data from the most recent CT600 submissions, and the tax allowance per the latest PCFM, as required.</t>
  </si>
  <si>
    <t>Adjustment to align incentives with latest submitted Revenue Return (remove 19/20 SECV)</t>
  </si>
  <si>
    <t>Cell E27-F27 updated and formatted yellow as cells above.
Cells G28:G30 (Corporation Tax forecast) updated to 25% to align with RIIO-ED2 PCFM.
RPI forecasts in cells I39-J39 removed for these periods because actual values are now known. These cells have now been shaded in the format of the cells for previous years.
Future inflation Assumption in cell J43 has been removed as actual RPI for this period is now known. The cell has now been shaded in the format of cells for previous years.</t>
  </si>
  <si>
    <t>2022/23 submission:</t>
  </si>
  <si>
    <t xml:space="preserve">The Payment History component of the Pensions Deficit Repair Allowances in cells J18 and K18 of table R12 – Pensions have been updated. </t>
  </si>
  <si>
    <t>In the 2021/22 submission, 2022/23 values were forecast values; these have now been updated in the 2022/23 submission with actual values. Similarly, forecast data has been updated in the 2022/23 submission to reflect more recent views of forecast performance.</t>
  </si>
  <si>
    <t>NGED remains in discussion with Ofgem regarding the 2019/20 and 2020/21 SECV incentive awards. 2019/20 and 2020/21 SECV award forecasts included above reflect the 2021/22 SECV award.
The 2021/22 actuals have been updated from the 2021/22 RFPR submission following final Ofgem approval of Broad Measure Incentives. This has decreased the Broad Measure incentive earned in 2021/22 from that reported in the 2021/22 RFPR  by -£0.096m. 2023 actuals are subject to change until Ofgem confirm our performance KPIs later in 2023.</t>
  </si>
  <si>
    <t>2021/22 values in cell J11 in table R5-Output Incentives table has been updated. This has decreased the Broad Measure Incentive in 2022 by -£0.096m.</t>
  </si>
  <si>
    <t xml:space="preserve">All references to WPD have been replaced with NGED:
cells B63-B64
cells B83-B86
clls B129-B132
Since it is driven by a look-up to cells B73-B100 on the Data tab, the drop-down menu on the RFPR Cover tab (cell C5) also reflects these changes.
</t>
  </si>
  <si>
    <t>NGED</t>
  </si>
  <si>
    <t>ED - excluding NGED</t>
  </si>
  <si>
    <t>NGED-EMID</t>
  </si>
  <si>
    <t>NGED-WMID</t>
  </si>
  <si>
    <t>NGED-SWALES</t>
  </si>
  <si>
    <t>NGED-SWEST</t>
  </si>
  <si>
    <t>Prior year adjustments have been applied with small movements (&lt;0.1m), these reflect the inclusion of data from the most recent CT600 submissions, and the tax allowance per the latest PCFM, as required.</t>
  </si>
  <si>
    <t>2023 actuals are subject to change until Ofgem confirm our performance KPIs later in 2023.</t>
  </si>
  <si>
    <t>The 2021 and 2022 actuals have been updated to equal the final Ofgem approved values for Interruptions related quality of service performance.  This has decreased the Output Incentive in 2021 by -£0.007m and increased the Output Incentive in 2022 by £0.084m. 2023 actuals are subject to change until Ofgem confirm our performance KPIs later in 2023.</t>
  </si>
  <si>
    <t xml:space="preserve">Following the submission of the Legacy PCFM in October 2022 the 2021/22 TIM neutral and Smart meter allowance adjustments have now been updated. This requires a prior year restatement of RFPR values in Totex allowances in cell J13 and Enduring values adjustment in J24 due to the balance previously reported within J24 now being factored into the allowance in J13. Overall net impact being zero. </t>
  </si>
  <si>
    <t xml:space="preserve">For Interruptions related quality of service performance the 2021 and 2022 actuals have been updated to equal the final Ofgem approved values .  This has decreased the Output Incentive in 2021 by -£0.007m and increased the Output Incentive in 2022 by £0.084m. </t>
  </si>
  <si>
    <t>Dividend apportioned to outside Regulated business</t>
  </si>
  <si>
    <t>(Profit)/Loss on disposal of FA</t>
  </si>
  <si>
    <t>Flexibility correction in capex</t>
  </si>
  <si>
    <t>Customer Contributions reported in Statutory Revenue</t>
  </si>
  <si>
    <t>Nominal</t>
  </si>
  <si>
    <t>('R8 - Net Debt'!D54-AVERAGE('R8 - Net Debt'!D8,('R8 - Net Debt'!D10-'R8a - Net Debt input'!T18)))*(Data!C36-1)</t>
  </si>
  <si>
    <t>NOT PUBLISHED</t>
  </si>
  <si>
    <t/>
  </si>
  <si>
    <t>Actuals</t>
  </si>
  <si>
    <t>Cumulative to 2023</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</si>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</sst>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2">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_(* #,##0.000_);_(* \(#,##0.000\);_(* &quot;-&quot;??_);_(@_)"/>
    <numFmt numFmtId="350" formatCode="0.0000"/>
    <numFmt numFmtId="351" formatCode="[$-F800]dddd\,\ mmmm\ dd\,\ yyyy"/>
    <numFmt numFmtId="352" formatCode="_-* #,##0.0_-;\-* #,##0.0_-;_-* &quot;-&quot;?_-;_-@_-"/>
    <numFmt numFmtId="353" formatCode="_-* #,##0_-;\-* #,##0_-;_-* &quot;-&quot;?_-;_-@_-"/>
    <numFmt numFmtId="354" formatCode="0.00000"/>
  </numFmts>
  <fonts count="266">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
      <u/>
      <sz val="10"/>
      <color theme="1"/>
      <name val="Verdana"/>
      <family val="2"/>
    </font>
    <font>
      <sz val="10"/>
      <color theme="1"/>
      <name val="Calibri"/>
      <family val="2"/>
    </font>
    <font>
      <sz val="9"/>
      <color indexed="81"/>
      <name val="Tahoma"/>
      <family val="2"/>
    </font>
    <font>
      <b/>
      <sz val="9"/>
      <color indexed="81"/>
      <name val="Tahoma"/>
      <family val="2"/>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43">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1" fontId="4" fillId="0" borderId="0"/>
    <xf numFmtId="351" fontId="4" fillId="0" borderId="0"/>
    <xf numFmtId="351" fontId="7" fillId="0" borderId="0"/>
    <xf numFmtId="351" fontId="4"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7" fillId="0" borderId="0"/>
    <xf numFmtId="351" fontId="7" fillId="0" borderId="0"/>
    <xf numFmtId="351" fontId="7" fillId="0" borderId="0"/>
    <xf numFmtId="351" fontId="4" fillId="0" borderId="0"/>
    <xf numFmtId="351" fontId="7" fillId="0" borderId="0"/>
    <xf numFmtId="351" fontId="4" fillId="0" borderId="0"/>
    <xf numFmtId="351" fontId="7"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3"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3" fillId="0" borderId="0"/>
    <xf numFmtId="351" fontId="4" fillId="0" borderId="0" applyFont="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lignment vertical="center"/>
    </xf>
    <xf numFmtId="351" fontId="7" fillId="0" borderId="0"/>
    <xf numFmtId="351" fontId="7" fillId="0" borderId="0"/>
    <xf numFmtId="351" fontId="7" fillId="0" borderId="0"/>
    <xf numFmtId="351" fontId="7" fillId="0" borderId="0"/>
    <xf numFmtId="351" fontId="4" fillId="0" borderId="0">
      <alignment vertical="center"/>
    </xf>
    <xf numFmtId="351" fontId="4" fillId="0" borderId="0">
      <alignment vertical="center"/>
    </xf>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7" fillId="0" borderId="0">
      <alignment vertical="justify"/>
    </xf>
    <xf numFmtId="351" fontId="13" fillId="30" borderId="0" applyNumberFormat="0" applyBorder="0" applyAlignment="0" applyProtection="0"/>
    <xf numFmtId="351" fontId="13" fillId="30" borderId="0" applyNumberFormat="0" applyBorder="0" applyAlignment="0" applyProtection="0"/>
    <xf numFmtId="351" fontId="13" fillId="19" borderId="0" applyNumberFormat="0" applyBorder="0" applyAlignment="0" applyProtection="0"/>
    <xf numFmtId="351" fontId="13" fillId="19" borderId="0" applyNumberFormat="0" applyBorder="0" applyAlignment="0" applyProtection="0"/>
    <xf numFmtId="351" fontId="13" fillId="27" borderId="0" applyNumberFormat="0" applyBorder="0" applyAlignment="0" applyProtection="0"/>
    <xf numFmtId="351" fontId="13" fillId="27" borderId="0" applyNumberFormat="0" applyBorder="0" applyAlignment="0" applyProtection="0"/>
    <xf numFmtId="351" fontId="13" fillId="119" borderId="0" applyNumberFormat="0" applyBorder="0" applyAlignment="0" applyProtection="0"/>
    <xf numFmtId="351" fontId="13" fillId="119" borderId="0" applyNumberFormat="0" applyBorder="0" applyAlignment="0" applyProtection="0"/>
    <xf numFmtId="351" fontId="13" fillId="30" borderId="0" applyNumberFormat="0" applyBorder="0" applyAlignment="0" applyProtection="0"/>
    <xf numFmtId="351" fontId="13" fillId="30" borderId="0" applyNumberFormat="0" applyBorder="0" applyAlignment="0" applyProtection="0"/>
    <xf numFmtId="351" fontId="13" fillId="60" borderId="0" applyNumberFormat="0" applyBorder="0" applyAlignment="0" applyProtection="0"/>
    <xf numFmtId="351" fontId="13" fillId="60" borderId="0" applyNumberFormat="0" applyBorder="0" applyAlignment="0" applyProtection="0"/>
    <xf numFmtId="351" fontId="13" fillId="61" borderId="0" applyNumberFormat="0" applyBorder="0" applyAlignment="0" applyProtection="0"/>
    <xf numFmtId="351" fontId="13" fillId="61" borderId="0" applyNumberFormat="0" applyBorder="0" applyAlignment="0" applyProtection="0"/>
    <xf numFmtId="351" fontId="13" fillId="19" borderId="0" applyNumberFormat="0" applyBorder="0" applyAlignment="0" applyProtection="0"/>
    <xf numFmtId="351" fontId="13" fillId="19" borderId="0" applyNumberFormat="0" applyBorder="0" applyAlignment="0" applyProtection="0"/>
    <xf numFmtId="351" fontId="13" fillId="26" borderId="0" applyNumberFormat="0" applyBorder="0" applyAlignment="0" applyProtection="0"/>
    <xf numFmtId="351" fontId="13" fillId="26" borderId="0" applyNumberFormat="0" applyBorder="0" applyAlignment="0" applyProtection="0"/>
    <xf numFmtId="351" fontId="13" fillId="120" borderId="0" applyNumberFormat="0" applyBorder="0" applyAlignment="0" applyProtection="0"/>
    <xf numFmtId="351" fontId="13" fillId="120" borderId="0" applyNumberFormat="0" applyBorder="0" applyAlignment="0" applyProtection="0"/>
    <xf numFmtId="351" fontId="13" fillId="31" borderId="0" applyNumberFormat="0" applyBorder="0" applyAlignment="0" applyProtection="0"/>
    <xf numFmtId="351" fontId="13" fillId="31" borderId="0" applyNumberFormat="0" applyBorder="0" applyAlignment="0" applyProtection="0"/>
    <xf numFmtId="351" fontId="13" fillId="60" borderId="0" applyNumberFormat="0" applyBorder="0" applyAlignment="0" applyProtection="0"/>
    <xf numFmtId="351" fontId="13" fillId="60" borderId="0" applyNumberFormat="0" applyBorder="0" applyAlignment="0" applyProtection="0"/>
    <xf numFmtId="351" fontId="56" fillId="121" borderId="0" applyNumberFormat="0" applyBorder="0" applyAlignment="0" applyProtection="0"/>
    <xf numFmtId="351" fontId="56" fillId="121" borderId="0" applyNumberFormat="0" applyBorder="0" applyAlignment="0" applyProtection="0"/>
    <xf numFmtId="351" fontId="56" fillId="19" borderId="0" applyNumberFormat="0" applyBorder="0" applyAlignment="0" applyProtection="0"/>
    <xf numFmtId="351" fontId="56" fillId="19" borderId="0" applyNumberFormat="0" applyBorder="0" applyAlignment="0" applyProtection="0"/>
    <xf numFmtId="351" fontId="56" fillId="26" borderId="0" applyNumberFormat="0" applyBorder="0" applyAlignment="0" applyProtection="0"/>
    <xf numFmtId="351" fontId="56" fillId="26" borderId="0" applyNumberFormat="0" applyBorder="0" applyAlignment="0" applyProtection="0"/>
    <xf numFmtId="351" fontId="56" fillId="120" borderId="0" applyNumberFormat="0" applyBorder="0" applyAlignment="0" applyProtection="0"/>
    <xf numFmtId="351" fontId="56" fillId="120" borderId="0" applyNumberFormat="0" applyBorder="0" applyAlignment="0" applyProtection="0"/>
    <xf numFmtId="351" fontId="56" fillId="121" borderId="0" applyNumberFormat="0" applyBorder="0" applyAlignment="0" applyProtection="0"/>
    <xf numFmtId="351" fontId="56" fillId="121" borderId="0" applyNumberFormat="0" applyBorder="0" applyAlignment="0" applyProtection="0"/>
    <xf numFmtId="351" fontId="56" fillId="23" borderId="0" applyNumberFormat="0" applyBorder="0" applyAlignment="0" applyProtection="0"/>
    <xf numFmtId="351" fontId="56" fillId="23" borderId="0" applyNumberFormat="0" applyBorder="0" applyAlignment="0" applyProtection="0"/>
    <xf numFmtId="351" fontId="8" fillId="65" borderId="0" applyNumberFormat="0" applyBorder="0" applyAlignment="0" applyProtection="0"/>
    <xf numFmtId="351" fontId="8" fillId="12" borderId="0" applyNumberFormat="0" applyBorder="0" applyAlignment="0" applyProtection="0"/>
    <xf numFmtId="351" fontId="9" fillId="122" borderId="0" applyNumberFormat="0" applyBorder="0" applyAlignment="0" applyProtection="0"/>
    <xf numFmtId="351" fontId="9" fillId="66" borderId="0" applyNumberFormat="0" applyBorder="0" applyAlignment="0" applyProtection="0"/>
    <xf numFmtId="351" fontId="9" fillId="66" borderId="0" applyNumberFormat="0" applyBorder="0" applyAlignment="0" applyProtection="0"/>
    <xf numFmtId="351" fontId="8" fillId="68" borderId="0" applyNumberFormat="0" applyBorder="0" applyAlignment="0" applyProtection="0"/>
    <xf numFmtId="351" fontId="8" fillId="11" borderId="0" applyNumberFormat="0" applyBorder="0" applyAlignment="0" applyProtection="0"/>
    <xf numFmtId="351" fontId="9" fillId="8" borderId="0" applyNumberFormat="0" applyBorder="0" applyAlignment="0" applyProtection="0"/>
    <xf numFmtId="351" fontId="9" fillId="69" borderId="0" applyNumberFormat="0" applyBorder="0" applyAlignment="0" applyProtection="0"/>
    <xf numFmtId="351" fontId="9" fillId="69" borderId="0" applyNumberFormat="0" applyBorder="0" applyAlignment="0" applyProtection="0"/>
    <xf numFmtId="351" fontId="8" fillId="70" borderId="0" applyNumberFormat="0" applyBorder="0" applyAlignment="0" applyProtection="0"/>
    <xf numFmtId="351" fontId="8" fillId="71" borderId="0" applyNumberFormat="0" applyBorder="0" applyAlignment="0" applyProtection="0"/>
    <xf numFmtId="351" fontId="9" fillId="123" borderId="0" applyNumberFormat="0" applyBorder="0" applyAlignment="0" applyProtection="0"/>
    <xf numFmtId="351" fontId="9" fillId="124" borderId="0" applyNumberFormat="0" applyBorder="0" applyAlignment="0" applyProtection="0"/>
    <xf numFmtId="351" fontId="9" fillId="124" borderId="0" applyNumberFormat="0" applyBorder="0" applyAlignment="0" applyProtection="0"/>
    <xf numFmtId="351" fontId="8" fillId="68" borderId="0" applyNumberFormat="0" applyBorder="0" applyAlignment="0" applyProtection="0"/>
    <xf numFmtId="351" fontId="8" fillId="9" borderId="0" applyNumberFormat="0" applyBorder="0" applyAlignment="0" applyProtection="0"/>
    <xf numFmtId="351" fontId="9" fillId="11" borderId="0" applyNumberFormat="0" applyBorder="0" applyAlignment="0" applyProtection="0"/>
    <xf numFmtId="351" fontId="9" fillId="125" borderId="0" applyNumberFormat="0" applyBorder="0" applyAlignment="0" applyProtection="0"/>
    <xf numFmtId="351" fontId="9" fillId="125" borderId="0" applyNumberFormat="0" applyBorder="0" applyAlignment="0" applyProtection="0"/>
    <xf numFmtId="351" fontId="8" fillId="10" borderId="0" applyNumberFormat="0" applyBorder="0" applyAlignment="0" applyProtection="0"/>
    <xf numFmtId="351" fontId="8" fillId="5" borderId="0" applyNumberFormat="0" applyBorder="0" applyAlignment="0" applyProtection="0"/>
    <xf numFmtId="351" fontId="9" fillId="122" borderId="0" applyNumberFormat="0" applyBorder="0" applyAlignment="0" applyProtection="0"/>
    <xf numFmtId="351" fontId="9" fillId="122" borderId="0" applyNumberFormat="0" applyBorder="0" applyAlignment="0" applyProtection="0"/>
    <xf numFmtId="351" fontId="9" fillId="122" borderId="0" applyNumberFormat="0" applyBorder="0" applyAlignment="0" applyProtection="0"/>
    <xf numFmtId="351" fontId="8" fillId="13" borderId="0" applyNumberFormat="0" applyBorder="0" applyAlignment="0" applyProtection="0"/>
    <xf numFmtId="351" fontId="8" fillId="14" borderId="0" applyNumberFormat="0" applyBorder="0" applyAlignment="0" applyProtection="0"/>
    <xf numFmtId="351" fontId="9" fillId="126" borderId="0" applyNumberFormat="0" applyBorder="0" applyAlignment="0" applyProtection="0"/>
    <xf numFmtId="351" fontId="9" fillId="127" borderId="0" applyNumberFormat="0" applyBorder="0" applyAlignment="0" applyProtection="0"/>
    <xf numFmtId="351" fontId="9" fillId="127" borderId="0" applyNumberFormat="0" applyBorder="0" applyAlignment="0" applyProtection="0"/>
    <xf numFmtId="351" fontId="247" fillId="13" borderId="0" applyNumberFormat="0" applyBorder="0" applyAlignment="0" applyProtection="0"/>
    <xf numFmtId="351" fontId="247" fillId="13" borderId="0" applyNumberFormat="0" applyBorder="0" applyAlignment="0" applyProtection="0"/>
    <xf numFmtId="351" fontId="248" fillId="128" borderId="123" applyNumberFormat="0" applyAlignment="0" applyProtection="0"/>
    <xf numFmtId="351" fontId="248" fillId="128" borderId="123" applyNumberFormat="0" applyAlignment="0" applyProtection="0"/>
    <xf numFmtId="351" fontId="85" fillId="125" borderId="19" applyNumberFormat="0" applyAlignment="0" applyProtection="0"/>
    <xf numFmtId="351" fontId="85" fillId="125" borderId="19" applyNumberFormat="0" applyAlignment="0" applyProtection="0"/>
    <xf numFmtId="37" fontId="59" fillId="0" borderId="94">
      <alignment horizontal="center"/>
    </xf>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1" fontId="10" fillId="129" borderId="0" applyNumberFormat="0" applyBorder="0" applyAlignment="0" applyProtection="0"/>
    <xf numFmtId="351" fontId="10" fillId="130" borderId="0" applyNumberFormat="0" applyBorder="0" applyAlignment="0" applyProtection="0"/>
    <xf numFmtId="351" fontId="10" fillId="17" borderId="0" applyNumberFormat="0" applyBorder="0" applyAlignment="0" applyProtection="0"/>
    <xf numFmtId="351" fontId="44" fillId="0" borderId="0" applyFont="0" applyFill="0" applyBorder="0" applyAlignment="0" applyProtection="0"/>
    <xf numFmtId="351" fontId="249" fillId="0" borderId="0" applyNumberFormat="0" applyFill="0" applyBorder="0" applyAlignment="0" applyProtection="0"/>
    <xf numFmtId="351" fontId="249" fillId="0" borderId="0" applyNumberFormat="0" applyFill="0" applyBorder="0" applyAlignment="0" applyProtection="0"/>
    <xf numFmtId="351" fontId="8" fillId="71" borderId="0" applyNumberFormat="0" applyBorder="0" applyAlignment="0" applyProtection="0"/>
    <xf numFmtId="351" fontId="8" fillId="71" borderId="0" applyNumberForma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117" fillId="0" borderId="33" applyNumberFormat="0" applyFill="0" applyAlignment="0" applyProtection="0"/>
    <xf numFmtId="351" fontId="117" fillId="0" borderId="33" applyNumberFormat="0" applyFill="0" applyAlignment="0" applyProtection="0"/>
    <xf numFmtId="351" fontId="120" fillId="0" borderId="124" applyNumberFormat="0" applyFill="0" applyAlignment="0" applyProtection="0"/>
    <xf numFmtId="351" fontId="120" fillId="0" borderId="124" applyNumberFormat="0" applyFill="0" applyAlignment="0" applyProtection="0"/>
    <xf numFmtId="351" fontId="123" fillId="0" borderId="125" applyNumberFormat="0" applyFill="0" applyAlignment="0" applyProtection="0"/>
    <xf numFmtId="351" fontId="123" fillId="0" borderId="125" applyNumberFormat="0" applyFill="0" applyAlignment="0" applyProtection="0"/>
    <xf numFmtId="351" fontId="123" fillId="0" borderId="0" applyNumberFormat="0" applyFill="0" applyBorder="0" applyAlignment="0" applyProtection="0"/>
    <xf numFmtId="351" fontId="123" fillId="0" borderId="0" applyNumberFormat="0" applyFill="0" applyBorder="0" applyAlignment="0" applyProtection="0"/>
    <xf numFmtId="351" fontId="137" fillId="14" borderId="123" applyNumberFormat="0" applyAlignment="0" applyProtection="0"/>
    <xf numFmtId="351" fontId="137" fillId="14" borderId="123" applyNumberFormat="0" applyAlignment="0" applyProtection="0"/>
    <xf numFmtId="351" fontId="140" fillId="34" borderId="0"/>
    <xf numFmtId="351" fontId="113" fillId="0" borderId="126" applyNumberFormat="0" applyFill="0" applyAlignment="0" applyProtection="0"/>
    <xf numFmtId="351" fontId="113" fillId="0" borderId="126" applyNumberFormat="0" applyFill="0" applyAlignment="0" applyProtection="0"/>
    <xf numFmtId="351" fontId="113" fillId="14" borderId="0" applyNumberFormat="0" applyBorder="0" applyAlignment="0" applyProtection="0"/>
    <xf numFmtId="351" fontId="113" fillId="14" borderId="0" applyNumberFormat="0" applyBorder="0" applyAlignment="0" applyProtection="0"/>
    <xf numFmtId="351" fontId="19" fillId="0" borderId="0"/>
    <xf numFmtId="351" fontId="19" fillId="0" borderId="0"/>
    <xf numFmtId="351" fontId="19" fillId="0" borderId="0"/>
    <xf numFmtId="351" fontId="19" fillId="0" borderId="0"/>
    <xf numFmtId="351" fontId="19" fillId="0" borderId="0"/>
    <xf numFmtId="351" fontId="4" fillId="0" borderId="0"/>
    <xf numFmtId="351" fontId="4" fillId="0" borderId="0"/>
    <xf numFmtId="351" fontId="4" fillId="0" borderId="0"/>
    <xf numFmtId="351" fontId="4" fillId="0" borderId="0"/>
    <xf numFmtId="0" fontId="2" fillId="0" borderId="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8" fillId="0" borderId="0"/>
    <xf numFmtId="351" fontId="8" fillId="0" borderId="0" applyFill="0" applyBorder="0" applyAlignment="0" applyProtection="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2"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23" fillId="0" borderId="0"/>
    <xf numFmtId="351" fontId="1" fillId="0" borderId="0"/>
    <xf numFmtId="351" fontId="4"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1" fillId="0" borderId="0"/>
    <xf numFmtId="351" fontId="1" fillId="0" borderId="0"/>
    <xf numFmtId="351" fontId="1" fillId="0" borderId="0"/>
    <xf numFmtId="351" fontId="1" fillId="0" borderId="0"/>
    <xf numFmtId="351" fontId="1" fillId="0" borderId="0"/>
    <xf numFmtId="351" fontId="1"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1" fillId="0" borderId="0"/>
    <xf numFmtId="351" fontId="1"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8" fillId="0" borderId="0" applyFill="0" applyBorder="0" applyAlignment="0" applyProtection="0"/>
    <xf numFmtId="351" fontId="19"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7" fillId="0" borderId="0">
      <alignment vertical="top"/>
    </xf>
    <xf numFmtId="351" fontId="101" fillId="0" borderId="0" applyFill="0" applyBorder="0">
      <protection locked="0"/>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1" fontId="19" fillId="90" borderId="30">
      <alignment vertical="center"/>
    </xf>
    <xf numFmtId="351" fontId="19" fillId="90" borderId="30">
      <alignment vertical="center"/>
    </xf>
    <xf numFmtId="351" fontId="19" fillId="90" borderId="30">
      <alignment vertical="center"/>
    </xf>
    <xf numFmtId="351"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1" fontId="192" fillId="0" borderId="0"/>
    <xf numFmtId="351" fontId="19" fillId="36" borderId="30">
      <alignment vertical="center"/>
      <protection locked="0"/>
    </xf>
    <xf numFmtId="351" fontId="19" fillId="36" borderId="30">
      <alignment vertical="center"/>
      <protection locked="0"/>
    </xf>
    <xf numFmtId="351" fontId="19" fillId="36" borderId="30">
      <alignment vertical="center"/>
      <protection locked="0"/>
    </xf>
    <xf numFmtId="351" fontId="19" fillId="36" borderId="30">
      <alignment vertical="center"/>
      <protection locked="0"/>
    </xf>
    <xf numFmtId="330" fontId="19" fillId="38" borderId="30">
      <alignment vertical="center"/>
    </xf>
    <xf numFmtId="351" fontId="19" fillId="38" borderId="30">
      <alignment vertical="center"/>
    </xf>
    <xf numFmtId="351" fontId="19" fillId="38" borderId="30">
      <alignment vertical="center"/>
    </xf>
    <xf numFmtId="351" fontId="19" fillId="38" borderId="30">
      <alignment vertical="center"/>
    </xf>
    <xf numFmtId="351" fontId="19" fillId="38" borderId="30">
      <alignment vertical="center"/>
    </xf>
    <xf numFmtId="351" fontId="19" fillId="39" borderId="30">
      <alignment horizontal="right" vertical="center"/>
      <protection locked="0"/>
    </xf>
    <xf numFmtId="351"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3" borderId="53" applyNumberFormat="0">
      <protection locked="0"/>
    </xf>
    <xf numFmtId="351" fontId="4" fillId="33" borderId="30"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351" fontId="48" fillId="109" borderId="30"/>
    <xf numFmtId="4" fontId="254" fillId="33" borderId="123" applyNumberFormat="0" applyProtection="0">
      <alignment horizontal="right" vertical="center"/>
    </xf>
    <xf numFmtId="351" fontId="18" fillId="0" borderId="0" applyNumberFormat="0" applyFill="0" applyBorder="0" applyAlignment="0" applyProtection="0"/>
    <xf numFmtId="351" fontId="4" fillId="0" borderId="0" applyFont="0" applyFill="0" applyBorder="0" applyAlignment="0" applyProtection="0"/>
    <xf numFmtId="37" fontId="59" fillId="0" borderId="131" applyNumberFormat="0"/>
    <xf numFmtId="351" fontId="220" fillId="0" borderId="58" applyNumberFormat="0" applyAlignment="0" applyProtection="0"/>
    <xf numFmtId="351" fontId="18" fillId="0" borderId="0" applyNumberFormat="0" applyFill="0" applyBorder="0" applyAlignment="0" applyProtection="0"/>
    <xf numFmtId="351" fontId="18" fillId="0" borderId="0" applyNumberFormat="0" applyFill="0" applyBorder="0" applyAlignment="0" applyProtection="0"/>
    <xf numFmtId="210" fontId="59" fillId="0" borderId="32" applyFill="0"/>
    <xf numFmtId="351" fontId="10" fillId="0" borderId="132" applyNumberFormat="0" applyFill="0" applyAlignment="0" applyProtection="0"/>
    <xf numFmtId="351" fontId="10" fillId="0" borderId="132" applyNumberFormat="0" applyFill="0" applyAlignment="0" applyProtection="0"/>
    <xf numFmtId="351" fontId="255" fillId="0" borderId="0" applyNumberFormat="0" applyFill="0" applyBorder="0" applyAlignment="0" applyProtection="0"/>
    <xf numFmtId="351" fontId="255" fillId="0" borderId="0" applyNumberFormat="0" applyFill="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1" fontId="48" fillId="30" borderId="128" applyNumberFormat="0" applyProtection="0">
      <alignment horizontal="left" vertical="top"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1"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210" fontId="59" fillId="0" borderId="32" applyFill="0"/>
    <xf numFmtId="351" fontId="23" fillId="0" borderId="0"/>
    <xf numFmtId="351" fontId="48" fillId="30" borderId="128" applyNumberFormat="0" applyProtection="0">
      <alignment horizontal="left" vertical="top"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1"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 fillId="32" borderId="128" applyNumberFormat="0" applyProtection="0">
      <alignment horizontal="left" vertical="top" indent="1"/>
    </xf>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3" fillId="0" borderId="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351" fontId="88" fillId="31" borderId="130" applyBorder="0"/>
    <xf numFmtId="351" fontId="48" fillId="13" borderId="123" applyNumberFormat="0" applyFont="0" applyAlignment="0" applyProtection="0"/>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252" fillId="19" borderId="128" applyNumberFormat="0" applyProtection="0">
      <alignment horizontal="left" vertical="top" indent="1"/>
    </xf>
    <xf numFmtId="351" fontId="48" fillId="30" borderId="123" applyNumberFormat="0" applyProtection="0">
      <alignment horizontal="left" vertical="center" indent="1"/>
    </xf>
    <xf numFmtId="210" fontId="59" fillId="0" borderId="32" applyFill="0"/>
    <xf numFmtId="351" fontId="248" fillId="128" borderId="123" applyNumberFormat="0" applyAlignment="0" applyProtection="0"/>
    <xf numFmtId="351" fontId="248" fillId="128" borderId="123" applyNumberForma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164" fontId="2" fillId="0" borderId="0" applyFont="0" applyFill="0" applyBorder="0" applyAlignment="0" applyProtection="0"/>
    <xf numFmtId="351" fontId="48" fillId="30" borderId="128" applyNumberFormat="0" applyProtection="0">
      <alignment horizontal="left" vertical="top" indent="1"/>
    </xf>
    <xf numFmtId="164" fontId="1" fillId="0" borderId="0" applyFont="0" applyFill="0" applyBorder="0" applyAlignment="0" applyProtection="0"/>
    <xf numFmtId="351" fontId="88" fillId="31" borderId="130" applyBorder="0"/>
    <xf numFmtId="4" fontId="48" fillId="24" borderId="123" applyNumberFormat="0" applyProtection="0">
      <alignment horizontal="right" vertical="center"/>
    </xf>
    <xf numFmtId="351"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1" fontId="48" fillId="61" borderId="123" applyNumberFormat="0" applyProtection="0">
      <alignment horizontal="left" vertical="center" indent="1"/>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34" borderId="128" applyNumberFormat="0" applyProtection="0">
      <alignment vertical="center"/>
    </xf>
    <xf numFmtId="351" fontId="88" fillId="31" borderId="130" applyBorder="0"/>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210" fontId="59" fillId="0" borderId="32" applyFill="0"/>
    <xf numFmtId="351" fontId="48" fillId="83" borderId="123" applyNumberFormat="0" applyProtection="0">
      <alignment horizontal="left" vertical="center" indent="1"/>
    </xf>
    <xf numFmtId="4" fontId="48" fillId="23" borderId="123" applyNumberFormat="0" applyProtection="0">
      <alignment horizontal="right" vertical="center"/>
    </xf>
    <xf numFmtId="351" fontId="248" fillId="128" borderId="123" applyNumberForma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252" fillId="19"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164" fontId="8" fillId="0" borderId="0" applyFont="0" applyFill="0" applyBorder="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4" fontId="48" fillId="0" borderId="123" applyNumberFormat="0" applyProtection="0">
      <alignment horizontal="right" vertical="center"/>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1"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1" fontId="248" fillId="128" borderId="123" applyNumberFormat="0" applyAlignment="0" applyProtection="0"/>
    <xf numFmtId="351" fontId="248" fillId="128" borderId="123" applyNumberForma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1" fontId="48" fillId="30" borderId="128" applyNumberFormat="0" applyProtection="0">
      <alignment horizontal="left" vertical="top" indent="1"/>
    </xf>
    <xf numFmtId="351" fontId="252" fillId="19" borderId="128" applyNumberFormat="0" applyProtection="0">
      <alignment horizontal="left" vertical="top"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7" borderId="123" applyNumberFormat="0" applyProtection="0">
      <alignment horizontal="right" vertical="center"/>
    </xf>
    <xf numFmtId="351" fontId="48" fillId="19" borderId="128" applyNumberFormat="0" applyProtection="0">
      <alignment horizontal="left" vertical="top" indent="1"/>
    </xf>
    <xf numFmtId="164" fontId="7" fillId="0" borderId="0" applyFont="0" applyFill="0" applyBorder="0" applyAlignment="0" applyProtection="0"/>
    <xf numFmtId="351" fontId="48" fillId="19"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4" fontId="48" fillId="64" borderId="123" applyNumberFormat="0" applyProtection="0">
      <alignment horizontal="left" vertical="center" indent="1"/>
    </xf>
    <xf numFmtId="351" fontId="48" fillId="32" borderId="128" applyNumberFormat="0" applyProtection="0">
      <alignment horizontal="left" vertical="top" indent="1"/>
    </xf>
    <xf numFmtId="351" fontId="10" fillId="0" borderId="132" applyNumberFormat="0" applyFill="0" applyAlignment="0" applyProtection="0"/>
    <xf numFmtId="351" fontId="10" fillId="0" borderId="132" applyNumberFormat="0" applyFill="0" applyAlignment="0" applyProtection="0"/>
    <xf numFmtId="4" fontId="48" fillId="28" borderId="123" applyNumberFormat="0" applyProtection="0">
      <alignment horizontal="right" vertical="center"/>
    </xf>
    <xf numFmtId="351" fontId="48" fillId="30" borderId="128" applyNumberFormat="0" applyProtection="0">
      <alignment horizontal="left" vertical="top" indent="1"/>
    </xf>
    <xf numFmtId="37" fontId="59" fillId="0" borderId="131" applyNumberFormat="0"/>
    <xf numFmtId="351" fontId="48" fillId="19" borderId="128" applyNumberFormat="0" applyProtection="0">
      <alignment horizontal="left" vertical="top" indent="1"/>
    </xf>
    <xf numFmtId="351" fontId="251" fillId="18" borderId="128" applyNumberFormat="0" applyProtection="0">
      <alignment horizontal="left" vertical="top" indent="1"/>
    </xf>
    <xf numFmtId="351"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4" fontId="48" fillId="25" borderId="123" applyNumberFormat="0" applyProtection="0">
      <alignment horizontal="righ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1" fontId="179" fillId="128" borderId="127" applyNumberFormat="0" applyAlignment="0" applyProtection="0"/>
    <xf numFmtId="351" fontId="48" fillId="61" borderId="123" applyNumberFormat="0" applyProtection="0">
      <alignment horizontal="left" vertical="center" indent="1"/>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131" borderId="123" applyNumberFormat="0" applyProtection="0">
      <alignment horizontal="right" vertical="center"/>
    </xf>
    <xf numFmtId="351" fontId="48" fillId="13" borderId="123" applyNumberFormat="0" applyFont="0" applyAlignment="0" applyProtection="0"/>
    <xf numFmtId="4" fontId="48" fillId="22" borderId="129"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1" fontId="137" fillId="14" borderId="123" applyNumberFormat="0" applyAlignment="0" applyProtection="0"/>
    <xf numFmtId="351" fontId="48" fillId="61" borderId="123" applyNumberFormat="0" applyProtection="0">
      <alignment horizontal="left" vertical="center" indent="1"/>
    </xf>
    <xf numFmtId="351" fontId="48" fillId="13" borderId="123" applyNumberFormat="0" applyFont="0" applyAlignment="0" applyProtection="0"/>
    <xf numFmtId="351"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1" fontId="48" fillId="32" borderId="123" applyNumberFormat="0" applyProtection="0">
      <alignment horizontal="left" vertical="center" indent="1"/>
    </xf>
    <xf numFmtId="351" fontId="48" fillId="13" borderId="123" applyNumberFormat="0" applyFont="0" applyAlignment="0" applyProtection="0"/>
    <xf numFmtId="351" fontId="88" fillId="31" borderId="130" applyBorder="0"/>
    <xf numFmtId="351" fontId="10" fillId="0" borderId="132" applyNumberFormat="0" applyFill="0" applyAlignment="0" applyProtection="0"/>
    <xf numFmtId="164" fontId="7" fillId="0" borderId="0" applyFont="0" applyFill="0" applyBorder="0" applyAlignment="0" applyProtection="0"/>
    <xf numFmtId="351" fontId="248" fillId="128" borderId="123" applyNumberFormat="0" applyAlignment="0" applyProtection="0"/>
    <xf numFmtId="4" fontId="48" fillId="24" borderId="123" applyNumberFormat="0" applyProtection="0">
      <alignment horizontal="right" vertical="center"/>
    </xf>
    <xf numFmtId="351" fontId="48" fillId="13" borderId="123" applyNumberFormat="0" applyFon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252" fillId="19"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4" fontId="250" fillId="45" borderId="123" applyNumberFormat="0" applyProtection="0">
      <alignment vertical="center"/>
    </xf>
    <xf numFmtId="351" fontId="48" fillId="83" borderId="123" applyNumberFormat="0" applyProtection="0">
      <alignment horizontal="left" vertical="center" indent="1"/>
    </xf>
    <xf numFmtId="37" fontId="59" fillId="0" borderId="131" applyNumberFormat="0"/>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1"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1"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1"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3" applyNumberFormat="0" applyProtection="0">
      <alignment horizontal="left" vertical="center"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1" fontId="4" fillId="19" borderId="128" applyNumberFormat="0" applyProtection="0">
      <alignment horizontal="left" vertical="top" indent="1"/>
    </xf>
    <xf numFmtId="351" fontId="137" fillId="14" borderId="123" applyNumberFormat="0" applyAlignment="0" applyProtection="0"/>
    <xf numFmtId="351" fontId="10" fillId="0" borderId="132" applyNumberFormat="0" applyFill="0" applyAlignment="0" applyProtection="0"/>
    <xf numFmtId="351"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137" fillId="14" borderId="123" applyNumberFormat="0" applyAlignment="0" applyProtection="0"/>
    <xf numFmtId="351" fontId="48" fillId="13" borderId="123" applyNumberFormat="0" applyFont="0" applyAlignment="0" applyProtection="0"/>
    <xf numFmtId="351" fontId="179" fillId="128" borderId="127" applyNumberFormat="0" applyAlignment="0" applyProtection="0"/>
    <xf numFmtId="4" fontId="252" fillId="34" borderId="128" applyNumberFormat="0" applyProtection="0">
      <alignment vertical="center"/>
    </xf>
    <xf numFmtId="351" fontId="48" fillId="32" borderId="128" applyNumberFormat="0" applyProtection="0">
      <alignment horizontal="left" vertical="top" indent="1"/>
    </xf>
    <xf numFmtId="351" fontId="248" fillId="128" borderId="123" applyNumberFormat="0" applyAlignment="0" applyProtection="0"/>
    <xf numFmtId="351" fontId="48" fillId="13" borderId="123" applyNumberFormat="0" applyFont="0" applyAlignment="0" applyProtection="0"/>
    <xf numFmtId="4" fontId="48" fillId="0" borderId="123" applyNumberFormat="0" applyProtection="0">
      <alignment horizontal="right" vertical="center"/>
    </xf>
    <xf numFmtId="351" fontId="48" fillId="31"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137" fillId="14" borderId="123" applyNumberFormat="0" applyAlignment="0" applyProtection="0"/>
    <xf numFmtId="351" fontId="48" fillId="19" borderId="128" applyNumberFormat="0" applyProtection="0">
      <alignment horizontal="left" vertical="top" indent="1"/>
    </xf>
    <xf numFmtId="351" fontId="48" fillId="30" borderId="128" applyNumberFormat="0" applyProtection="0">
      <alignment horizontal="left" vertical="top" indent="1"/>
    </xf>
    <xf numFmtId="351"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1" fontId="48" fillId="13" borderId="123" applyNumberFormat="0" applyFont="0" applyAlignment="0" applyProtection="0"/>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3" borderId="123" applyNumberFormat="0" applyFont="0" applyAlignment="0" applyProtection="0"/>
    <xf numFmtId="4" fontId="48" fillId="24" borderId="123" applyNumberFormat="0" applyProtection="0">
      <alignment horizontal="right" vertical="center"/>
    </xf>
    <xf numFmtId="351" fontId="48" fillId="32" borderId="128" applyNumberFormat="0" applyProtection="0">
      <alignment horizontal="left" vertical="top" indent="1"/>
    </xf>
    <xf numFmtId="4" fontId="48" fillId="64" borderId="123" applyNumberFormat="0" applyProtection="0">
      <alignment horizontal="left" vertical="center" indent="1"/>
    </xf>
    <xf numFmtId="351" fontId="48" fillId="31" borderId="128" applyNumberFormat="0" applyProtection="0">
      <alignment horizontal="left" vertical="top" indent="1"/>
    </xf>
    <xf numFmtId="351" fontId="248" fillId="128" borderId="123" applyNumberFormat="0" applyAlignment="0" applyProtection="0"/>
    <xf numFmtId="4" fontId="252" fillId="61" borderId="128" applyNumberFormat="0" applyProtection="0">
      <alignment horizontal="left" vertical="center" indent="1"/>
    </xf>
    <xf numFmtId="351" fontId="10" fillId="0" borderId="132" applyNumberFormat="0" applyFill="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4" fontId="48" fillId="64" borderId="123" applyNumberFormat="0" applyProtection="0">
      <alignment horizontal="left" vertical="center" indent="1"/>
    </xf>
    <xf numFmtId="351" fontId="248" fillId="128" borderId="123" applyNumberFormat="0" applyAlignment="0" applyProtection="0"/>
    <xf numFmtId="4" fontId="254" fillId="33" borderId="123" applyNumberFormat="0" applyProtection="0">
      <alignment horizontal="right" vertical="center"/>
    </xf>
    <xf numFmtId="351" fontId="88" fillId="31" borderId="130" applyBorder="0"/>
    <xf numFmtId="351" fontId="48" fillId="13" borderId="123" applyNumberFormat="0" applyFont="0" applyAlignment="0" applyProtection="0"/>
    <xf numFmtId="4" fontId="48" fillId="64" borderId="123" applyNumberFormat="0" applyProtection="0">
      <alignment horizontal="left" vertical="center"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3" borderId="123" applyNumberFormat="0" applyFont="0" applyAlignment="0" applyProtection="0"/>
    <xf numFmtId="351" fontId="179" fillId="128" borderId="127" applyNumberFormat="0" applyAlignment="0" applyProtection="0"/>
    <xf numFmtId="4" fontId="48" fillId="20" borderId="123" applyNumberFormat="0" applyProtection="0">
      <alignment horizontal="right" vertical="center"/>
    </xf>
    <xf numFmtId="351" fontId="48" fillId="31" borderId="128" applyNumberFormat="0" applyProtection="0">
      <alignment horizontal="left" vertical="top" indent="1"/>
    </xf>
    <xf numFmtId="351" fontId="88" fillId="31" borderId="130" applyBorder="0"/>
    <xf numFmtId="4" fontId="48" fillId="28" borderId="123" applyNumberFormat="0" applyProtection="0">
      <alignment horizontal="right" vertical="center"/>
    </xf>
    <xf numFmtId="351" fontId="48" fillId="31" borderId="128" applyNumberFormat="0" applyProtection="0">
      <alignment horizontal="left" vertical="top" indent="1"/>
    </xf>
    <xf numFmtId="351" fontId="48" fillId="30" borderId="128" applyNumberFormat="0" applyProtection="0">
      <alignment horizontal="left" vertical="top" indent="1"/>
    </xf>
    <xf numFmtId="4" fontId="48" fillId="26" borderId="123" applyNumberFormat="0" applyProtection="0">
      <alignment horizontal="right" vertical="center"/>
    </xf>
    <xf numFmtId="351" fontId="48" fillId="32" borderId="128" applyNumberFormat="0" applyProtection="0">
      <alignment horizontal="left" vertical="top" indent="1"/>
    </xf>
    <xf numFmtId="351" fontId="4" fillId="32" borderId="128" applyNumberFormat="0" applyProtection="0">
      <alignment horizontal="left" vertical="center" indent="1"/>
    </xf>
    <xf numFmtId="4" fontId="48" fillId="0" borderId="123" applyNumberFormat="0" applyProtection="0">
      <alignment horizontal="right" vertical="center"/>
    </xf>
    <xf numFmtId="351" fontId="48" fillId="19" borderId="128" applyNumberFormat="0" applyProtection="0">
      <alignment horizontal="left" vertical="top" indent="1"/>
    </xf>
    <xf numFmtId="351" fontId="248" fillId="128" borderId="123" applyNumberFormat="0" applyAlignment="0" applyProtection="0"/>
    <xf numFmtId="351"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254" fillId="33" borderId="123" applyNumberFormat="0" applyProtection="0">
      <alignment horizontal="right" vertical="center"/>
    </xf>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1" fontId="48" fillId="13" borderId="123" applyNumberFormat="0" applyFont="0" applyAlignment="0" applyProtection="0"/>
    <xf numFmtId="351" fontId="248" fillId="128" borderId="123" applyNumberFormat="0" applyAlignment="0" applyProtection="0"/>
    <xf numFmtId="351" fontId="252" fillId="34" borderId="128" applyNumberFormat="0" applyProtection="0">
      <alignment horizontal="left" vertical="top" indent="1"/>
    </xf>
    <xf numFmtId="351" fontId="4" fillId="30" borderId="128" applyNumberFormat="0" applyProtection="0">
      <alignment horizontal="left" vertical="center" indent="1"/>
    </xf>
    <xf numFmtId="4" fontId="254" fillId="33" borderId="123" applyNumberFormat="0" applyProtection="0">
      <alignment horizontal="right" vertical="center"/>
    </xf>
    <xf numFmtId="351" fontId="48" fillId="30" borderId="123" applyNumberFormat="0" applyProtection="0">
      <alignment horizontal="left" vertical="center" indent="1"/>
    </xf>
    <xf numFmtId="351" fontId="48" fillId="83" borderId="123" applyNumberFormat="0" applyProtection="0">
      <alignment horizontal="left" vertical="center" indent="1"/>
    </xf>
    <xf numFmtId="4" fontId="48" fillId="20" borderId="123" applyNumberFormat="0" applyProtection="0">
      <alignment horizontal="right" vertical="center"/>
    </xf>
    <xf numFmtId="351" fontId="48" fillId="19" borderId="128" applyNumberFormat="0" applyProtection="0">
      <alignment horizontal="left" vertical="top" indent="1"/>
    </xf>
    <xf numFmtId="351" fontId="48" fillId="83" borderId="123" applyNumberFormat="0" applyProtection="0">
      <alignment horizontal="left" vertical="center" indent="1"/>
    </xf>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51" fontId="48" fillId="13" borderId="123" applyNumberFormat="0" applyFont="0" applyAlignment="0" applyProtection="0"/>
    <xf numFmtId="4" fontId="48" fillId="23" borderId="123" applyNumberFormat="0" applyProtection="0">
      <alignment horizontal="right" vertical="center"/>
    </xf>
    <xf numFmtId="351" fontId="48" fillId="32" borderId="123" applyNumberFormat="0" applyProtection="0">
      <alignment horizontal="left" vertical="center" indent="1"/>
    </xf>
    <xf numFmtId="351" fontId="48" fillId="30" borderId="128" applyNumberFormat="0" applyProtection="0">
      <alignment horizontal="left" vertical="top" indent="1"/>
    </xf>
    <xf numFmtId="4" fontId="48" fillId="19" borderId="123" applyNumberFormat="0" applyProtection="0">
      <alignment horizontal="right" vertical="center"/>
    </xf>
    <xf numFmtId="351" fontId="252" fillId="34"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7" fontId="59" fillId="0" borderId="131" applyNumberFormat="0"/>
    <xf numFmtId="351" fontId="48" fillId="19"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248" fillId="128" borderId="123" applyNumberFormat="0" applyAlignment="0" applyProtection="0"/>
    <xf numFmtId="351" fontId="48" fillId="31" borderId="128" applyNumberFormat="0" applyProtection="0">
      <alignment horizontal="left" vertical="top" indent="1"/>
    </xf>
    <xf numFmtId="351"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1" fontId="48" fillId="13" borderId="123" applyNumberFormat="0" applyFont="0" applyAlignment="0" applyProtection="0"/>
    <xf numFmtId="351" fontId="48" fillId="31" borderId="128" applyNumberFormat="0" applyProtection="0">
      <alignment horizontal="left" vertical="top" indent="1"/>
    </xf>
    <xf numFmtId="4" fontId="48" fillId="20" borderId="123" applyNumberFormat="0" applyProtection="0">
      <alignment horizontal="right" vertical="center"/>
    </xf>
    <xf numFmtId="351" fontId="137" fillId="14" borderId="123" applyNumberFormat="0" applyAlignment="0" applyProtection="0"/>
    <xf numFmtId="4" fontId="250" fillId="50" borderId="123" applyNumberFormat="0" applyProtection="0">
      <alignment horizontal="right" vertical="center"/>
    </xf>
    <xf numFmtId="351" fontId="48" fillId="31" borderId="128" applyNumberFormat="0" applyProtection="0">
      <alignment horizontal="left" vertical="top" indent="1"/>
    </xf>
    <xf numFmtId="4" fontId="253" fillId="35" borderId="129"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4" fontId="48" fillId="30" borderId="129" applyNumberFormat="0" applyProtection="0">
      <alignment horizontal="left" vertical="center" indent="1"/>
    </xf>
    <xf numFmtId="351" fontId="252" fillId="34" borderId="128" applyNumberFormat="0" applyProtection="0">
      <alignment horizontal="left" vertical="top" indent="1"/>
    </xf>
    <xf numFmtId="351"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 fillId="32" borderId="128" applyNumberFormat="0" applyProtection="0">
      <alignment horizontal="left" vertical="top" indent="1"/>
    </xf>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351" fontId="88" fillId="31" borderId="130" applyBorder="0"/>
    <xf numFmtId="351" fontId="48" fillId="13" borderId="123" applyNumberFormat="0" applyFont="0" applyAlignment="0" applyProtection="0"/>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1" fontId="10" fillId="0" borderId="132" applyNumberFormat="0" applyFill="0" applyAlignment="0" applyProtection="0"/>
    <xf numFmtId="351" fontId="48" fillId="32" borderId="128" applyNumberFormat="0" applyProtection="0">
      <alignment horizontal="left" vertical="top" indent="1"/>
    </xf>
    <xf numFmtId="351" fontId="48" fillId="19" borderId="128" applyNumberFormat="0" applyProtection="0">
      <alignment horizontal="left" vertical="top" indent="1"/>
    </xf>
    <xf numFmtId="4" fontId="48" fillId="23" borderId="123" applyNumberFormat="0" applyProtection="0">
      <alignment horizontal="right" vertical="center"/>
    </xf>
    <xf numFmtId="351" fontId="48" fillId="83"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1" fontId="10" fillId="0" borderId="132" applyNumberFormat="0" applyFill="0" applyAlignment="0" applyProtection="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 fillId="30" borderId="128" applyNumberFormat="0" applyProtection="0">
      <alignment horizontal="left" vertical="center" indent="1"/>
    </xf>
    <xf numFmtId="351" fontId="248" fillId="128" borderId="123" applyNumberFormat="0" applyAlignment="0" applyProtection="0"/>
    <xf numFmtId="351" fontId="48" fillId="30" borderId="123" applyNumberFormat="0" applyProtection="0">
      <alignment horizontal="left" vertical="center" indent="1"/>
    </xf>
    <xf numFmtId="351" fontId="48" fillId="32" borderId="128" applyNumberFormat="0" applyProtection="0">
      <alignment horizontal="left" vertical="top" indent="1"/>
    </xf>
    <xf numFmtId="37" fontId="59" fillId="0" borderId="131" applyNumberFormat="0"/>
    <xf numFmtId="351"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1" fontId="48" fillId="13" borderId="123" applyNumberFormat="0" applyFont="0" applyAlignment="0" applyProtection="0"/>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1" fontId="10" fillId="0" borderId="132" applyNumberFormat="0" applyFill="0" applyAlignment="0" applyProtection="0"/>
    <xf numFmtId="351"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1" fontId="10" fillId="0" borderId="132" applyNumberFormat="0" applyFill="0" applyAlignment="0" applyProtection="0"/>
    <xf numFmtId="351" fontId="4" fillId="30" borderId="128" applyNumberFormat="0" applyProtection="0">
      <alignment horizontal="left" vertical="center" indent="1"/>
    </xf>
    <xf numFmtId="351" fontId="48" fillId="19" borderId="128" applyNumberFormat="0" applyProtection="0">
      <alignment horizontal="left" vertical="top" indent="1"/>
    </xf>
    <xf numFmtId="351" fontId="248" fillId="128" borderId="123" applyNumberFormat="0" applyAlignment="0" applyProtection="0"/>
    <xf numFmtId="4" fontId="48" fillId="24" borderId="123" applyNumberFormat="0" applyProtection="0">
      <alignment horizontal="right" vertical="center"/>
    </xf>
    <xf numFmtId="210" fontId="59" fillId="0" borderId="32" applyFill="0"/>
    <xf numFmtId="351" fontId="48" fillId="13" borderId="123" applyNumberFormat="0" applyFont="0" applyAlignment="0" applyProtection="0"/>
    <xf numFmtId="351" fontId="252" fillId="34" borderId="128" applyNumberFormat="0" applyProtection="0">
      <alignment horizontal="left" vertical="top" indent="1"/>
    </xf>
    <xf numFmtId="4" fontId="252" fillId="34" borderId="128" applyNumberFormat="0" applyProtection="0">
      <alignment vertical="center"/>
    </xf>
    <xf numFmtId="351" fontId="48" fillId="13" borderId="123" applyNumberFormat="0" applyFont="0" applyAlignment="0" applyProtection="0"/>
    <xf numFmtId="351" fontId="48" fillId="13" borderId="123" applyNumberFormat="0" applyFont="0" applyAlignment="0" applyProtection="0"/>
    <xf numFmtId="351"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137" fillId="14" borderId="123" applyNumberFormat="0" applyAlignment="0" applyProtection="0"/>
    <xf numFmtId="37" fontId="59" fillId="0" borderId="131" applyNumberFormat="0"/>
    <xf numFmtId="351" fontId="48" fillId="30" borderId="123"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4" fontId="48" fillId="29" borderId="129" applyNumberFormat="0" applyProtection="0">
      <alignment horizontal="left" vertical="center" indent="1"/>
    </xf>
    <xf numFmtId="351"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1" fontId="48" fillId="30" borderId="128" applyNumberFormat="0" applyProtection="0">
      <alignment horizontal="left" vertical="top" indent="1"/>
    </xf>
    <xf numFmtId="4" fontId="252" fillId="61" borderId="128" applyNumberFormat="0" applyProtection="0">
      <alignment horizontal="left" vertical="center" indent="1"/>
    </xf>
    <xf numFmtId="351" fontId="4" fillId="30" borderId="128" applyNumberFormat="0" applyProtection="0">
      <alignment horizontal="left" vertical="center" indent="1"/>
    </xf>
    <xf numFmtId="4" fontId="48" fillId="64" borderId="123" applyNumberFormat="0" applyProtection="0">
      <alignment horizontal="left" vertical="center" indent="1"/>
    </xf>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1"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210" fontId="59" fillId="0" borderId="32" applyFill="0"/>
    <xf numFmtId="351" fontId="48" fillId="32" borderId="128" applyNumberFormat="0" applyProtection="0">
      <alignment horizontal="left" vertical="top" indent="1"/>
    </xf>
    <xf numFmtId="4" fontId="48" fillId="19"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179" fillId="128" borderId="127" applyNumberFormat="0" applyAlignment="0" applyProtection="0"/>
    <xf numFmtId="351" fontId="48" fillId="61" borderId="123"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4" fontId="48" fillId="27" borderId="123" applyNumberFormat="0" applyProtection="0">
      <alignment horizontal="right" vertical="center"/>
    </xf>
    <xf numFmtId="351" fontId="251" fillId="18" borderId="128" applyNumberFormat="0" applyProtection="0">
      <alignment horizontal="left" vertical="top" indent="1"/>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1" fontId="48" fillId="31"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4" fontId="48" fillId="0" borderId="123" applyNumberFormat="0" applyProtection="0">
      <alignment horizontal="right" vertical="center"/>
    </xf>
    <xf numFmtId="351" fontId="10" fillId="0" borderId="132" applyNumberFormat="0" applyFill="0" applyAlignment="0" applyProtection="0"/>
    <xf numFmtId="351" fontId="88" fillId="31" borderId="130" applyBorder="0"/>
    <xf numFmtId="351" fontId="48" fillId="30" borderId="128" applyNumberFormat="0" applyProtection="0">
      <alignment horizontal="left" vertical="top" indent="1"/>
    </xf>
    <xf numFmtId="351" fontId="48" fillId="30" borderId="128" applyNumberFormat="0" applyProtection="0">
      <alignment horizontal="left" vertical="top" indent="1"/>
    </xf>
    <xf numFmtId="210" fontId="59" fillId="0" borderId="32" applyFill="0"/>
    <xf numFmtId="351"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137" fillId="14" borderId="123" applyNumberFormat="0" applyAlignment="0" applyProtection="0"/>
    <xf numFmtId="351" fontId="4" fillId="32" borderId="128" applyNumberFormat="0" applyProtection="0">
      <alignment horizontal="left" vertical="top" indent="1"/>
    </xf>
    <xf numFmtId="351" fontId="137" fillId="14" borderId="123" applyNumberFormat="0" applyAlignment="0" applyProtection="0"/>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2" borderId="123" applyNumberFormat="0" applyProtection="0">
      <alignment horizontal="left" vertical="center" indent="1"/>
    </xf>
    <xf numFmtId="4" fontId="48" fillId="131" borderId="123" applyNumberFormat="0" applyProtection="0">
      <alignment horizontal="right" vertical="center"/>
    </xf>
    <xf numFmtId="351" fontId="48" fillId="30" borderId="128" applyNumberFormat="0" applyProtection="0">
      <alignment horizontal="left" vertical="top" indent="1"/>
    </xf>
    <xf numFmtId="4" fontId="48" fillId="30" borderId="129" applyNumberFormat="0" applyProtection="0">
      <alignment horizontal="left" vertical="center"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252" fillId="19" borderId="128" applyNumberFormat="0" applyProtection="0">
      <alignment horizontal="left" vertical="top" indent="1"/>
    </xf>
    <xf numFmtId="4" fontId="48" fillId="0" borderId="123" applyNumberFormat="0" applyProtection="0">
      <alignment horizontal="right" vertical="center"/>
    </xf>
    <xf numFmtId="351" fontId="4" fillId="32" borderId="128" applyNumberFormat="0" applyProtection="0">
      <alignment horizontal="left" vertical="top" indent="1"/>
    </xf>
    <xf numFmtId="37" fontId="59" fillId="0" borderId="131" applyNumberFormat="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1" fontId="248" fillId="128" borderId="123" applyNumberFormat="0" applyAlignment="0" applyProtection="0"/>
    <xf numFmtId="351" fontId="48" fillId="32"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19" borderId="128" applyNumberFormat="0" applyProtection="0">
      <alignment horizontal="left" vertical="top" indent="1"/>
    </xf>
    <xf numFmtId="351" fontId="4" fillId="31" borderId="128" applyNumberFormat="0" applyProtection="0">
      <alignment horizontal="left" vertical="center"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4" fontId="48" fillId="0" borderId="123" applyNumberFormat="0" applyProtection="0">
      <alignment horizontal="right" vertical="center"/>
    </xf>
    <xf numFmtId="351"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1" fontId="48" fillId="61"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1" fontId="48" fillId="30" borderId="128" applyNumberFormat="0" applyProtection="0">
      <alignment horizontal="left" vertical="top" indent="1"/>
    </xf>
    <xf numFmtId="351" fontId="48" fillId="31"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4" fontId="48" fillId="64" borderId="123" applyNumberFormat="0" applyProtection="0">
      <alignment horizontal="left" vertical="center" indent="1"/>
    </xf>
    <xf numFmtId="351" fontId="48" fillId="30" borderId="128" applyNumberFormat="0" applyProtection="0">
      <alignment horizontal="left" vertical="top" indent="1"/>
    </xf>
    <xf numFmtId="351" fontId="48" fillId="19" borderId="128" applyNumberFormat="0" applyProtection="0">
      <alignment horizontal="left" vertical="top" indent="1"/>
    </xf>
    <xf numFmtId="4" fontId="4" fillId="31" borderId="129" applyNumberFormat="0" applyProtection="0">
      <alignment horizontal="left" vertical="center" indent="1"/>
    </xf>
    <xf numFmtId="351" fontId="179" fillId="128" borderId="127" applyNumberFormat="0" applyAlignment="0" applyProtection="0"/>
    <xf numFmtId="164" fontId="7" fillId="0" borderId="0" applyFont="0" applyFill="0" applyBorder="0" applyAlignment="0" applyProtection="0"/>
    <xf numFmtId="351"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1" fontId="4" fillId="31" borderId="128" applyNumberFormat="0" applyProtection="0">
      <alignment horizontal="left" vertical="top" indent="1"/>
    </xf>
    <xf numFmtId="351" fontId="48" fillId="32" borderId="128" applyNumberFormat="0" applyProtection="0">
      <alignment horizontal="left" vertical="top" indent="1"/>
    </xf>
    <xf numFmtId="351" fontId="48" fillId="32" borderId="123" applyNumberFormat="0" applyProtection="0">
      <alignment horizontal="left" vertical="center"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1" fontId="48" fillId="13" borderId="123" applyNumberFormat="0" applyFont="0" applyAlignment="0" applyProtection="0"/>
    <xf numFmtId="351" fontId="248" fillId="128" borderId="123" applyNumberForma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1"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1" fontId="48" fillId="31"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1" fontId="48" fillId="19" borderId="128" applyNumberFormat="0" applyProtection="0">
      <alignment horizontal="left" vertical="top" indent="1"/>
    </xf>
    <xf numFmtId="4" fontId="48" fillId="64" borderId="123" applyNumberFormat="0" applyProtection="0">
      <alignment horizontal="left" vertical="center" indent="1"/>
    </xf>
    <xf numFmtId="351" fontId="48" fillId="30" borderId="128" applyNumberFormat="0" applyProtection="0">
      <alignment horizontal="left" vertical="top" indent="1"/>
    </xf>
    <xf numFmtId="4" fontId="48" fillId="0" borderId="123" applyNumberFormat="0" applyProtection="0">
      <alignment horizontal="right" vertical="center"/>
    </xf>
    <xf numFmtId="351" fontId="248" fillId="128" borderId="123" applyNumberFormat="0" applyAlignment="0" applyProtection="0"/>
    <xf numFmtId="351" fontId="48" fillId="13" borderId="123" applyNumberFormat="0" applyFont="0" applyAlignment="0" applyProtection="0"/>
    <xf numFmtId="4" fontId="4" fillId="31" borderId="129" applyNumberFormat="0" applyProtection="0">
      <alignment horizontal="left" vertical="center"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1" fontId="48" fillId="13" borderId="123" applyNumberFormat="0" applyFont="0" applyAlignment="0" applyProtection="0"/>
    <xf numFmtId="351" fontId="248" fillId="128" borderId="123" applyNumberFormat="0" applyAlignment="0" applyProtection="0"/>
    <xf numFmtId="4" fontId="48" fillId="131" borderId="123" applyNumberFormat="0" applyProtection="0">
      <alignment horizontal="right" vertical="center"/>
    </xf>
    <xf numFmtId="351" fontId="48" fillId="13" borderId="123" applyNumberFormat="0" applyFont="0" applyAlignment="0" applyProtection="0"/>
    <xf numFmtId="351"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10" fillId="0" borderId="132" applyNumberFormat="0" applyFill="0" applyAlignment="0" applyProtection="0"/>
    <xf numFmtId="351" fontId="48" fillId="32" borderId="128" applyNumberFormat="0" applyProtection="0">
      <alignment horizontal="left" vertical="top" indent="1"/>
    </xf>
    <xf numFmtId="351" fontId="248" fillId="128" borderId="123" applyNumberFormat="0" applyAlignment="0" applyProtection="0"/>
    <xf numFmtId="4" fontId="48" fillId="0" borderId="123" applyNumberFormat="0" applyProtection="0">
      <alignment horizontal="right" vertical="center"/>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83" borderId="123" applyNumberFormat="0" applyProtection="0">
      <alignment horizontal="left" vertical="center" indent="1"/>
    </xf>
    <xf numFmtId="351" fontId="4" fillId="31" borderId="128" applyNumberFormat="0" applyProtection="0">
      <alignment horizontal="left" vertical="top" indent="1"/>
    </xf>
    <xf numFmtId="4" fontId="48" fillId="28" borderId="123" applyNumberFormat="0" applyProtection="0">
      <alignment horizontal="right" vertical="center"/>
    </xf>
    <xf numFmtId="351" fontId="251" fillId="18" borderId="128" applyNumberFormat="0" applyProtection="0">
      <alignment horizontal="left" vertical="top" indent="1"/>
    </xf>
    <xf numFmtId="351" fontId="88" fillId="31" borderId="130" applyBorder="0"/>
    <xf numFmtId="351" fontId="48" fillId="32" borderId="123" applyNumberFormat="0" applyProtection="0">
      <alignment horizontal="left" vertical="center" indent="1"/>
    </xf>
    <xf numFmtId="351" fontId="137" fillId="14" borderId="123" applyNumberFormat="0" applyAlignment="0" applyProtection="0"/>
    <xf numFmtId="4" fontId="252" fillId="61" borderId="128" applyNumberFormat="0" applyProtection="0">
      <alignment horizontal="left" vertical="center" indent="1"/>
    </xf>
    <xf numFmtId="351" fontId="48" fillId="13" borderId="123" applyNumberFormat="0" applyFont="0" applyAlignment="0" applyProtection="0"/>
    <xf numFmtId="351"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10" fillId="0" borderId="132" applyNumberFormat="0" applyFill="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252" fillId="34" borderId="128" applyNumberFormat="0" applyProtection="0">
      <alignment horizontal="left" vertical="top" indent="1"/>
    </xf>
    <xf numFmtId="351" fontId="48" fillId="32" borderId="128" applyNumberFormat="0" applyProtection="0">
      <alignment horizontal="left" vertical="top" indent="1"/>
    </xf>
    <xf numFmtId="351" fontId="252" fillId="19" borderId="128" applyNumberFormat="0" applyProtection="0">
      <alignment horizontal="left" vertical="top" indent="1"/>
    </xf>
    <xf numFmtId="351" fontId="88" fillId="31" borderId="130" applyBorder="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1" fontId="4" fillId="31" borderId="128" applyNumberFormat="0" applyProtection="0">
      <alignment horizontal="left" vertical="center" indent="1"/>
    </xf>
    <xf numFmtId="351" fontId="48" fillId="32" borderId="128" applyNumberFormat="0" applyProtection="0">
      <alignment horizontal="left" vertical="top" indent="1"/>
    </xf>
    <xf numFmtId="4" fontId="4" fillId="31" borderId="129" applyNumberFormat="0" applyProtection="0">
      <alignment horizontal="left" vertical="center" indent="1"/>
    </xf>
    <xf numFmtId="351" fontId="179" fillId="128" borderId="127" applyNumberFormat="0" applyAlignment="0" applyProtection="0"/>
    <xf numFmtId="351" fontId="48" fillId="13" borderId="123" applyNumberFormat="0" applyFont="0" applyAlignment="0" applyProtection="0"/>
    <xf numFmtId="4" fontId="48" fillId="18" borderId="123" applyNumberFormat="0" applyProtection="0">
      <alignment vertical="center"/>
    </xf>
    <xf numFmtId="351" fontId="4" fillId="31" borderId="128" applyNumberFormat="0" applyProtection="0">
      <alignment horizontal="left" vertical="center" indent="1"/>
    </xf>
    <xf numFmtId="351" fontId="48" fillId="30"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25" borderId="123" applyNumberFormat="0" applyProtection="0">
      <alignment horizontal="right" vertical="center"/>
    </xf>
    <xf numFmtId="351"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1" fontId="48" fillId="31"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0" fillId="50" borderId="123" applyNumberFormat="0" applyProtection="0">
      <alignment horizontal="right" vertical="center"/>
    </xf>
    <xf numFmtId="351" fontId="10" fillId="0" borderId="132" applyNumberFormat="0" applyFill="0" applyAlignment="0" applyProtection="0"/>
    <xf numFmtId="4" fontId="252" fillId="34" borderId="128" applyNumberFormat="0" applyProtection="0">
      <alignment vertical="center"/>
    </xf>
    <xf numFmtId="351" fontId="48" fillId="30" borderId="128" applyNumberFormat="0" applyProtection="0">
      <alignment horizontal="left" vertical="top" indent="1"/>
    </xf>
    <xf numFmtId="351" fontId="88" fillId="31" borderId="130" applyBorder="0"/>
    <xf numFmtId="4" fontId="48" fillId="0" borderId="123" applyNumberFormat="0" applyProtection="0">
      <alignment horizontal="right" vertical="center"/>
    </xf>
    <xf numFmtId="351" fontId="48" fillId="30" borderId="128" applyNumberFormat="0" applyProtection="0">
      <alignment horizontal="left" vertical="top" indent="1"/>
    </xf>
    <xf numFmtId="4" fontId="48" fillId="28" borderId="123" applyNumberFormat="0" applyProtection="0">
      <alignment horizontal="right" vertical="center"/>
    </xf>
    <xf numFmtId="351" fontId="48" fillId="61"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4" fillId="33" borderId="123" applyNumberFormat="0" applyProtection="0">
      <alignment horizontal="right" vertical="center"/>
    </xf>
    <xf numFmtId="351" fontId="137" fillId="14" borderId="123" applyNumberFormat="0" applyAlignment="0" applyProtection="0"/>
    <xf numFmtId="351" fontId="48" fillId="32" borderId="128" applyNumberFormat="0" applyProtection="0">
      <alignment horizontal="left" vertical="top" indent="1"/>
    </xf>
    <xf numFmtId="351" fontId="137" fillId="14" borderId="123" applyNumberFormat="0" applyAlignment="0" applyProtection="0"/>
    <xf numFmtId="351" fontId="48" fillId="83" borderId="123" applyNumberFormat="0" applyProtection="0">
      <alignment horizontal="left" vertical="center" indent="1"/>
    </xf>
    <xf numFmtId="351"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88" fillId="31" borderId="130" applyBorder="0"/>
    <xf numFmtId="4" fontId="48" fillId="22" borderId="129" applyNumberFormat="0" applyProtection="0">
      <alignment horizontal="right" vertical="center"/>
    </xf>
    <xf numFmtId="351" fontId="48" fillId="30" borderId="128" applyNumberFormat="0" applyProtection="0">
      <alignment horizontal="left" vertical="top" indent="1"/>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1" fontId="48" fillId="13" borderId="123" applyNumberFormat="0" applyFont="0" applyAlignment="0" applyProtection="0"/>
    <xf numFmtId="4" fontId="254" fillId="33" borderId="123" applyNumberFormat="0" applyProtection="0">
      <alignment horizontal="right" vertical="center"/>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1" fontId="48" fillId="32"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250" fillId="50" borderId="123" applyNumberFormat="0" applyProtection="0">
      <alignment horizontal="right" vertical="center"/>
    </xf>
    <xf numFmtId="351"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1" fontId="48" fillId="19" borderId="128" applyNumberFormat="0" applyProtection="0">
      <alignment horizontal="left" vertical="top" indent="1"/>
    </xf>
    <xf numFmtId="351" fontId="252" fillId="19" borderId="128" applyNumberFormat="0" applyProtection="0">
      <alignment horizontal="left" vertical="top" indent="1"/>
    </xf>
    <xf numFmtId="351" fontId="48" fillId="30" borderId="128" applyNumberFormat="0" applyProtection="0">
      <alignment horizontal="left" vertical="top" indent="1"/>
    </xf>
    <xf numFmtId="351" fontId="4" fillId="32" borderId="128" applyNumberFormat="0" applyProtection="0">
      <alignment horizontal="left" vertical="center"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4" fontId="250" fillId="50" borderId="123" applyNumberFormat="0" applyProtection="0">
      <alignment horizontal="right" vertical="center"/>
    </xf>
    <xf numFmtId="351" fontId="4" fillId="30" borderId="128" applyNumberFormat="0" applyProtection="0">
      <alignment horizontal="left" vertical="top" indent="1"/>
    </xf>
    <xf numFmtId="351"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1" fontId="10" fillId="0" borderId="132" applyNumberFormat="0" applyFill="0" applyAlignment="0" applyProtection="0"/>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248" fillId="128" borderId="123" applyNumberForma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252" fillId="34" borderId="128" applyNumberFormat="0" applyProtection="0">
      <alignment horizontal="left" vertical="top" indent="1"/>
    </xf>
    <xf numFmtId="351" fontId="10" fillId="0" borderId="132" applyNumberFormat="0" applyFill="0" applyAlignment="0" applyProtection="0"/>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1"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1" fontId="4" fillId="31" borderId="128" applyNumberFormat="0" applyProtection="0">
      <alignment horizontal="left" vertical="center" indent="1"/>
    </xf>
    <xf numFmtId="351" fontId="4" fillId="19" borderId="128" applyNumberFormat="0" applyProtection="0">
      <alignment horizontal="left" vertical="top" indent="1"/>
    </xf>
    <xf numFmtId="351" fontId="48" fillId="13" borderId="123" applyNumberFormat="0" applyFont="0" applyAlignment="0" applyProtection="0"/>
    <xf numFmtId="210" fontId="59" fillId="0" borderId="32" applyFill="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1" fontId="48" fillId="30" borderId="128" applyNumberFormat="0" applyProtection="0">
      <alignment horizontal="left" vertical="top" indent="1"/>
    </xf>
    <xf numFmtId="351"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0" borderId="128" applyNumberFormat="0" applyProtection="0">
      <alignment horizontal="left" vertical="top" indent="1"/>
    </xf>
    <xf numFmtId="4" fontId="4" fillId="31" borderId="129" applyNumberFormat="0" applyProtection="0">
      <alignment horizontal="left" vertical="center" indent="1"/>
    </xf>
    <xf numFmtId="351" fontId="4" fillId="31" borderId="128" applyNumberFormat="0" applyProtection="0">
      <alignment horizontal="left" vertical="top" indent="1"/>
    </xf>
    <xf numFmtId="4" fontId="48" fillId="22" borderId="129" applyNumberFormat="0" applyProtection="0">
      <alignment horizontal="right" vertical="center"/>
    </xf>
    <xf numFmtId="351" fontId="48" fillId="61" borderId="123" applyNumberFormat="0" applyProtection="0">
      <alignment horizontal="left" vertical="center" indent="1"/>
    </xf>
    <xf numFmtId="4" fontId="48" fillId="45"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1" fontId="4"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1" fontId="48" fillId="31" borderId="128" applyNumberFormat="0" applyProtection="0">
      <alignment horizontal="left" vertical="top" indent="1"/>
    </xf>
    <xf numFmtId="351" fontId="48" fillId="32"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1" fontId="48" fillId="13" borderId="123" applyNumberFormat="0" applyFont="0" applyAlignment="0" applyProtection="0"/>
    <xf numFmtId="351" fontId="137" fillId="14" borderId="123" applyNumberFormat="0" applyAlignment="0" applyProtection="0"/>
    <xf numFmtId="351" fontId="251" fillId="18" borderId="128" applyNumberFormat="0" applyProtection="0">
      <alignment horizontal="left" vertical="top" indent="1"/>
    </xf>
    <xf numFmtId="351" fontId="48" fillId="13" borderId="123" applyNumberFormat="0" applyFont="0" applyAlignment="0" applyProtection="0"/>
    <xf numFmtId="351"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1" fontId="248" fillId="128" borderId="123" applyNumberFormat="0" applyAlignment="0" applyProtection="0"/>
    <xf numFmtId="4" fontId="250" fillId="50" borderId="123" applyNumberFormat="0" applyProtection="0">
      <alignment horizontal="right" vertical="center"/>
    </xf>
    <xf numFmtId="351" fontId="137" fillId="14" borderId="123" applyNumberFormat="0" applyAlignment="0" applyProtection="0"/>
    <xf numFmtId="164" fontId="7" fillId="0" borderId="0" applyFont="0" applyFill="0" applyBorder="0" applyAlignment="0" applyProtection="0"/>
    <xf numFmtId="351" fontId="248" fillId="128" borderId="123" applyNumberFormat="0" applyAlignment="0" applyProtection="0"/>
    <xf numFmtId="4" fontId="48" fillId="45" borderId="123" applyNumberFormat="0" applyProtection="0">
      <alignment horizontal="left" vertical="center" indent="1"/>
    </xf>
    <xf numFmtId="351"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22">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1"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0" fontId="0" fillId="0" borderId="0" xfId="0" applyNumberFormat="1"/>
    <xf numFmtId="349"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52" borderId="64" xfId="0" applyNumberFormat="1" applyFill="1" applyBorder="1" applyAlignment="1">
      <alignment horizontal="right" vertical="top"/>
    </xf>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164" fontId="0" fillId="0" borderId="0" xfId="0" applyNumberFormat="1" applyAlignment="1">
      <alignment horizontal="left" vertical="top"/>
    </xf>
    <xf numFmtId="352" fontId="0" fillId="0" borderId="0" xfId="0" applyNumberFormat="1" applyAlignment="1">
      <alignment horizontal="left" vertical="top"/>
    </xf>
    <xf numFmtId="353" fontId="0" fillId="0" borderId="0" xfId="0" applyNumberFormat="1" applyAlignment="1">
      <alignment horizontal="left" vertical="top"/>
    </xf>
    <xf numFmtId="14" fontId="5" fillId="3" borderId="135" xfId="2" applyNumberFormat="1" applyFont="1" applyFill="1" applyBorder="1"/>
    <xf numFmtId="172" fontId="5" fillId="3" borderId="135" xfId="2" applyNumberFormat="1" applyFont="1" applyFill="1" applyBorder="1"/>
    <xf numFmtId="9" fontId="0" fillId="0" borderId="105" xfId="0" applyNumberFormat="1" applyBorder="1" applyAlignment="1">
      <alignment horizontal="center"/>
    </xf>
    <xf numFmtId="350" fontId="24" fillId="0" borderId="0" xfId="0" applyNumberFormat="1" applyFont="1"/>
    <xf numFmtId="172" fontId="0" fillId="0" borderId="0" xfId="0" applyNumberFormat="1" applyAlignment="1">
      <alignment horizontal="left" vertical="top"/>
    </xf>
    <xf numFmtId="0" fontId="262" fillId="0" borderId="0" xfId="0" applyFont="1" applyAlignment="1">
      <alignment horizontal="left" vertical="top"/>
    </xf>
    <xf numFmtId="0" fontId="0" fillId="0" borderId="138" xfId="0" applyBorder="1"/>
    <xf numFmtId="0" fontId="0" fillId="0" borderId="21" xfId="0" applyBorder="1"/>
    <xf numFmtId="43" fontId="0" fillId="0" borderId="0" xfId="0" applyNumberFormat="1" applyAlignment="1">
      <alignment horizontal="left" vertical="top"/>
    </xf>
    <xf numFmtId="0" fontId="3" fillId="0" borderId="137" xfId="0" applyFont="1" applyBorder="1" applyAlignment="1" applyProtection="1">
      <alignment horizontal="center" vertical="center"/>
      <protection locked="0"/>
    </xf>
    <xf numFmtId="0" fontId="0" fillId="0" borderId="138" xfId="0" applyBorder="1" applyAlignment="1">
      <alignment horizontal="left" indent="1"/>
    </xf>
    <xf numFmtId="0" fontId="0" fillId="0" borderId="139" xfId="0" applyBorder="1"/>
    <xf numFmtId="0" fontId="3" fillId="0" borderId="140" xfId="0" applyFont="1" applyBorder="1" applyAlignment="1" applyProtection="1">
      <alignment horizontal="center" vertical="center"/>
      <protection locked="0"/>
    </xf>
    <xf numFmtId="172" fontId="0" fillId="0" borderId="0" xfId="1" applyNumberFormat="1" applyFont="1" applyBorder="1"/>
    <xf numFmtId="0" fontId="0" fillId="0" borderId="141" xfId="0" applyBorder="1"/>
    <xf numFmtId="0" fontId="0" fillId="0" borderId="140" xfId="0" applyBorder="1"/>
    <xf numFmtId="172" fontId="3" fillId="0" borderId="0" xfId="1" applyNumberFormat="1" applyFont="1" applyBorder="1"/>
    <xf numFmtId="0" fontId="3" fillId="0" borderId="0" xfId="0" applyFont="1" applyBorder="1"/>
    <xf numFmtId="0" fontId="0" fillId="0" borderId="142" xfId="0" applyBorder="1"/>
    <xf numFmtId="0" fontId="0" fillId="0" borderId="21" xfId="0" applyBorder="1" applyAlignment="1">
      <alignment horizontal="left" indent="1"/>
    </xf>
    <xf numFmtId="0" fontId="0" fillId="0" borderId="136" xfId="0" applyBorder="1"/>
    <xf numFmtId="172" fontId="24" fillId="0" borderId="138" xfId="1" applyNumberFormat="1" applyFont="1" applyBorder="1" applyAlignment="1" applyProtection="1">
      <alignment horizontal="center" vertical="center"/>
      <protection locked="0"/>
    </xf>
    <xf numFmtId="0" fontId="24" fillId="0" borderId="138" xfId="0" applyFont="1" applyBorder="1" applyAlignment="1" applyProtection="1">
      <alignment horizontal="left" vertical="center"/>
      <protection locked="0"/>
    </xf>
    <xf numFmtId="0" fontId="5" fillId="0" borderId="30" xfId="7" applyFont="1" applyBorder="1" applyAlignment="1">
      <alignment horizontal="left" indent="1"/>
    </xf>
    <xf numFmtId="175" fontId="5" fillId="36" borderId="30" xfId="75" applyNumberFormat="1" applyFont="1" applyFill="1" applyBorder="1" applyAlignment="1" applyProtection="1">
      <alignment vertical="center"/>
    </xf>
    <xf numFmtId="175" fontId="5" fillId="36" borderId="30" xfId="75" applyNumberFormat="1" applyFont="1" applyFill="1" applyBorder="1" applyProtection="1"/>
    <xf numFmtId="0" fontId="5" fillId="42" borderId="68" xfId="0" applyFont="1" applyFill="1" applyBorder="1" applyAlignment="1">
      <alignment horizontal="left" vertical="top" wrapText="1"/>
    </xf>
    <xf numFmtId="178" fontId="0" fillId="0" borderId="0" xfId="0" applyNumberFormat="1"/>
    <xf numFmtId="0" fontId="0" fillId="3" borderId="0" xfId="0" applyFont="1" applyFill="1" applyAlignment="1">
      <alignment horizontal="left" vertical="top" indent="1"/>
    </xf>
    <xf numFmtId="0" fontId="0" fillId="0" borderId="68" xfId="0" quotePrefix="1" applyFill="1" applyBorder="1" applyAlignment="1">
      <alignment horizontal="left" vertical="top" wrapText="1" indent="1"/>
    </xf>
    <xf numFmtId="0" fontId="0" fillId="3" borderId="0" xfId="0" applyFont="1" applyFill="1" applyAlignment="1">
      <alignment horizontal="left" vertical="top" indent="1"/>
    </xf>
    <xf numFmtId="0" fontId="0" fillId="42" borderId="68" xfId="0" applyFont="1" applyFill="1" applyBorder="1" applyAlignment="1">
      <alignment horizontal="left" vertical="top" wrapText="1"/>
    </xf>
    <xf numFmtId="0" fontId="0" fillId="0" borderId="68" xfId="0" applyFont="1" applyFill="1" applyBorder="1" applyAlignment="1">
      <alignment horizontal="left" vertical="top" wrapText="1"/>
    </xf>
    <xf numFmtId="0" fontId="0" fillId="42" borderId="104" xfId="0" quotePrefix="1" applyFill="1" applyBorder="1" applyAlignment="1">
      <alignment horizontal="left" vertical="top" wrapText="1" indent="1"/>
    </xf>
    <xf numFmtId="0" fontId="5" fillId="42" borderId="74" xfId="0" applyFont="1" applyFill="1" applyBorder="1" applyAlignment="1">
      <alignment horizontal="left" vertical="top" wrapText="1"/>
    </xf>
    <xf numFmtId="0" fontId="0" fillId="0" borderId="90" xfId="0" applyFont="1" applyFill="1" applyBorder="1" applyAlignment="1">
      <alignment horizontal="left" vertical="top" wrapText="1"/>
    </xf>
    <xf numFmtId="0" fontId="263" fillId="0" borderId="30" xfId="0" applyFont="1" applyBorder="1" applyAlignment="1">
      <alignment horizontal="justify" vertical="center"/>
    </xf>
    <xf numFmtId="0" fontId="0" fillId="3" borderId="0" xfId="0" applyFont="1" applyFill="1" applyAlignment="1">
      <alignment horizontal="left" vertical="top" indent="1"/>
    </xf>
    <xf numFmtId="172" fontId="0" fillId="3" borderId="79" xfId="0" applyNumberFormat="1" applyFill="1" applyBorder="1" applyAlignment="1">
      <alignment horizontal="right" vertical="top"/>
    </xf>
    <xf numFmtId="354" fontId="0" fillId="0" borderId="0" xfId="0" applyNumberFormat="1"/>
    <xf numFmtId="10" fontId="0" fillId="0" borderId="0" xfId="0" applyNumberFormat="1"/>
    <xf numFmtId="177" fontId="0" fillId="0" borderId="0" xfId="0" applyNumberFormat="1" applyFill="1"/>
    <xf numFmtId="354" fontId="0" fillId="0" borderId="0" xfId="0" applyNumberFormat="1" applyAlignment="1">
      <alignment horizontal="left" vertical="top"/>
    </xf>
    <xf numFmtId="350" fontId="0" fillId="0" borderId="0" xfId="0" applyNumberFormat="1" applyAlignment="1">
      <alignment horizontal="left" vertical="top"/>
    </xf>
    <xf numFmtId="330" fontId="0" fillId="0" borderId="0" xfId="0" applyNumberFormat="1" applyAlignment="1">
      <alignment horizontal="left" vertical="top"/>
    </xf>
    <xf numFmtId="2" fontId="0" fillId="0" borderId="0" xfId="0" applyNumberFormat="1" applyAlignment="1">
      <alignment horizontal="left" vertical="top"/>
    </xf>
    <xf numFmtId="0" fontId="5" fillId="3" borderId="30" xfId="2" applyNumberFormat="1" applyFont="1" applyFill="1" applyBorder="1" applyAlignment="1">
      <alignment horizontal="center" vertical="center"/>
    </xf>
    <xf numFmtId="173" fontId="5" fillId="38" borderId="76" xfId="1" applyNumberFormat="1" applyFont="1" applyFill="1" applyBorder="1" applyProtection="1"/>
    <xf numFmtId="173" fontId="6" fillId="38" borderId="78" xfId="1" applyNumberFormat="1" applyFont="1" applyFill="1" applyBorder="1" applyProtection="1"/>
    <xf numFmtId="0" fontId="0" fillId="0" borderId="68" xfId="0" applyFill="1" applyBorder="1" applyAlignment="1">
      <alignment horizontal="left" vertical="top" wrapText="1"/>
    </xf>
    <xf numFmtId="0" fontId="5" fillId="0" borderId="68" xfId="0" applyFont="1" applyFill="1" applyBorder="1" applyAlignment="1">
      <alignment horizontal="left" vertical="top" wrapText="1"/>
    </xf>
    <xf numFmtId="349" fontId="0" fillId="0" borderId="0" xfId="0" applyNumberFormat="1" applyAlignment="1">
      <alignment horizontal="left" vertical="top"/>
    </xf>
    <xf numFmtId="173" fontId="0" fillId="52" borderId="76" xfId="0" applyNumberFormat="1" applyFont="1" applyFill="1" applyBorder="1" applyAlignment="1">
      <alignment horizontal="right" vertical="center"/>
    </xf>
    <xf numFmtId="173" fontId="0" fillId="52" borderId="78" xfId="0" applyNumberFormat="1" applyFill="1" applyBorder="1" applyAlignment="1">
      <alignment horizontal="right" vertical="center"/>
    </xf>
    <xf numFmtId="349" fontId="0" fillId="3" borderId="64" xfId="0" applyNumberFormat="1" applyFill="1" applyBorder="1" applyAlignment="1">
      <alignment horizontal="right" vertical="top"/>
    </xf>
    <xf numFmtId="173" fontId="3" fillId="52" borderId="78" xfId="0" applyNumberFormat="1" applyFont="1" applyFill="1" applyBorder="1" applyAlignment="1">
      <alignment horizontal="right" vertical="top"/>
    </xf>
    <xf numFmtId="352" fontId="0" fillId="0" borderId="0" xfId="0" applyNumberFormat="1"/>
    <xf numFmtId="0" fontId="0" fillId="3" borderId="0" xfId="0" applyFont="1" applyFill="1" applyAlignment="1">
      <alignment horizontal="left" vertical="top" wrapText="1" indent="1"/>
    </xf>
    <xf numFmtId="173" fontId="6" fillId="38" borderId="76" xfId="1" applyNumberFormat="1" applyFont="1" applyFill="1" applyBorder="1" applyProtection="1"/>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0" fontId="0" fillId="3" borderId="112" xfId="0" applyFill="1" applyBorder="1" applyAlignment="1">
      <alignment horizontal="left" vertical="center" wrapText="1" indent="1"/>
    </xf>
    <xf numFmtId="0" fontId="0" fillId="3" borderId="107" xfId="0" applyFill="1" applyBorder="1" applyAlignment="1">
      <alignment horizontal="left" vertical="center" wrapText="1" indent="1"/>
    </xf>
    <xf numFmtId="3" fontId="0" fillId="0" borderId="10" xfId="0"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53" borderId="0" xfId="0" applyFill="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32"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89" xfId="0" applyFill="1" applyBorder="1" applyAlignment="1">
      <alignment horizontal="left" vertical="center" wrapText="1" inden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112">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Bartlam\Documents\WORKINGS\FINANCE%20BRIEF%20APRIL%2022\ED1%20-%20WPD%20SWEST%20submission%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R cover"/>
      <sheetName val="Data"/>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7.bin"/><Relationship Id="rId1" Type="http://schemas.openxmlformats.org/officeDocument/2006/relationships/hyperlink" Target="FINANCE%20BRIEF%20APRIL%2022/RE%20%20PSR%20investigation%20fine.ms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I11" sqref="I11"/>
      <selection pane="bottomLeft" activeCell="F21" sqref="F21"/>
    </sheetView>
  </sheetViews>
  <sheetFormatPr defaultRowHeight="12.75"/>
  <cols>
    <col min="1" max="1" width="8.375" customWidth="1"/>
    <col min="2" max="2" width="27.125" customWidth="1"/>
    <col min="3" max="6" width="14.125" customWidth="1"/>
    <col min="7" max="7" width="14.125" style="213" customWidth="1"/>
    <col min="8" max="11" width="14.125" customWidth="1"/>
  </cols>
  <sheetData>
    <row r="1" spans="1:11" s="31" customFormat="1" ht="20.25">
      <c r="A1" s="870" t="s">
        <v>303</v>
      </c>
      <c r="B1" s="871"/>
      <c r="C1" s="871"/>
      <c r="D1" s="872"/>
      <c r="E1" s="873"/>
      <c r="F1" s="871"/>
      <c r="G1" s="874"/>
      <c r="H1" s="871"/>
      <c r="I1" s="871"/>
      <c r="J1" s="871"/>
      <c r="K1" s="871"/>
    </row>
    <row r="2" spans="1:11" s="31" customFormat="1" ht="20.25">
      <c r="A2" s="870" t="str">
        <f>'RFPR cover'!C5</f>
        <v>NGED-SWALES</v>
      </c>
      <c r="B2" s="871"/>
      <c r="C2" s="871"/>
      <c r="D2" s="873"/>
      <c r="E2" s="873"/>
      <c r="F2" s="871"/>
      <c r="G2" s="874"/>
      <c r="H2" s="871"/>
      <c r="I2" s="871"/>
      <c r="J2" s="871"/>
      <c r="K2" s="871"/>
    </row>
    <row r="3" spans="1:11" s="31" customFormat="1" ht="20.25">
      <c r="A3" s="870">
        <f>'RFPR cover'!C7</f>
        <v>2023</v>
      </c>
      <c r="B3" s="871"/>
      <c r="C3" s="871"/>
      <c r="D3" s="873"/>
      <c r="E3" s="873"/>
      <c r="F3" s="871"/>
      <c r="G3" s="874"/>
      <c r="H3" s="871"/>
      <c r="I3" s="871"/>
      <c r="J3" s="871"/>
      <c r="K3" s="871"/>
    </row>
    <row r="4" spans="1:11" ht="14.25">
      <c r="A4" s="30"/>
      <c r="B4" s="30"/>
      <c r="C4" s="30"/>
      <c r="D4" s="30"/>
      <c r="E4" s="30"/>
      <c r="H4" s="10"/>
      <c r="I4" s="10"/>
      <c r="J4" s="10"/>
    </row>
    <row r="5" spans="1:11" ht="13.5" customHeight="1">
      <c r="A5" s="30"/>
      <c r="B5" s="78" t="s">
        <v>62</v>
      </c>
      <c r="C5" s="45" t="s">
        <v>659</v>
      </c>
      <c r="D5" s="339"/>
      <c r="E5" s="19"/>
      <c r="F5" s="11"/>
      <c r="G5" s="546" t="s">
        <v>0</v>
      </c>
      <c r="H5" s="10"/>
      <c r="I5" s="10"/>
      <c r="J5" s="10"/>
    </row>
    <row r="6" spans="1:11" ht="13.5" customHeight="1">
      <c r="A6" s="30"/>
      <c r="B6" s="78" t="s">
        <v>189</v>
      </c>
      <c r="C6" s="83" t="str">
        <f>INDEX(Data!$A$73:$A$100,MATCH($C$5,Data!$B$73:$B$100,0),0)&amp;"1"</f>
        <v>ED1</v>
      </c>
      <c r="D6" s="19"/>
      <c r="E6" s="19"/>
      <c r="F6" s="9"/>
      <c r="G6" s="546" t="s">
        <v>1</v>
      </c>
      <c r="H6" s="10"/>
      <c r="I6" s="10"/>
      <c r="J6" s="10"/>
    </row>
    <row r="7" spans="1:11" ht="25.5">
      <c r="A7" s="30"/>
      <c r="B7" s="79" t="s">
        <v>188</v>
      </c>
      <c r="C7" s="84">
        <v>2023</v>
      </c>
      <c r="D7" s="18"/>
      <c r="E7" s="19"/>
      <c r="F7" s="8"/>
      <c r="G7" s="547" t="s">
        <v>2</v>
      </c>
      <c r="H7" s="10"/>
      <c r="I7" s="10"/>
      <c r="J7" s="10"/>
    </row>
    <row r="8" spans="1:11" ht="14.25">
      <c r="A8" s="30"/>
      <c r="B8" s="78" t="s">
        <v>37</v>
      </c>
      <c r="C8" s="85">
        <v>1</v>
      </c>
      <c r="D8" s="19"/>
      <c r="E8" s="18"/>
      <c r="F8" s="7"/>
      <c r="G8" s="546" t="s">
        <v>3</v>
      </c>
      <c r="H8" s="10"/>
      <c r="I8" s="10"/>
      <c r="J8" s="10"/>
    </row>
    <row r="9" spans="1:11" ht="14.25">
      <c r="A9" s="30"/>
      <c r="B9" s="939" t="s">
        <v>38</v>
      </c>
      <c r="C9" s="940">
        <v>45138</v>
      </c>
      <c r="D9" s="18"/>
      <c r="E9" s="18"/>
      <c r="F9" s="6"/>
      <c r="G9" s="546" t="s">
        <v>4</v>
      </c>
      <c r="H9" s="10"/>
      <c r="I9" s="10"/>
      <c r="J9" s="10"/>
    </row>
    <row r="10" spans="1:11" ht="14.25">
      <c r="A10" s="30"/>
      <c r="B10" s="78" t="s">
        <v>70</v>
      </c>
      <c r="C10" s="86">
        <f>SUMIF(Data!$B$72:$B$100,C5,Data!$C$72:$C$100)</f>
        <v>6.4000000000000001E-2</v>
      </c>
      <c r="D10" s="18"/>
      <c r="E10" s="18"/>
      <c r="F10" s="5"/>
      <c r="G10" s="546" t="s">
        <v>5</v>
      </c>
      <c r="H10" s="10"/>
      <c r="I10" s="10"/>
      <c r="J10" s="10"/>
    </row>
    <row r="11" spans="1:11" ht="14.25">
      <c r="A11" s="30"/>
      <c r="B11" s="78" t="s">
        <v>71</v>
      </c>
      <c r="C11" s="87">
        <f>SUMIF(Data!$B$72:$B$100,C5,Data!$D$72:$D$100)</f>
        <v>0.7</v>
      </c>
      <c r="D11" s="19"/>
      <c r="E11" s="19"/>
      <c r="F11" s="4"/>
      <c r="G11" s="546" t="s">
        <v>6</v>
      </c>
      <c r="H11" s="10"/>
      <c r="I11" s="10"/>
      <c r="J11" s="10"/>
    </row>
    <row r="12" spans="1:11">
      <c r="A12" s="30"/>
      <c r="B12" s="78" t="s">
        <v>115</v>
      </c>
      <c r="C12" s="86">
        <f>SUMIF(Data!$B$72:$B$100,C5,Data!$E$72:$E$100)</f>
        <v>0.65</v>
      </c>
      <c r="D12" s="18"/>
      <c r="E12" s="18"/>
      <c r="F12" s="18"/>
      <c r="G12" s="548"/>
    </row>
    <row r="13" spans="1:11">
      <c r="A13" s="30"/>
      <c r="B13" s="78" t="s">
        <v>502</v>
      </c>
      <c r="C13" s="83">
        <f>INDEX(Data!$G$73:$G$100,MATCH($C$5,Data!$B$73:$B$100,0),0)</f>
        <v>2016</v>
      </c>
      <c r="D13" s="18"/>
      <c r="E13" s="18"/>
      <c r="F13" s="77" t="s">
        <v>191</v>
      </c>
    </row>
    <row r="14" spans="1:11">
      <c r="A14" s="30"/>
      <c r="B14" s="80" t="s">
        <v>185</v>
      </c>
      <c r="C14" s="83" t="str">
        <f>INDEX(Data!$H$73:$H$100,MATCH($C$5,Data!$B$73:$B$100,0),0)</f>
        <v>£m 12/13</v>
      </c>
      <c r="D14" s="18"/>
      <c r="E14" s="18"/>
      <c r="F14" s="89">
        <v>0.1</v>
      </c>
      <c r="G14" s="548"/>
    </row>
    <row r="15" spans="1:11">
      <c r="A15" s="30"/>
      <c r="B15" s="18"/>
      <c r="C15" s="18"/>
      <c r="D15" s="18"/>
      <c r="E15" s="18"/>
      <c r="F15" s="18"/>
      <c r="G15" s="548"/>
    </row>
    <row r="85" spans="1:1">
      <c r="A85" s="204"/>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M28"/>
  <sheetViews>
    <sheetView showGridLines="0" zoomScale="60" zoomScaleNormal="60" workbookViewId="0">
      <pane ySplit="6" topLeftCell="A7" activePane="bottomLeft" state="frozen"/>
      <selection activeCell="I11" sqref="I11"/>
      <selection pane="bottomLeft" activeCell="K23" sqref="K23"/>
    </sheetView>
  </sheetViews>
  <sheetFormatPr defaultRowHeight="12.75"/>
  <cols>
    <col min="1" max="1" width="8.375" customWidth="1"/>
    <col min="2" max="2" width="79.625" customWidth="1"/>
    <col min="3" max="3" width="14.125" style="136" customWidth="1"/>
    <col min="4" max="11" width="11.125" customWidth="1"/>
    <col min="12" max="12" width="5" customWidth="1"/>
  </cols>
  <sheetData>
    <row r="1" spans="1:13" s="31" customFormat="1" ht="20.25">
      <c r="A1" s="889" t="s">
        <v>100</v>
      </c>
      <c r="B1" s="885"/>
      <c r="C1" s="278"/>
      <c r="D1" s="256"/>
      <c r="E1" s="256"/>
      <c r="F1" s="256"/>
      <c r="G1" s="256"/>
      <c r="H1" s="256"/>
      <c r="I1" s="257"/>
      <c r="J1" s="257"/>
      <c r="K1" s="258"/>
      <c r="L1" s="259"/>
    </row>
    <row r="2" spans="1:13" s="31" customFormat="1" ht="20.25">
      <c r="A2" s="878" t="str">
        <f>'RFPR cover'!C5</f>
        <v>NGED-SWALES</v>
      </c>
      <c r="B2" s="870"/>
      <c r="C2" s="134"/>
      <c r="D2" s="29"/>
      <c r="E2" s="29"/>
      <c r="F2" s="29"/>
      <c r="G2" s="29"/>
      <c r="H2" s="29"/>
      <c r="I2" s="27"/>
      <c r="J2" s="27"/>
      <c r="K2" s="27"/>
      <c r="L2" s="123"/>
    </row>
    <row r="3" spans="1:13" s="37" customFormat="1" ht="23.25">
      <c r="A3" s="881">
        <f>'RFPR cover'!C7</f>
        <v>2023</v>
      </c>
      <c r="B3" s="887" t="str">
        <f>'R1 - RoRE'!B3</f>
        <v/>
      </c>
      <c r="C3" s="280"/>
      <c r="D3" s="279"/>
      <c r="E3" s="279"/>
      <c r="F3" s="279"/>
      <c r="G3" s="279"/>
      <c r="H3" s="279"/>
      <c r="I3" s="255"/>
      <c r="J3" s="255"/>
      <c r="K3" s="255"/>
      <c r="L3" s="261"/>
    </row>
    <row r="4" spans="1:13" s="2" customFormat="1" ht="12.75" customHeight="1">
      <c r="C4" s="136"/>
    </row>
    <row r="5" spans="1:13" s="2" customForma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13"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row>
    <row r="7" spans="1:13" s="2" customFormat="1">
      <c r="C7" s="136"/>
    </row>
    <row r="8" spans="1:13" s="2" customFormat="1">
      <c r="B8" s="51" t="s">
        <v>134</v>
      </c>
      <c r="C8" s="137"/>
      <c r="D8" s="57"/>
      <c r="E8" s="57"/>
      <c r="F8" s="57"/>
      <c r="G8" s="57"/>
      <c r="H8" s="57"/>
      <c r="I8" s="57"/>
      <c r="J8" s="57"/>
      <c r="K8" s="57"/>
    </row>
    <row r="9" spans="1:13" s="2" customFormat="1">
      <c r="B9" s="225" t="s">
        <v>509</v>
      </c>
      <c r="C9" s="152" t="s">
        <v>128</v>
      </c>
      <c r="D9" s="592">
        <v>0.24104860999999994</v>
      </c>
      <c r="E9" s="592">
        <v>0.84581513000000019</v>
      </c>
      <c r="F9" s="592">
        <v>1.1605999999999999</v>
      </c>
      <c r="G9" s="592">
        <v>0.7145999999999999</v>
      </c>
      <c r="H9" s="592">
        <v>1.084579</v>
      </c>
      <c r="I9" s="592">
        <v>0.85350000000000004</v>
      </c>
      <c r="J9" s="592">
        <v>1.001382</v>
      </c>
      <c r="K9" s="593">
        <v>0.72310000000000008</v>
      </c>
    </row>
    <row r="10" spans="1:13" s="2" customFormat="1">
      <c r="B10" s="225" t="s">
        <v>490</v>
      </c>
      <c r="C10" s="152" t="s">
        <v>128</v>
      </c>
      <c r="D10" s="592">
        <v>0</v>
      </c>
      <c r="E10" s="592">
        <v>0</v>
      </c>
      <c r="F10" s="592">
        <v>0</v>
      </c>
      <c r="G10" s="592">
        <v>0</v>
      </c>
      <c r="H10" s="592">
        <v>0</v>
      </c>
      <c r="I10" s="592">
        <v>0</v>
      </c>
      <c r="J10" s="592">
        <v>0</v>
      </c>
      <c r="K10" s="593">
        <v>0</v>
      </c>
    </row>
    <row r="11" spans="1:13" s="2" customFormat="1">
      <c r="B11" s="225" t="s">
        <v>508</v>
      </c>
      <c r="C11" s="152" t="s">
        <v>128</v>
      </c>
      <c r="D11" s="592">
        <v>2.4104860999999995E-2</v>
      </c>
      <c r="E11" s="592">
        <v>8.4581513000000025E-2</v>
      </c>
      <c r="F11" s="592">
        <v>0.10855999999999999</v>
      </c>
      <c r="G11" s="592">
        <v>7.1459999999999996E-2</v>
      </c>
      <c r="H11" s="592">
        <v>0.1084579</v>
      </c>
      <c r="I11" s="592">
        <v>8.5350000000000009E-2</v>
      </c>
      <c r="J11" s="592">
        <v>0.10013820000000001</v>
      </c>
      <c r="K11" s="818">
        <f t="shared" ref="K11" si="1">+K9*0.1</f>
        <v>7.2310000000000013E-2</v>
      </c>
    </row>
    <row r="12" spans="1:13" s="12" customFormat="1">
      <c r="B12" s="51" t="s">
        <v>132</v>
      </c>
      <c r="C12" s="152" t="s">
        <v>128</v>
      </c>
      <c r="D12" s="607">
        <f>D9-D10-D11</f>
        <v>0.21694374899999994</v>
      </c>
      <c r="E12" s="608">
        <f t="shared" ref="E12:K12" si="2">E9-E10-E11</f>
        <v>0.76123361700000014</v>
      </c>
      <c r="F12" s="608">
        <f t="shared" si="2"/>
        <v>1.0520399999999999</v>
      </c>
      <c r="G12" s="608">
        <f t="shared" si="2"/>
        <v>0.64313999999999993</v>
      </c>
      <c r="H12" s="608">
        <f t="shared" si="2"/>
        <v>0.97612109999999996</v>
      </c>
      <c r="I12" s="608">
        <f t="shared" si="2"/>
        <v>0.76815</v>
      </c>
      <c r="J12" s="608">
        <f t="shared" si="2"/>
        <v>0.90124380000000004</v>
      </c>
      <c r="K12" s="608">
        <f t="shared" si="2"/>
        <v>0.65079000000000009</v>
      </c>
      <c r="L12" s="2"/>
      <c r="M12" s="2"/>
    </row>
    <row r="13" spans="1:13" s="12" customFormat="1">
      <c r="B13" s="51"/>
      <c r="C13" s="136"/>
      <c r="D13" s="52"/>
      <c r="E13" s="52"/>
      <c r="F13" s="52"/>
      <c r="G13" s="52"/>
      <c r="H13" s="52"/>
      <c r="I13" s="52"/>
      <c r="J13" s="52"/>
      <c r="K13" s="52"/>
      <c r="L13" s="2"/>
      <c r="M13" s="2"/>
    </row>
    <row r="14" spans="1:13" s="2" customFormat="1">
      <c r="B14" s="51" t="s">
        <v>156</v>
      </c>
      <c r="C14" s="137"/>
      <c r="D14" s="57"/>
      <c r="E14" s="57"/>
      <c r="F14" s="57"/>
      <c r="G14" s="57"/>
      <c r="H14" s="57"/>
      <c r="I14" s="57"/>
      <c r="J14" s="57"/>
      <c r="K14" s="57"/>
    </row>
    <row r="15" spans="1:13" s="2" customFormat="1" ht="13.15" customHeight="1">
      <c r="B15" s="225" t="s">
        <v>511</v>
      </c>
      <c r="C15" s="152" t="s">
        <v>128</v>
      </c>
      <c r="D15" s="592">
        <v>0.77248340000000004</v>
      </c>
      <c r="E15" s="592">
        <v>4.1034769999999998E-2</v>
      </c>
      <c r="F15" s="592">
        <v>0.11890733000000001</v>
      </c>
      <c r="G15" s="592">
        <v>0.32313185999999999</v>
      </c>
      <c r="H15" s="592">
        <v>4.4316729999999999E-2</v>
      </c>
      <c r="I15" s="592">
        <v>-0.11959524000000001</v>
      </c>
      <c r="J15" s="592">
        <v>2.648787E-2</v>
      </c>
      <c r="K15" s="593">
        <v>-0.12446910999999999</v>
      </c>
    </row>
    <row r="16" spans="1:13" s="2" customFormat="1">
      <c r="B16" s="225" t="s">
        <v>510</v>
      </c>
      <c r="C16" s="152" t="s">
        <v>128</v>
      </c>
      <c r="D16" s="592">
        <v>0</v>
      </c>
      <c r="E16" s="592">
        <v>0</v>
      </c>
      <c r="F16" s="592">
        <v>0</v>
      </c>
      <c r="G16" s="592">
        <v>0</v>
      </c>
      <c r="H16" s="592">
        <v>0</v>
      </c>
      <c r="I16" s="592">
        <v>0</v>
      </c>
      <c r="J16" s="592">
        <v>0</v>
      </c>
      <c r="K16" s="593">
        <v>0</v>
      </c>
    </row>
    <row r="17" spans="2:13" s="12" customFormat="1">
      <c r="B17" s="51" t="s">
        <v>133</v>
      </c>
      <c r="C17" s="152" t="s">
        <v>128</v>
      </c>
      <c r="D17" s="607">
        <f>D15-D16</f>
        <v>0.77248340000000004</v>
      </c>
      <c r="E17" s="607">
        <f t="shared" ref="E17:K17" si="3">E15-E16</f>
        <v>4.1034769999999998E-2</v>
      </c>
      <c r="F17" s="607">
        <f t="shared" si="3"/>
        <v>0.11890733000000001</v>
      </c>
      <c r="G17" s="607">
        <f t="shared" si="3"/>
        <v>0.32313185999999999</v>
      </c>
      <c r="H17" s="607">
        <f t="shared" si="3"/>
        <v>4.4316729999999999E-2</v>
      </c>
      <c r="I17" s="607">
        <f t="shared" si="3"/>
        <v>-0.11959524000000001</v>
      </c>
      <c r="J17" s="607">
        <f t="shared" si="3"/>
        <v>2.648787E-2</v>
      </c>
      <c r="K17" s="607">
        <f t="shared" si="3"/>
        <v>-0.12446910999999999</v>
      </c>
      <c r="L17" s="2"/>
      <c r="M17" s="2"/>
    </row>
    <row r="18" spans="2:13" s="12" customFormat="1">
      <c r="B18" s="51"/>
      <c r="C18" s="136"/>
      <c r="D18" s="52"/>
      <c r="E18" s="52"/>
      <c r="F18" s="52"/>
      <c r="G18" s="52"/>
      <c r="H18" s="52"/>
      <c r="I18" s="52"/>
      <c r="J18" s="52"/>
      <c r="K18" s="52"/>
      <c r="L18" s="2"/>
      <c r="M18" s="2"/>
    </row>
    <row r="19" spans="2:13" s="2" customFormat="1">
      <c r="B19" s="51" t="s">
        <v>157</v>
      </c>
      <c r="C19" s="137"/>
      <c r="D19" s="57"/>
      <c r="E19" s="57"/>
      <c r="F19" s="57"/>
      <c r="G19" s="57"/>
      <c r="H19" s="57"/>
      <c r="I19" s="57"/>
      <c r="J19" s="57"/>
      <c r="K19" s="57"/>
    </row>
    <row r="20" spans="2:13" s="2" customFormat="1">
      <c r="B20" s="225" t="s">
        <v>439</v>
      </c>
      <c r="C20" s="152" t="s">
        <v>128</v>
      </c>
      <c r="D20" s="592">
        <v>0</v>
      </c>
      <c r="E20" s="592">
        <v>0</v>
      </c>
      <c r="F20" s="592">
        <v>0</v>
      </c>
      <c r="G20" s="592">
        <v>0</v>
      </c>
      <c r="H20" s="592">
        <v>0</v>
      </c>
      <c r="I20" s="592">
        <v>0</v>
      </c>
      <c r="J20" s="592">
        <v>0</v>
      </c>
      <c r="K20" s="593">
        <v>0</v>
      </c>
    </row>
    <row r="21" spans="2:13" s="2" customFormat="1">
      <c r="B21" s="225" t="s">
        <v>508</v>
      </c>
      <c r="C21" s="152" t="s">
        <v>128</v>
      </c>
      <c r="D21" s="592">
        <v>0</v>
      </c>
      <c r="E21" s="592">
        <v>0</v>
      </c>
      <c r="F21" s="592">
        <v>0</v>
      </c>
      <c r="G21" s="592">
        <v>0</v>
      </c>
      <c r="H21" s="592">
        <v>0</v>
      </c>
      <c r="I21" s="592">
        <v>0</v>
      </c>
      <c r="J21" s="592">
        <v>0</v>
      </c>
      <c r="K21" s="617">
        <v>0</v>
      </c>
    </row>
    <row r="22" spans="2:13" s="2" customFormat="1">
      <c r="B22" s="35"/>
      <c r="C22" s="138"/>
      <c r="D22" s="35"/>
      <c r="E22" s="35"/>
      <c r="F22" s="35"/>
      <c r="G22" s="35"/>
      <c r="H22" s="35"/>
      <c r="I22" s="35"/>
      <c r="J22" s="35"/>
      <c r="K22" s="35"/>
    </row>
    <row r="23" spans="2:13" s="2" customFormat="1">
      <c r="B23" s="225" t="s">
        <v>493</v>
      </c>
      <c r="C23" s="152" t="s">
        <v>128</v>
      </c>
      <c r="D23" s="592">
        <v>0.78400000000000003</v>
      </c>
      <c r="E23" s="592">
        <v>0</v>
      </c>
      <c r="F23" s="592">
        <v>0.4375</v>
      </c>
      <c r="G23" s="592">
        <v>0</v>
      </c>
      <c r="H23" s="592">
        <v>0</v>
      </c>
      <c r="I23" s="592">
        <v>0</v>
      </c>
      <c r="J23" s="592">
        <v>0</v>
      </c>
      <c r="K23" s="617">
        <v>0</v>
      </c>
    </row>
    <row r="24" spans="2:13" s="2" customFormat="1">
      <c r="B24" s="35"/>
      <c r="C24" s="138"/>
      <c r="D24" s="35"/>
      <c r="E24" s="35"/>
      <c r="F24" s="35"/>
      <c r="G24" s="35"/>
      <c r="H24" s="35"/>
      <c r="I24" s="35"/>
      <c r="J24" s="35"/>
      <c r="K24" s="35"/>
    </row>
    <row r="25" spans="2:13" s="2" customFormat="1">
      <c r="B25" s="81"/>
      <c r="C25" s="150"/>
      <c r="D25" s="81"/>
      <c r="E25" s="81"/>
      <c r="F25" s="81"/>
      <c r="G25" s="81"/>
      <c r="H25" s="81"/>
      <c r="I25" s="81"/>
      <c r="J25" s="81"/>
      <c r="K25" s="81"/>
      <c r="L25" s="81"/>
    </row>
    <row r="26" spans="2:13" s="2" customFormat="1">
      <c r="B26" s="35"/>
      <c r="C26" s="138"/>
      <c r="D26" s="35"/>
      <c r="E26" s="35"/>
      <c r="F26" s="35"/>
      <c r="G26" s="35"/>
      <c r="H26" s="35"/>
      <c r="I26" s="35"/>
      <c r="J26" s="35"/>
      <c r="K26" s="35"/>
    </row>
    <row r="27" spans="2:13" s="2" customFormat="1">
      <c r="B27" s="51" t="s">
        <v>385</v>
      </c>
      <c r="C27" s="138"/>
      <c r="D27" s="35"/>
      <c r="E27" s="35"/>
      <c r="F27" s="35"/>
      <c r="G27" s="35"/>
      <c r="H27" s="35"/>
      <c r="I27" s="35"/>
      <c r="J27" s="35"/>
      <c r="K27" s="35"/>
    </row>
    <row r="28" spans="2:13" s="2" customFormat="1">
      <c r="B28" s="225" t="s">
        <v>491</v>
      </c>
      <c r="C28" s="155" t="str">
        <f>'RFPR cover'!$C$14</f>
        <v>£m 12/13</v>
      </c>
      <c r="D28" s="661">
        <f>(SUM(D10,D11,D21)-D23)/Data!C34</f>
        <v>-0.71666805354301499</v>
      </c>
      <c r="E28" s="661">
        <f>(SUM(E10,E11,E21)-E23)/Data!D34</f>
        <v>7.8096628174718491E-2</v>
      </c>
      <c r="F28" s="661">
        <f>(SUM(F10,F11,F21)-F23)/Data!E34</f>
        <v>-0.292764832234784</v>
      </c>
      <c r="G28" s="661">
        <f>(SUM(G10,G11,G21)-G23)/Data!F34</f>
        <v>6.1715431615062051E-2</v>
      </c>
      <c r="H28" s="661">
        <f>(SUM(H10,H11,H21)-H23)/Data!G34</f>
        <v>9.130454883499288E-2</v>
      </c>
      <c r="I28" s="661">
        <f>(SUM(I10,I11,I21)-I23)/Data!H34</f>
        <v>7.0990326073284912E-2</v>
      </c>
      <c r="J28" s="661">
        <f>(SUM(J10,J11,J21)-J23)/Data!I34</f>
        <v>7.8742356246665687E-2</v>
      </c>
      <c r="K28" s="661">
        <f>(SUM(K10,K11,K21)-K23)/Data!J34</f>
        <v>5.0374694989137776E-2</v>
      </c>
      <c r="L28" s="35"/>
    </row>
  </sheetData>
  <conditionalFormatting sqref="D6:K6">
    <cfRule type="expression" dxfId="64" priority="24">
      <formula>AND(D$5="Actuals",E$5="Forecast")</formula>
    </cfRule>
  </conditionalFormatting>
  <conditionalFormatting sqref="D5:K5">
    <cfRule type="expression" dxfId="63"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X91"/>
  <sheetViews>
    <sheetView showGridLines="0" zoomScale="70" zoomScaleNormal="70" workbookViewId="0">
      <pane ySplit="6" topLeftCell="A7" activePane="bottomLeft" state="frozen"/>
      <selection activeCell="I11" sqref="I11"/>
      <selection pane="bottomLeft" activeCell="F17" sqref="F17"/>
    </sheetView>
  </sheetViews>
  <sheetFormatPr defaultRowHeight="12.75"/>
  <cols>
    <col min="1" max="1" width="8.375" customWidth="1"/>
    <col min="2" max="2" width="101.75" customWidth="1"/>
    <col min="3" max="3" width="14.125" customWidth="1"/>
    <col min="4" max="11" width="11.125" customWidth="1"/>
    <col min="12" max="13" width="12.875" customWidth="1"/>
    <col min="14" max="14" width="5" customWidth="1"/>
  </cols>
  <sheetData>
    <row r="1" spans="1:14" s="31" customFormat="1" ht="20.25">
      <c r="A1" s="889" t="s">
        <v>261</v>
      </c>
      <c r="B1" s="885"/>
      <c r="C1" s="256"/>
      <c r="D1" s="256"/>
      <c r="E1" s="256"/>
      <c r="F1" s="256"/>
      <c r="G1" s="256"/>
      <c r="H1" s="256"/>
      <c r="I1" s="257"/>
      <c r="J1" s="257"/>
      <c r="K1" s="258"/>
      <c r="L1" s="258"/>
      <c r="M1" s="258"/>
      <c r="N1" s="259"/>
    </row>
    <row r="2" spans="1:14" s="31" customFormat="1" ht="20.25">
      <c r="A2" s="878" t="s">
        <v>659</v>
      </c>
      <c r="B2" s="870"/>
      <c r="C2" s="29"/>
      <c r="D2" s="29"/>
      <c r="E2" s="29"/>
      <c r="F2" s="29"/>
      <c r="G2" s="29"/>
      <c r="H2" s="29"/>
      <c r="I2" s="27"/>
      <c r="J2" s="27"/>
      <c r="K2" s="27"/>
      <c r="L2" s="27"/>
      <c r="M2" s="27"/>
      <c r="N2" s="123"/>
    </row>
    <row r="3" spans="1:14" s="31" customFormat="1" ht="23.25">
      <c r="A3" s="881">
        <v>2023</v>
      </c>
      <c r="B3" s="887" t="s">
        <v>673</v>
      </c>
      <c r="C3" s="260"/>
      <c r="D3" s="260"/>
      <c r="E3" s="260"/>
      <c r="F3" s="260"/>
      <c r="G3" s="260"/>
      <c r="H3" s="260"/>
      <c r="I3" s="255"/>
      <c r="J3" s="255"/>
      <c r="K3" s="255"/>
      <c r="L3" s="255"/>
      <c r="M3" s="255"/>
      <c r="N3" s="261"/>
    </row>
    <row r="4" spans="1:14" s="31" customFormat="1" ht="12.75" customHeight="1">
      <c r="A4" s="39"/>
      <c r="B4" s="39"/>
      <c r="C4" s="39"/>
      <c r="D4" s="39"/>
      <c r="E4" s="39"/>
      <c r="F4" s="39"/>
      <c r="G4" s="39"/>
      <c r="H4" s="39"/>
      <c r="I4" s="34"/>
      <c r="J4" s="34"/>
      <c r="K4" s="34"/>
      <c r="L4" s="33"/>
    </row>
    <row r="5" spans="1:14" s="2" customFormat="1">
      <c r="B5" s="3"/>
      <c r="C5" s="3"/>
      <c r="D5" s="389" t="s">
        <v>674</v>
      </c>
      <c r="E5" s="390" t="s">
        <v>674</v>
      </c>
      <c r="F5" s="390" t="s">
        <v>674</v>
      </c>
      <c r="G5" s="390" t="s">
        <v>674</v>
      </c>
      <c r="H5" s="390" t="s">
        <v>674</v>
      </c>
      <c r="I5" s="390" t="s">
        <v>674</v>
      </c>
      <c r="J5" s="390" t="s">
        <v>674</v>
      </c>
      <c r="K5" s="391" t="s">
        <v>674</v>
      </c>
    </row>
    <row r="6" spans="1:14" s="2" customFormat="1" ht="25.5">
      <c r="D6" s="117">
        <v>2016</v>
      </c>
      <c r="E6" s="118">
        <v>2017</v>
      </c>
      <c r="F6" s="118">
        <v>2018</v>
      </c>
      <c r="G6" s="118">
        <v>2019</v>
      </c>
      <c r="H6" s="118">
        <v>2020</v>
      </c>
      <c r="I6" s="118">
        <v>2021</v>
      </c>
      <c r="J6" s="118">
        <v>2022</v>
      </c>
      <c r="K6" s="195">
        <v>2023</v>
      </c>
      <c r="L6" s="101" t="s">
        <v>675</v>
      </c>
      <c r="M6" s="281" t="s">
        <v>109</v>
      </c>
    </row>
    <row r="7" spans="1:14" s="2" customFormat="1"/>
    <row r="8" spans="1:14">
      <c r="B8" s="479" t="s">
        <v>300</v>
      </c>
      <c r="C8" s="152" t="s">
        <v>128</v>
      </c>
      <c r="D8" s="348">
        <v>40.399945660000029</v>
      </c>
      <c r="E8" s="385">
        <v>37.929775999999997</v>
      </c>
      <c r="F8" s="385">
        <v>38.74622334</v>
      </c>
      <c r="G8" s="385">
        <v>37.508987189999999</v>
      </c>
      <c r="H8" s="385">
        <v>38.187059110000007</v>
      </c>
      <c r="I8" s="385">
        <v>32.785561550000004</v>
      </c>
      <c r="J8" s="385">
        <v>32.618112719999999</v>
      </c>
      <c r="K8" s="386">
        <v>33.645715440000004</v>
      </c>
      <c r="L8" s="35"/>
      <c r="M8" s="35"/>
    </row>
    <row r="9" spans="1:14">
      <c r="B9" s="14"/>
      <c r="C9" s="152"/>
      <c r="D9" s="229"/>
      <c r="E9" s="229"/>
      <c r="F9" s="229"/>
      <c r="G9" s="229"/>
      <c r="H9" s="229"/>
      <c r="I9" s="229"/>
      <c r="J9" s="229"/>
      <c r="K9" s="229"/>
      <c r="L9" s="35"/>
      <c r="M9" s="35"/>
    </row>
    <row r="10" spans="1:14">
      <c r="B10" s="14" t="s">
        <v>469</v>
      </c>
      <c r="C10" s="16"/>
      <c r="D10" s="230"/>
      <c r="E10" s="230"/>
      <c r="F10" s="230"/>
      <c r="G10" s="230"/>
      <c r="H10" s="230"/>
      <c r="I10" s="230"/>
      <c r="J10" s="230"/>
      <c r="K10" s="230"/>
      <c r="L10" s="35"/>
      <c r="M10" s="35"/>
    </row>
    <row r="11" spans="1:14">
      <c r="B11" s="369" t="s">
        <v>12</v>
      </c>
      <c r="C11" s="152" t="s">
        <v>128</v>
      </c>
      <c r="D11" s="377">
        <v>0</v>
      </c>
      <c r="E11" s="378">
        <v>0</v>
      </c>
      <c r="F11" s="378">
        <v>0</v>
      </c>
      <c r="G11" s="378">
        <v>0</v>
      </c>
      <c r="H11" s="378">
        <v>0</v>
      </c>
      <c r="I11" s="378">
        <v>0</v>
      </c>
      <c r="J11" s="378">
        <v>0</v>
      </c>
      <c r="K11" s="382">
        <v>0</v>
      </c>
      <c r="L11" s="35"/>
      <c r="M11" s="35"/>
    </row>
    <row r="12" spans="1:14">
      <c r="B12" s="369" t="s">
        <v>13</v>
      </c>
      <c r="C12" s="152" t="s">
        <v>128</v>
      </c>
      <c r="D12" s="347">
        <v>0.65096399999999999</v>
      </c>
      <c r="E12" s="379">
        <v>0.65096399999999999</v>
      </c>
      <c r="F12" s="379">
        <v>0.65100000000000002</v>
      </c>
      <c r="G12" s="379">
        <v>0.65096399999999999</v>
      </c>
      <c r="H12" s="379">
        <v>0.65096399999999999</v>
      </c>
      <c r="I12" s="379">
        <v>0.40876704000000003</v>
      </c>
      <c r="J12" s="379">
        <v>0.16657007999999998</v>
      </c>
      <c r="K12" s="383">
        <v>0.16657007999999998</v>
      </c>
      <c r="L12" s="35"/>
      <c r="M12" s="35"/>
    </row>
    <row r="13" spans="1:14">
      <c r="B13" s="369" t="s">
        <v>14</v>
      </c>
      <c r="C13" s="152" t="s">
        <v>128</v>
      </c>
      <c r="D13" s="347">
        <v>0</v>
      </c>
      <c r="E13" s="379">
        <v>0</v>
      </c>
      <c r="F13" s="379">
        <v>0</v>
      </c>
      <c r="G13" s="379">
        <v>0</v>
      </c>
      <c r="H13" s="379">
        <v>0</v>
      </c>
      <c r="I13" s="379">
        <v>0</v>
      </c>
      <c r="J13" s="379">
        <v>0</v>
      </c>
      <c r="K13" s="383">
        <v>0</v>
      </c>
      <c r="L13" s="35"/>
      <c r="M13" s="35"/>
    </row>
    <row r="14" spans="1:14">
      <c r="B14" s="369" t="s">
        <v>15</v>
      </c>
      <c r="C14" s="152" t="s">
        <v>128</v>
      </c>
      <c r="D14" s="347">
        <v>0</v>
      </c>
      <c r="E14" s="379">
        <v>0</v>
      </c>
      <c r="F14" s="379">
        <v>0</v>
      </c>
      <c r="G14" s="379">
        <v>0</v>
      </c>
      <c r="H14" s="379">
        <v>0</v>
      </c>
      <c r="I14" s="379">
        <v>0</v>
      </c>
      <c r="J14" s="379">
        <v>0</v>
      </c>
      <c r="K14" s="383">
        <v>0</v>
      </c>
      <c r="L14" s="35"/>
      <c r="M14" s="35"/>
    </row>
    <row r="15" spans="1:14">
      <c r="B15" s="369" t="s">
        <v>16</v>
      </c>
      <c r="C15" s="152" t="s">
        <v>128</v>
      </c>
      <c r="D15" s="347">
        <v>0</v>
      </c>
      <c r="E15" s="379">
        <v>0</v>
      </c>
      <c r="F15" s="379">
        <v>0</v>
      </c>
      <c r="G15" s="379">
        <v>0</v>
      </c>
      <c r="H15" s="379">
        <v>0</v>
      </c>
      <c r="I15" s="379">
        <v>0</v>
      </c>
      <c r="J15" s="379">
        <v>0</v>
      </c>
      <c r="K15" s="383">
        <v>0</v>
      </c>
      <c r="L15" s="35"/>
      <c r="M15" s="35"/>
    </row>
    <row r="16" spans="1:14">
      <c r="B16" s="369" t="s">
        <v>17</v>
      </c>
      <c r="C16" s="152" t="s">
        <v>128</v>
      </c>
      <c r="D16" s="347">
        <v>-4.5399999999999991</v>
      </c>
      <c r="E16" s="379">
        <v>-2.3637000000000015</v>
      </c>
      <c r="F16" s="379">
        <v>-1.1879999999999999</v>
      </c>
      <c r="G16" s="379">
        <v>-1.1460000000000008</v>
      </c>
      <c r="H16" s="379">
        <v>0</v>
      </c>
      <c r="I16" s="379">
        <v>1.3999999999999986</v>
      </c>
      <c r="J16" s="379">
        <v>0.39999999999999858</v>
      </c>
      <c r="K16" s="383">
        <v>4.5</v>
      </c>
      <c r="L16" s="35"/>
    </row>
    <row r="17" spans="2:13">
      <c r="B17" s="369" t="s">
        <v>279</v>
      </c>
      <c r="C17" s="152" t="s">
        <v>128</v>
      </c>
      <c r="D17" s="347">
        <v>-0.44992667999999958</v>
      </c>
      <c r="E17" s="379">
        <v>-0.44992668000000008</v>
      </c>
      <c r="F17" s="379">
        <v>-0.22220000000000001</v>
      </c>
      <c r="G17" s="379">
        <v>-0.16238268000000006</v>
      </c>
      <c r="H17" s="379">
        <v>-0.16238271000000007</v>
      </c>
      <c r="I17" s="379">
        <v>-0.23099329000000005</v>
      </c>
      <c r="J17" s="379">
        <v>-0.32704763999999997</v>
      </c>
      <c r="K17" s="383">
        <v>-0.32704764000000003</v>
      </c>
      <c r="L17" s="35"/>
    </row>
    <row r="18" spans="2:13" ht="12.75" customHeight="1">
      <c r="B18" s="369" t="s">
        <v>18</v>
      </c>
      <c r="C18" s="152" t="s">
        <v>128</v>
      </c>
      <c r="D18" s="347">
        <v>0</v>
      </c>
      <c r="E18" s="379">
        <v>0</v>
      </c>
      <c r="F18" s="379">
        <v>0</v>
      </c>
      <c r="G18" s="379">
        <v>0</v>
      </c>
      <c r="H18" s="379">
        <v>0</v>
      </c>
      <c r="I18" s="379">
        <v>-0.19120547999999998</v>
      </c>
      <c r="J18" s="379">
        <v>-0.23097599999999999</v>
      </c>
      <c r="K18" s="383">
        <v>-0.24062498000000002</v>
      </c>
      <c r="L18" s="35"/>
    </row>
    <row r="19" spans="2:13">
      <c r="B19" s="369" t="s">
        <v>619</v>
      </c>
      <c r="C19" s="152" t="s">
        <v>128</v>
      </c>
      <c r="D19" s="347">
        <v>0.22500000000000001</v>
      </c>
      <c r="E19" s="379">
        <v>0.44400000000000001</v>
      </c>
      <c r="F19" s="379">
        <v>0.51500000000000001</v>
      </c>
      <c r="G19" s="379">
        <v>0.95199999999999996</v>
      </c>
      <c r="H19" s="379">
        <v>-3.3000000000000002E-2</v>
      </c>
      <c r="I19" s="379">
        <v>0.36799999999999999</v>
      </c>
      <c r="J19" s="379">
        <v>0.79100000000000004</v>
      </c>
      <c r="K19" s="383">
        <v>1.76</v>
      </c>
      <c r="L19" s="35"/>
    </row>
    <row r="20" spans="2:13">
      <c r="B20" s="369" t="s">
        <v>616</v>
      </c>
      <c r="C20" s="152" t="s">
        <v>128</v>
      </c>
      <c r="D20" s="347">
        <v>-0.1663</v>
      </c>
      <c r="E20" s="379">
        <v>-8.6062E-2</v>
      </c>
      <c r="F20" s="379">
        <v>-0.11700000000000001</v>
      </c>
      <c r="G20" s="379">
        <v>-0.17080633000000001</v>
      </c>
      <c r="H20" s="379">
        <v>-0.129547</v>
      </c>
      <c r="I20" s="379">
        <v>-0.13879233000000002</v>
      </c>
      <c r="J20" s="379">
        <v>-0.17649867000000002</v>
      </c>
      <c r="K20" s="383">
        <v>-0.229764</v>
      </c>
      <c r="L20" s="35"/>
    </row>
    <row r="21" spans="2:13">
      <c r="B21" s="369" t="s">
        <v>620</v>
      </c>
      <c r="C21" s="152" t="s">
        <v>128</v>
      </c>
      <c r="D21" s="347">
        <v>0</v>
      </c>
      <c r="E21" s="379">
        <v>0</v>
      </c>
      <c r="F21" s="379">
        <v>0</v>
      </c>
      <c r="G21" s="379">
        <v>0.26216957000000002</v>
      </c>
      <c r="H21" s="379">
        <v>0</v>
      </c>
      <c r="I21" s="379">
        <v>0</v>
      </c>
      <c r="J21" s="379">
        <v>0</v>
      </c>
      <c r="K21" s="383">
        <v>0</v>
      </c>
      <c r="L21" s="35"/>
    </row>
    <row r="22" spans="2:13">
      <c r="B22" s="369" t="s">
        <v>618</v>
      </c>
      <c r="C22" s="152" t="s">
        <v>128</v>
      </c>
      <c r="D22" s="347">
        <v>0</v>
      </c>
      <c r="E22" s="379">
        <v>0</v>
      </c>
      <c r="F22" s="379">
        <v>0</v>
      </c>
      <c r="G22" s="379">
        <v>0</v>
      </c>
      <c r="H22" s="379">
        <v>-6.4092220000000005E-2</v>
      </c>
      <c r="I22" s="379">
        <v>-4.8232580000000004E-2</v>
      </c>
      <c r="J22" s="379">
        <v>-4.981025E-2</v>
      </c>
      <c r="K22" s="383">
        <v>-5.0211080000000005E-2</v>
      </c>
      <c r="L22" s="35"/>
    </row>
    <row r="23" spans="2:13">
      <c r="B23" s="369" t="s">
        <v>617</v>
      </c>
      <c r="C23" s="152" t="s">
        <v>128</v>
      </c>
      <c r="D23" s="347">
        <v>9.3843940000000015E-2</v>
      </c>
      <c r="E23" s="379">
        <v>-4.0070840000000003E-2</v>
      </c>
      <c r="F23" s="379">
        <v>-1.7299999999999999E-2</v>
      </c>
      <c r="G23" s="379">
        <v>-1.4971490000000002E-2</v>
      </c>
      <c r="H23" s="379">
        <v>-1.6352300000000004E-2</v>
      </c>
      <c r="I23" s="379">
        <v>-0.54187070999999998</v>
      </c>
      <c r="J23" s="379">
        <v>-9.9104599999999994E-3</v>
      </c>
      <c r="K23" s="383">
        <v>-0.27470219000000001</v>
      </c>
      <c r="L23" s="35"/>
    </row>
    <row r="24" spans="2:13">
      <c r="B24" s="369" t="s">
        <v>346</v>
      </c>
      <c r="C24" s="152" t="s">
        <v>128</v>
      </c>
      <c r="D24" s="347">
        <v>0</v>
      </c>
      <c r="E24" s="379">
        <v>0</v>
      </c>
      <c r="F24" s="379">
        <v>0</v>
      </c>
      <c r="G24" s="379">
        <v>0</v>
      </c>
      <c r="H24" s="379">
        <v>0</v>
      </c>
      <c r="I24" s="379">
        <v>0</v>
      </c>
      <c r="J24" s="379">
        <v>0</v>
      </c>
      <c r="K24" s="383">
        <v>0</v>
      </c>
      <c r="L24" s="35"/>
    </row>
    <row r="25" spans="2:13">
      <c r="B25" s="369" t="s">
        <v>347</v>
      </c>
      <c r="C25" s="152" t="s">
        <v>128</v>
      </c>
      <c r="D25" s="347">
        <v>0</v>
      </c>
      <c r="E25" s="379">
        <v>0</v>
      </c>
      <c r="F25" s="379">
        <v>0</v>
      </c>
      <c r="G25" s="379">
        <v>0</v>
      </c>
      <c r="H25" s="379">
        <v>0</v>
      </c>
      <c r="I25" s="379">
        <v>0</v>
      </c>
      <c r="J25" s="379">
        <v>0</v>
      </c>
      <c r="K25" s="383">
        <v>0</v>
      </c>
      <c r="L25" s="35"/>
    </row>
    <row r="26" spans="2:13">
      <c r="B26" s="369" t="s">
        <v>348</v>
      </c>
      <c r="C26" s="152" t="s">
        <v>128</v>
      </c>
      <c r="D26" s="347">
        <v>0</v>
      </c>
      <c r="E26" s="379">
        <v>0</v>
      </c>
      <c r="F26" s="379">
        <v>0</v>
      </c>
      <c r="G26" s="379">
        <v>0</v>
      </c>
      <c r="H26" s="379">
        <v>0</v>
      </c>
      <c r="I26" s="379">
        <v>0</v>
      </c>
      <c r="J26" s="379">
        <v>0</v>
      </c>
      <c r="K26" s="383">
        <v>0</v>
      </c>
      <c r="L26" s="35"/>
    </row>
    <row r="27" spans="2:13">
      <c r="B27" s="369" t="s">
        <v>349</v>
      </c>
      <c r="C27" s="152" t="s">
        <v>128</v>
      </c>
      <c r="D27" s="380">
        <v>0</v>
      </c>
      <c r="E27" s="381">
        <v>0</v>
      </c>
      <c r="F27" s="381">
        <v>0</v>
      </c>
      <c r="G27" s="381">
        <v>0</v>
      </c>
      <c r="H27" s="381">
        <v>0</v>
      </c>
      <c r="I27" s="381">
        <v>0</v>
      </c>
      <c r="J27" s="381">
        <v>0</v>
      </c>
      <c r="K27" s="384">
        <v>0</v>
      </c>
      <c r="L27" s="35"/>
    </row>
    <row r="28" spans="2:13">
      <c r="B28" s="13" t="s">
        <v>19</v>
      </c>
      <c r="C28" s="152" t="s">
        <v>128</v>
      </c>
      <c r="D28" s="142">
        <v>36.213526920000035</v>
      </c>
      <c r="E28" s="143">
        <v>36.084980480000006</v>
      </c>
      <c r="F28" s="143">
        <v>38.367723340000005</v>
      </c>
      <c r="G28" s="143">
        <v>37.879960259999997</v>
      </c>
      <c r="H28" s="143">
        <v>38.432648880000002</v>
      </c>
      <c r="I28" s="143">
        <v>33.811234200000008</v>
      </c>
      <c r="J28" s="143">
        <v>33.181439779999998</v>
      </c>
      <c r="K28" s="144">
        <v>38.949935629999999</v>
      </c>
      <c r="L28" s="35"/>
    </row>
    <row r="29" spans="2:13">
      <c r="B29" s="370" t="s">
        <v>532</v>
      </c>
      <c r="C29" s="152" t="s">
        <v>128</v>
      </c>
      <c r="D29" s="387"/>
      <c r="E29" s="388"/>
      <c r="F29" s="388"/>
      <c r="G29" s="662"/>
      <c r="H29" s="662"/>
      <c r="I29" s="662"/>
      <c r="J29" s="662"/>
      <c r="K29" s="663"/>
      <c r="L29" s="35"/>
    </row>
    <row r="30" spans="2:13">
      <c r="B30" s="346" t="s">
        <v>301</v>
      </c>
      <c r="C30" s="152" t="s">
        <v>128</v>
      </c>
      <c r="D30" s="142">
        <v>36.213526920000035</v>
      </c>
      <c r="E30" s="143">
        <v>36.084980480000006</v>
      </c>
      <c r="F30" s="143">
        <v>38.367723340000005</v>
      </c>
      <c r="G30" s="143">
        <v>37.879960259999997</v>
      </c>
      <c r="H30" s="143">
        <v>38.432648880000002</v>
      </c>
      <c r="I30" s="143">
        <v>33.811234200000008</v>
      </c>
      <c r="J30" s="143">
        <v>33.181439779999998</v>
      </c>
      <c r="K30" s="144">
        <v>38.949935629999999</v>
      </c>
      <c r="M30" t="s">
        <v>671</v>
      </c>
    </row>
    <row r="31" spans="2:13">
      <c r="B31" s="213" t="s">
        <v>21</v>
      </c>
      <c r="C31" s="152" t="s">
        <v>128</v>
      </c>
      <c r="D31" s="584">
        <v>36.083306580000034</v>
      </c>
      <c r="E31" s="585">
        <v>35.982866860000009</v>
      </c>
      <c r="F31" s="585">
        <v>38.415345340000002</v>
      </c>
      <c r="G31" s="585">
        <v>38.150933019999997</v>
      </c>
      <c r="H31" s="585">
        <v>38.437013750000006</v>
      </c>
      <c r="I31" s="585">
        <v>33.811709280000009</v>
      </c>
      <c r="J31" s="585">
        <v>33.181399259999999</v>
      </c>
      <c r="K31" s="664">
        <v>38.971465000000002</v>
      </c>
    </row>
    <row r="32" spans="2:13">
      <c r="B32" s="213" t="s">
        <v>463</v>
      </c>
      <c r="C32" s="152" t="s">
        <v>128</v>
      </c>
      <c r="D32" s="588">
        <v>0.13022034000000005</v>
      </c>
      <c r="E32" s="589">
        <v>0.10211361999999999</v>
      </c>
      <c r="F32" s="589">
        <v>-4.7622000000000005E-2</v>
      </c>
      <c r="G32" s="589">
        <v>-0.27097276000000003</v>
      </c>
      <c r="H32" s="589">
        <v>-4.3648699999999938E-3</v>
      </c>
      <c r="I32" s="589">
        <v>-4.7507999999999996E-4</v>
      </c>
      <c r="J32" s="589">
        <v>4.0520000000000486E-5</v>
      </c>
      <c r="K32" s="589">
        <v>-2.1529369999999992E-2</v>
      </c>
    </row>
    <row r="33" spans="2:14">
      <c r="B33" s="213"/>
      <c r="D33" s="226" t="s">
        <v>676</v>
      </c>
      <c r="E33" s="227" t="s">
        <v>676</v>
      </c>
      <c r="F33" s="227" t="s">
        <v>676</v>
      </c>
      <c r="G33" s="227" t="s">
        <v>676</v>
      </c>
      <c r="H33" s="227" t="s">
        <v>676</v>
      </c>
      <c r="I33" s="227" t="s">
        <v>676</v>
      </c>
      <c r="J33" s="227" t="s">
        <v>676</v>
      </c>
      <c r="K33" s="228" t="s">
        <v>676</v>
      </c>
    </row>
    <row r="34" spans="2:14">
      <c r="D34" s="23"/>
      <c r="E34" s="23"/>
      <c r="F34" s="23"/>
      <c r="G34" s="23"/>
      <c r="H34" s="23"/>
      <c r="I34" s="23"/>
      <c r="J34" s="23"/>
      <c r="K34" s="23"/>
    </row>
    <row r="35" spans="2:14">
      <c r="B35" s="213" t="s">
        <v>526</v>
      </c>
      <c r="C35" s="152" t="s">
        <v>128</v>
      </c>
      <c r="D35" s="584">
        <v>0</v>
      </c>
      <c r="E35" s="584">
        <v>-0.17449999999999999</v>
      </c>
      <c r="F35" s="584">
        <v>2.1995</v>
      </c>
      <c r="G35" s="584">
        <v>1.800465</v>
      </c>
      <c r="H35" s="584">
        <v>2.251144</v>
      </c>
      <c r="I35" s="584">
        <v>1.184812</v>
      </c>
      <c r="J35" s="584">
        <v>6.8422879999999999</v>
      </c>
      <c r="K35" s="664">
        <v>12.618252</v>
      </c>
    </row>
    <row r="36" spans="2:14">
      <c r="D36" s="23"/>
      <c r="E36" s="23"/>
      <c r="F36" s="23"/>
      <c r="G36" s="23"/>
      <c r="H36" s="23"/>
      <c r="I36" s="23"/>
      <c r="J36" s="23"/>
      <c r="K36" s="23"/>
    </row>
    <row r="37" spans="2:14">
      <c r="B37" s="213" t="s">
        <v>82</v>
      </c>
      <c r="C37" s="152" t="s">
        <v>128</v>
      </c>
      <c r="D37" s="850">
        <v>6.5063777633535045</v>
      </c>
      <c r="E37" s="850">
        <v>13.470669304392185</v>
      </c>
      <c r="F37" s="850">
        <v>23.983423229136559</v>
      </c>
      <c r="G37" s="850">
        <v>20.103352337749232</v>
      </c>
      <c r="H37" s="850">
        <v>17.084167692539079</v>
      </c>
      <c r="I37" s="850">
        <v>8.6313523383152404</v>
      </c>
      <c r="J37" s="850">
        <v>44.22560131461055</v>
      </c>
      <c r="K37" s="850">
        <v>99.827941937102537</v>
      </c>
      <c r="N37" s="322"/>
    </row>
    <row r="38" spans="2:14" s="31" customFormat="1">
      <c r="B38" s="212"/>
      <c r="C38" s="791"/>
      <c r="D38" s="793"/>
      <c r="E38" s="793"/>
      <c r="F38" s="793"/>
      <c r="G38" s="793"/>
      <c r="H38" s="793"/>
      <c r="I38" s="793"/>
      <c r="J38" s="793"/>
      <c r="K38" s="793"/>
      <c r="L38"/>
      <c r="M38"/>
      <c r="N38" s="792"/>
    </row>
    <row r="39" spans="2:14">
      <c r="B39" s="213" t="s">
        <v>477</v>
      </c>
      <c r="C39" s="152" t="s">
        <v>128</v>
      </c>
      <c r="D39" s="102">
        <v>29.70714915664653</v>
      </c>
      <c r="E39" s="102">
        <v>22.614311175607821</v>
      </c>
      <c r="F39" s="102">
        <v>14.384300110863446</v>
      </c>
      <c r="G39" s="102">
        <v>17.776607922250765</v>
      </c>
      <c r="H39" s="102">
        <v>21.348481187460923</v>
      </c>
      <c r="I39" s="102">
        <v>25.17988186168477</v>
      </c>
      <c r="J39" s="102">
        <v>-11.044161534610552</v>
      </c>
      <c r="K39" s="963">
        <v>-60.878006307102538</v>
      </c>
    </row>
    <row r="40" spans="2:14">
      <c r="B40" s="213"/>
      <c r="C40" s="152"/>
      <c r="D40" s="152"/>
      <c r="E40" s="152"/>
      <c r="F40" s="152"/>
      <c r="G40" s="152"/>
      <c r="H40" s="152"/>
      <c r="I40" s="152"/>
      <c r="J40" s="152"/>
      <c r="K40" s="152"/>
      <c r="L40" s="152"/>
      <c r="N40" s="322"/>
    </row>
    <row r="41" spans="2:14">
      <c r="B41" s="820" t="s">
        <v>368</v>
      </c>
      <c r="C41" s="152" t="s">
        <v>127</v>
      </c>
      <c r="D41" s="503">
        <v>1.0603167467048125</v>
      </c>
      <c r="E41" s="503">
        <v>1.0830366813119445</v>
      </c>
      <c r="F41" s="503">
        <v>1.1235639113109226</v>
      </c>
      <c r="G41" s="503">
        <v>1.1578951670583426</v>
      </c>
      <c r="H41" s="503">
        <v>1.1878696229692449</v>
      </c>
      <c r="I41" s="503">
        <v>1.2022764892203943</v>
      </c>
      <c r="J41" s="503">
        <v>1.2717196280780627</v>
      </c>
      <c r="K41" s="503">
        <v>1.4354429345049555</v>
      </c>
      <c r="L41" s="152"/>
      <c r="N41" s="322"/>
    </row>
    <row r="42" spans="2:14">
      <c r="L42" s="155"/>
      <c r="M42" s="155"/>
      <c r="N42" s="155"/>
    </row>
    <row r="43" spans="2:14">
      <c r="B43" s="802" t="s">
        <v>423</v>
      </c>
      <c r="C43" s="156" t="s">
        <v>159</v>
      </c>
      <c r="D43" s="145">
        <v>28.017240366115683</v>
      </c>
      <c r="E43" s="146">
        <v>20.880466530656935</v>
      </c>
      <c r="F43" s="146">
        <v>12.802387088136809</v>
      </c>
      <c r="G43" s="146">
        <v>15.352519319527532</v>
      </c>
      <c r="H43" s="146">
        <v>17.972074354504858</v>
      </c>
      <c r="I43" s="146">
        <v>20.943503501438713</v>
      </c>
      <c r="J43" s="146">
        <v>-8.6844311362100175</v>
      </c>
      <c r="K43" s="964">
        <v>-42.410607098148191</v>
      </c>
      <c r="L43" s="670">
        <v>64.873152926022314</v>
      </c>
      <c r="M43" s="671">
        <v>64.873152926022314</v>
      </c>
    </row>
    <row r="44" spans="2:14">
      <c r="B44" s="213"/>
      <c r="C44" s="66"/>
      <c r="D44" s="776"/>
      <c r="E44" s="776"/>
      <c r="F44" s="776"/>
      <c r="G44" s="776"/>
      <c r="H44" s="776"/>
      <c r="I44" s="776"/>
      <c r="J44" s="776"/>
      <c r="K44" s="776"/>
      <c r="L44" s="797"/>
      <c r="M44" s="797"/>
    </row>
    <row r="45" spans="2:14">
      <c r="B45" s="802" t="s">
        <v>514</v>
      </c>
      <c r="C45" s="152"/>
      <c r="D45" s="776"/>
      <c r="E45" s="776"/>
      <c r="F45" s="776"/>
      <c r="G45" s="776"/>
      <c r="H45" s="776"/>
      <c r="I45" s="776"/>
      <c r="J45" s="776"/>
      <c r="K45" s="776"/>
      <c r="L45" s="797"/>
      <c r="M45" s="797"/>
    </row>
    <row r="46" spans="2:14">
      <c r="B46" s="369" t="s">
        <v>498</v>
      </c>
      <c r="C46" s="152" t="s">
        <v>128</v>
      </c>
      <c r="D46" s="849">
        <v>0.44992667999999958</v>
      </c>
      <c r="E46" s="849">
        <v>0.44992668000000008</v>
      </c>
      <c r="F46" s="849">
        <v>0.22220000000000001</v>
      </c>
      <c r="G46" s="849">
        <v>0.16238268000000006</v>
      </c>
      <c r="H46" s="849">
        <v>0.16238271000000007</v>
      </c>
      <c r="I46" s="849">
        <v>0.23099329000000005</v>
      </c>
      <c r="J46" s="849">
        <v>0.32704763999999997</v>
      </c>
      <c r="K46" s="849">
        <v>0.32704764000000003</v>
      </c>
      <c r="L46" s="670">
        <v>2.33190732</v>
      </c>
      <c r="M46" s="670">
        <v>2.33190732</v>
      </c>
    </row>
    <row r="47" spans="2:14">
      <c r="B47" s="369" t="s">
        <v>535</v>
      </c>
      <c r="C47" s="152" t="s">
        <v>128</v>
      </c>
      <c r="D47" s="387"/>
      <c r="E47" s="388"/>
      <c r="F47" s="388"/>
      <c r="G47" s="662"/>
      <c r="H47" s="662"/>
      <c r="I47" s="662"/>
      <c r="J47" s="662"/>
      <c r="K47" s="662">
        <v>0</v>
      </c>
      <c r="L47" s="670">
        <v>0</v>
      </c>
      <c r="M47" s="670">
        <v>0</v>
      </c>
    </row>
    <row r="48" spans="2:14">
      <c r="B48" s="369" t="s">
        <v>517</v>
      </c>
      <c r="C48" s="152" t="s">
        <v>128</v>
      </c>
      <c r="D48" s="849">
        <v>0</v>
      </c>
      <c r="E48" s="849">
        <v>0</v>
      </c>
      <c r="F48" s="849">
        <v>0</v>
      </c>
      <c r="G48" s="849">
        <v>0</v>
      </c>
      <c r="H48" s="849">
        <v>0</v>
      </c>
      <c r="I48" s="849">
        <v>0</v>
      </c>
      <c r="J48" s="849">
        <v>0</v>
      </c>
      <c r="K48" s="849">
        <v>0</v>
      </c>
      <c r="L48" s="670">
        <v>0</v>
      </c>
      <c r="M48" s="670">
        <v>0</v>
      </c>
    </row>
    <row r="49" spans="1:14">
      <c r="B49" s="369" t="s">
        <v>518</v>
      </c>
      <c r="C49" s="152" t="s">
        <v>128</v>
      </c>
      <c r="D49" s="849">
        <v>0</v>
      </c>
      <c r="E49" s="849">
        <v>0</v>
      </c>
      <c r="F49" s="849">
        <v>0</v>
      </c>
      <c r="G49" s="849">
        <v>0</v>
      </c>
      <c r="H49" s="849">
        <v>0</v>
      </c>
      <c r="I49" s="849">
        <v>0</v>
      </c>
      <c r="J49" s="849">
        <v>0</v>
      </c>
      <c r="K49" s="849">
        <v>0</v>
      </c>
      <c r="L49" s="670">
        <v>0</v>
      </c>
      <c r="M49" s="670">
        <v>0</v>
      </c>
    </row>
    <row r="50" spans="1:14">
      <c r="B50" s="369" t="s">
        <v>499</v>
      </c>
      <c r="C50" s="152" t="s">
        <v>128</v>
      </c>
      <c r="D50" s="849">
        <v>0</v>
      </c>
      <c r="E50" s="849">
        <v>0</v>
      </c>
      <c r="F50" s="849">
        <v>0</v>
      </c>
      <c r="G50" s="849">
        <v>0</v>
      </c>
      <c r="H50" s="849">
        <v>0</v>
      </c>
      <c r="I50" s="849">
        <v>0</v>
      </c>
      <c r="J50" s="849">
        <v>0</v>
      </c>
      <c r="K50" s="849">
        <v>0</v>
      </c>
      <c r="L50" s="670">
        <v>0</v>
      </c>
      <c r="M50" s="670">
        <v>0</v>
      </c>
    </row>
    <row r="51" spans="1:14">
      <c r="B51" s="369" t="s">
        <v>499</v>
      </c>
      <c r="C51" s="152" t="s">
        <v>128</v>
      </c>
      <c r="D51" s="849">
        <v>0</v>
      </c>
      <c r="E51" s="849">
        <v>0</v>
      </c>
      <c r="F51" s="849">
        <v>0</v>
      </c>
      <c r="G51" s="849">
        <v>0</v>
      </c>
      <c r="H51" s="849">
        <v>0</v>
      </c>
      <c r="I51" s="849">
        <v>0</v>
      </c>
      <c r="J51" s="849">
        <v>0</v>
      </c>
      <c r="K51" s="849">
        <v>0</v>
      </c>
      <c r="L51" s="670">
        <v>0</v>
      </c>
      <c r="M51" s="670">
        <v>0</v>
      </c>
    </row>
    <row r="52" spans="1:14">
      <c r="B52" s="369" t="s">
        <v>499</v>
      </c>
      <c r="C52" s="152" t="s">
        <v>128</v>
      </c>
      <c r="D52" s="849">
        <v>0</v>
      </c>
      <c r="E52" s="849">
        <v>0</v>
      </c>
      <c r="F52" s="849">
        <v>0</v>
      </c>
      <c r="G52" s="849">
        <v>0</v>
      </c>
      <c r="H52" s="849">
        <v>0</v>
      </c>
      <c r="I52" s="849">
        <v>0</v>
      </c>
      <c r="J52" s="849">
        <v>0</v>
      </c>
      <c r="K52" s="849">
        <v>0</v>
      </c>
      <c r="L52" s="670">
        <v>0</v>
      </c>
      <c r="M52" s="670">
        <v>0</v>
      </c>
    </row>
    <row r="53" spans="1:14">
      <c r="B53" s="369" t="s">
        <v>499</v>
      </c>
      <c r="C53" s="152" t="s">
        <v>128</v>
      </c>
      <c r="D53" s="849">
        <v>0</v>
      </c>
      <c r="E53" s="849">
        <v>0</v>
      </c>
      <c r="F53" s="849">
        <v>0</v>
      </c>
      <c r="G53" s="849">
        <v>0</v>
      </c>
      <c r="H53" s="849">
        <v>0</v>
      </c>
      <c r="I53" s="849">
        <v>0</v>
      </c>
      <c r="J53" s="849">
        <v>0</v>
      </c>
      <c r="K53" s="849">
        <v>0</v>
      </c>
      <c r="L53" s="670">
        <v>0</v>
      </c>
      <c r="M53" s="670">
        <v>0</v>
      </c>
    </row>
    <row r="54" spans="1:14" s="832" customFormat="1">
      <c r="B54" s="831"/>
      <c r="C54" s="833"/>
      <c r="D54" s="834"/>
      <c r="E54" s="834"/>
      <c r="F54" s="834"/>
      <c r="G54" s="834"/>
      <c r="H54" s="834"/>
      <c r="I54" s="834"/>
      <c r="J54" s="834"/>
      <c r="K54" s="834"/>
      <c r="L54" s="835"/>
      <c r="M54" s="835"/>
    </row>
    <row r="55" spans="1:14">
      <c r="B55" s="826" t="s">
        <v>515</v>
      </c>
      <c r="C55" s="235" t="s">
        <v>128</v>
      </c>
      <c r="D55" s="145">
        <v>0.44992667999999958</v>
      </c>
      <c r="E55" s="145">
        <v>0.44992668000000008</v>
      </c>
      <c r="F55" s="145">
        <v>0.22220000000000001</v>
      </c>
      <c r="G55" s="145">
        <v>0.16238268000000006</v>
      </c>
      <c r="H55" s="145">
        <v>0.16238271000000007</v>
      </c>
      <c r="I55" s="145">
        <v>0.23099329000000005</v>
      </c>
      <c r="J55" s="145">
        <v>0.32704763999999997</v>
      </c>
      <c r="K55" s="145">
        <v>0.32704764000000003</v>
      </c>
      <c r="L55" s="670">
        <v>2.33190732</v>
      </c>
      <c r="M55" s="671">
        <v>2.33190732</v>
      </c>
    </row>
    <row r="56" spans="1:14">
      <c r="B56" s="826" t="s">
        <v>515</v>
      </c>
      <c r="C56" s="156" t="s">
        <v>159</v>
      </c>
      <c r="D56" s="145">
        <v>0.42433233408625698</v>
      </c>
      <c r="E56" s="145">
        <v>0.41543069386622994</v>
      </c>
      <c r="F56" s="145">
        <v>0.19776356090037397</v>
      </c>
      <c r="G56" s="145">
        <v>0.14023953516667378</v>
      </c>
      <c r="H56" s="145">
        <v>0.13670078505257333</v>
      </c>
      <c r="I56" s="145">
        <v>0.19212992358337277</v>
      </c>
      <c r="J56" s="145">
        <v>0.25716960938494265</v>
      </c>
      <c r="K56" s="145">
        <v>0.22783743758701888</v>
      </c>
      <c r="L56" s="670">
        <v>1.9916038796274427</v>
      </c>
      <c r="M56" s="671">
        <v>1.9916038796274427</v>
      </c>
    </row>
    <row r="57" spans="1:14">
      <c r="B57" s="213"/>
      <c r="C57" s="66"/>
      <c r="D57" s="776"/>
      <c r="E57" s="776"/>
      <c r="F57" s="776"/>
      <c r="G57" s="776"/>
      <c r="H57" s="776"/>
      <c r="I57" s="776"/>
      <c r="J57" s="776"/>
      <c r="K57" s="776"/>
      <c r="L57" s="797"/>
      <c r="M57" s="797"/>
    </row>
    <row r="58" spans="1:14" s="2" customFormat="1">
      <c r="A58" s="1"/>
    </row>
    <row r="59" spans="1:14" s="2" customFormat="1">
      <c r="A59" s="1"/>
      <c r="B59" s="798" t="s">
        <v>433</v>
      </c>
      <c r="C59" s="81"/>
      <c r="D59" s="81"/>
      <c r="E59" s="81"/>
      <c r="F59" s="81"/>
      <c r="G59" s="81"/>
      <c r="H59" s="81"/>
      <c r="I59" s="81"/>
      <c r="J59" s="81"/>
      <c r="K59" s="81"/>
      <c r="L59" s="81"/>
      <c r="M59" s="81"/>
      <c r="N59" s="81"/>
    </row>
    <row r="60" spans="1:14" s="2" customFormat="1">
      <c r="A60" s="1"/>
      <c r="B60" s="368" t="s">
        <v>434</v>
      </c>
    </row>
    <row r="61" spans="1:14" s="2" customFormat="1">
      <c r="A61" s="1"/>
    </row>
    <row r="62" spans="1:14" s="31" customFormat="1">
      <c r="B62" s="213" t="s">
        <v>115</v>
      </c>
      <c r="C62" s="155" t="s">
        <v>7</v>
      </c>
      <c r="D62" s="858">
        <v>0.65</v>
      </c>
      <c r="E62" s="859">
        <v>0.65</v>
      </c>
      <c r="F62" s="859">
        <v>0.65</v>
      </c>
      <c r="G62" s="859">
        <v>0.65</v>
      </c>
      <c r="H62" s="859">
        <v>0.65</v>
      </c>
      <c r="I62" s="859">
        <v>0.65</v>
      </c>
      <c r="J62" s="859">
        <v>0.65</v>
      </c>
      <c r="K62" s="860">
        <v>0.65</v>
      </c>
      <c r="N62" s="792"/>
    </row>
    <row r="63" spans="1:14" s="31" customFormat="1">
      <c r="B63" s="213" t="s">
        <v>396</v>
      </c>
      <c r="C63" s="155" t="s">
        <v>7</v>
      </c>
      <c r="D63" s="859">
        <v>0.6335122844522304</v>
      </c>
      <c r="E63" s="859">
        <v>0.62702964221650348</v>
      </c>
      <c r="F63" s="859">
        <v>0.60494851220761947</v>
      </c>
      <c r="G63" s="859">
        <v>0.59661588835992763</v>
      </c>
      <c r="H63" s="859">
        <v>0.58094149063294909</v>
      </c>
      <c r="I63" s="859">
        <v>0.58912288490182896</v>
      </c>
      <c r="J63" s="859">
        <v>0.57369012073181969</v>
      </c>
      <c r="K63" s="860">
        <v>0.53804242788051038</v>
      </c>
      <c r="N63" s="792"/>
    </row>
    <row r="64" spans="1:14" s="31" customFormat="1">
      <c r="B64" s="213"/>
      <c r="C64" s="155"/>
      <c r="D64" s="155"/>
      <c r="E64" s="155"/>
      <c r="F64" s="155"/>
      <c r="G64" s="155"/>
      <c r="H64" s="155"/>
      <c r="I64" s="155"/>
      <c r="J64" s="155"/>
      <c r="K64" s="155"/>
      <c r="N64" s="792"/>
    </row>
    <row r="65" spans="2:24">
      <c r="B65" s="213" t="s">
        <v>423</v>
      </c>
      <c r="C65" s="152" t="s">
        <v>128</v>
      </c>
      <c r="D65" s="95">
        <v>29.70714915664653</v>
      </c>
      <c r="E65" s="96">
        <v>22.614311175607821</v>
      </c>
      <c r="F65" s="96">
        <v>14.384300110863446</v>
      </c>
      <c r="G65" s="96">
        <v>17.776607922250765</v>
      </c>
      <c r="H65" s="96">
        <v>21.348481187460923</v>
      </c>
      <c r="I65" s="96">
        <v>25.17988186168477</v>
      </c>
      <c r="J65" s="96">
        <v>-11.044161534610552</v>
      </c>
      <c r="K65" s="97">
        <v>-60.878006307102538</v>
      </c>
      <c r="L65" s="31"/>
      <c r="M65" s="31"/>
    </row>
    <row r="66" spans="2:24" s="31" customFormat="1">
      <c r="B66" s="213" t="s">
        <v>441</v>
      </c>
      <c r="C66" s="152" t="s">
        <v>128</v>
      </c>
      <c r="D66" s="95">
        <v>0.77315473914363453</v>
      </c>
      <c r="E66" s="95">
        <v>0.82844379875692542</v>
      </c>
      <c r="F66" s="95">
        <v>1.0712219433049803</v>
      </c>
      <c r="G66" s="95">
        <v>1.5906187555815183</v>
      </c>
      <c r="H66" s="95">
        <v>2.5377672482134188</v>
      </c>
      <c r="I66" s="95">
        <v>2.6019674426797583</v>
      </c>
      <c r="J66" s="95">
        <v>-1.4690485383456384</v>
      </c>
      <c r="K66" s="95">
        <v>-12.667688324259505</v>
      </c>
      <c r="N66" s="792"/>
    </row>
    <row r="67" spans="2:24">
      <c r="B67" s="213" t="s">
        <v>440</v>
      </c>
      <c r="C67" s="152" t="s">
        <v>128</v>
      </c>
      <c r="D67" s="102">
        <v>30.480303895790165</v>
      </c>
      <c r="E67" s="103">
        <v>23.442754974364746</v>
      </c>
      <c r="F67" s="103">
        <v>15.455522054168426</v>
      </c>
      <c r="G67" s="103">
        <v>19.367226677832285</v>
      </c>
      <c r="H67" s="103">
        <v>23.886248435674343</v>
      </c>
      <c r="I67" s="103">
        <v>27.781849304364528</v>
      </c>
      <c r="J67" s="103">
        <v>-12.513210072956191</v>
      </c>
      <c r="K67" s="104">
        <v>-73.545694631362039</v>
      </c>
      <c r="L67" s="31"/>
      <c r="M67" s="31"/>
    </row>
    <row r="68" spans="2:24">
      <c r="B68" s="213"/>
      <c r="C68" s="152"/>
      <c r="D68" s="152"/>
      <c r="E68" s="152"/>
      <c r="F68" s="152"/>
      <c r="G68" s="152"/>
      <c r="H68" s="152"/>
      <c r="I68" s="152"/>
      <c r="J68" s="152"/>
      <c r="K68" s="152"/>
      <c r="L68" s="152"/>
      <c r="M68" s="152"/>
      <c r="N68" s="152"/>
      <c r="O68" s="152"/>
    </row>
    <row r="69" spans="2:24">
      <c r="B69" s="802" t="s">
        <v>440</v>
      </c>
      <c r="C69" s="156" t="s">
        <v>159</v>
      </c>
      <c r="D69" s="145">
        <v>28.746413739587712</v>
      </c>
      <c r="E69" s="146">
        <v>21.645393345280965</v>
      </c>
      <c r="F69" s="146">
        <v>13.755801426672415</v>
      </c>
      <c r="G69" s="146">
        <v>16.726235007125158</v>
      </c>
      <c r="H69" s="146">
        <v>20.108476531260518</v>
      </c>
      <c r="I69" s="146">
        <v>23.107704054314016</v>
      </c>
      <c r="J69" s="146">
        <v>-9.8395981289266423</v>
      </c>
      <c r="K69" s="147">
        <v>-51.235540517482093</v>
      </c>
      <c r="L69" s="670">
        <v>63.014885457832051</v>
      </c>
      <c r="M69" s="671">
        <v>63.014885457832051</v>
      </c>
    </row>
    <row r="70" spans="2:24">
      <c r="B70" s="371" t="s">
        <v>516</v>
      </c>
      <c r="C70" s="159" t="s">
        <v>159</v>
      </c>
      <c r="D70" s="95">
        <v>0.43537595706538312</v>
      </c>
      <c r="E70" s="95">
        <v>0.43064941883530983</v>
      </c>
      <c r="F70" s="95">
        <v>0.21249133106575152</v>
      </c>
      <c r="G70" s="95">
        <v>0.15278791536866576</v>
      </c>
      <c r="H70" s="95">
        <v>0.15295087666636195</v>
      </c>
      <c r="I70" s="95">
        <v>0.21198370243247802</v>
      </c>
      <c r="J70" s="95">
        <v>0.29137724367116019</v>
      </c>
      <c r="K70" s="95">
        <v>0.27524657305362432</v>
      </c>
      <c r="L70" s="666">
        <v>2.1628630181587347</v>
      </c>
      <c r="M70" s="667">
        <v>2.1628630181587347</v>
      </c>
      <c r="N70" s="155"/>
    </row>
    <row r="72" spans="2:24">
      <c r="B72" s="794" t="s">
        <v>314</v>
      </c>
      <c r="C72" s="795"/>
      <c r="D72" s="795"/>
      <c r="E72" s="795"/>
      <c r="F72" s="795"/>
      <c r="G72" s="795"/>
      <c r="H72" s="795"/>
      <c r="I72" s="795"/>
      <c r="J72" s="795"/>
      <c r="K72" s="795"/>
      <c r="L72" s="795"/>
      <c r="M72" s="795"/>
      <c r="N72" s="795"/>
      <c r="O72" s="155"/>
    </row>
    <row r="73" spans="2:24" s="31" customFormat="1">
      <c r="B73" s="796"/>
      <c r="C73" s="66"/>
      <c r="D73" s="66"/>
      <c r="E73" s="66"/>
      <c r="F73" s="66"/>
      <c r="G73" s="66"/>
      <c r="H73" s="66"/>
      <c r="I73" s="66"/>
      <c r="J73" s="66"/>
      <c r="K73" s="66"/>
      <c r="L73" s="66"/>
      <c r="M73" s="66"/>
      <c r="N73" s="66"/>
      <c r="O73" s="66"/>
    </row>
    <row r="74" spans="2:24">
      <c r="B74" s="368" t="s">
        <v>470</v>
      </c>
      <c r="C74" s="367"/>
      <c r="D74" s="367"/>
      <c r="E74" s="367"/>
      <c r="F74" s="367"/>
      <c r="G74" s="367"/>
      <c r="H74" s="367"/>
      <c r="I74" s="367"/>
      <c r="J74" s="367"/>
      <c r="K74" s="367"/>
      <c r="L74" s="367"/>
      <c r="M74" s="367"/>
      <c r="N74" s="367"/>
      <c r="O74" s="155"/>
    </row>
    <row r="75" spans="2:24">
      <c r="B75" s="368" t="s">
        <v>342</v>
      </c>
      <c r="C75" s="367"/>
      <c r="D75" s="367"/>
      <c r="E75" s="367"/>
      <c r="F75" s="367"/>
      <c r="G75" s="367"/>
      <c r="H75" s="367"/>
      <c r="I75" s="367"/>
      <c r="J75" s="367"/>
      <c r="K75" s="367"/>
      <c r="L75" s="367"/>
      <c r="M75" s="367"/>
      <c r="N75" s="367"/>
      <c r="O75" s="155"/>
    </row>
    <row r="76" spans="2:24">
      <c r="B76" s="368" t="s">
        <v>343</v>
      </c>
      <c r="C76" s="367"/>
      <c r="D76" s="367"/>
      <c r="E76" s="367"/>
      <c r="F76" s="367"/>
      <c r="G76" s="367"/>
      <c r="H76" s="367"/>
      <c r="I76" s="367"/>
      <c r="J76" s="367"/>
      <c r="K76" s="367"/>
      <c r="L76" s="367"/>
      <c r="M76" s="367"/>
      <c r="N76" s="367"/>
      <c r="O76" s="155"/>
    </row>
    <row r="77" spans="2:24">
      <c r="B77" s="368" t="s">
        <v>522</v>
      </c>
      <c r="C77" s="367"/>
      <c r="D77" s="367"/>
      <c r="E77" s="367"/>
      <c r="F77" s="367"/>
      <c r="G77" s="367"/>
      <c r="H77" s="367"/>
      <c r="I77" s="367"/>
      <c r="J77" s="367"/>
      <c r="K77" s="367"/>
      <c r="L77" s="367"/>
      <c r="M77" s="367"/>
      <c r="N77" s="367"/>
      <c r="O77" s="155"/>
    </row>
    <row r="78" spans="2:24" s="31" customFormat="1">
      <c r="B78" s="372"/>
      <c r="C78" s="372"/>
      <c r="D78" s="372"/>
      <c r="E78" s="372"/>
      <c r="F78" s="372"/>
      <c r="G78" s="372"/>
      <c r="H78" s="372"/>
      <c r="I78" s="372"/>
      <c r="J78" s="372"/>
      <c r="K78" s="372"/>
      <c r="L78" s="372"/>
      <c r="M78" s="372"/>
      <c r="N78" s="372"/>
      <c r="O78" s="66"/>
    </row>
    <row r="79" spans="2:24">
      <c r="B79" s="371" t="s">
        <v>233</v>
      </c>
      <c r="C79" s="155" t="s">
        <v>159</v>
      </c>
      <c r="D79" s="595">
        <v>13.911076154129875</v>
      </c>
      <c r="E79" s="595">
        <v>13.443296956910958</v>
      </c>
      <c r="F79" s="595">
        <v>12.960964361393875</v>
      </c>
      <c r="G79" s="595">
        <v>11.549608595997618</v>
      </c>
      <c r="H79" s="595">
        <v>9.8851665495405623</v>
      </c>
      <c r="I79" s="595">
        <v>7.0207484311144368</v>
      </c>
      <c r="J79" s="595">
        <v>5.0224670683344463</v>
      </c>
      <c r="K79" s="595">
        <v>2.6450639533668752</v>
      </c>
      <c r="L79" s="867"/>
      <c r="M79" s="867"/>
      <c r="O79" s="66"/>
      <c r="Q79" s="956"/>
      <c r="R79" s="956"/>
      <c r="S79" s="956"/>
      <c r="T79" s="956"/>
      <c r="U79" s="956"/>
      <c r="V79" s="956"/>
      <c r="W79" s="956"/>
      <c r="X79" s="956"/>
    </row>
    <row r="80" spans="2:24">
      <c r="B80" s="371" t="s">
        <v>313</v>
      </c>
      <c r="C80" s="155" t="s">
        <v>159</v>
      </c>
      <c r="D80" s="668">
        <v>13.911076154129873</v>
      </c>
      <c r="E80" s="669">
        <v>13.443296956910961</v>
      </c>
      <c r="F80" s="669">
        <v>12.834344755519059</v>
      </c>
      <c r="G80" s="669">
        <v>11.304714053508924</v>
      </c>
      <c r="H80" s="669">
        <v>9.6592785908469398</v>
      </c>
      <c r="I80" s="669">
        <v>6.8841830020819756</v>
      </c>
      <c r="J80" s="669">
        <v>4.958842606701932</v>
      </c>
      <c r="K80" s="868">
        <v>2.6260678673629205</v>
      </c>
      <c r="L80" s="869">
        <v>75.621803987062592</v>
      </c>
      <c r="M80" s="869">
        <v>75.621803987062592</v>
      </c>
      <c r="O80" s="66"/>
    </row>
    <row r="81" spans="2:24" s="31" customFormat="1">
      <c r="B81" s="799"/>
      <c r="C81" s="66"/>
      <c r="D81" s="800"/>
      <c r="E81" s="800"/>
      <c r="F81" s="800"/>
      <c r="G81" s="800"/>
      <c r="H81" s="800"/>
      <c r="I81" s="800"/>
      <c r="J81" s="800"/>
      <c r="K81" s="800"/>
      <c r="L81" s="797"/>
      <c r="M81" s="797"/>
      <c r="O81" s="66"/>
    </row>
    <row r="82" spans="2:24" s="31" customFormat="1">
      <c r="B82" s="799"/>
      <c r="C82" s="66"/>
      <c r="D82" s="800"/>
      <c r="E82" s="801"/>
      <c r="F82" s="801"/>
      <c r="G82" s="801"/>
      <c r="H82" s="801"/>
      <c r="I82" s="801"/>
      <c r="J82" s="801"/>
      <c r="K82" s="801"/>
      <c r="L82" s="797"/>
      <c r="M82" s="797"/>
      <c r="O82" s="66"/>
      <c r="Q82" s="957"/>
      <c r="R82" s="957"/>
      <c r="S82" s="957"/>
      <c r="T82" s="957"/>
      <c r="U82" s="957"/>
      <c r="V82" s="957"/>
      <c r="W82" s="957"/>
      <c r="X82" s="957"/>
    </row>
    <row r="83" spans="2:24">
      <c r="B83" s="803" t="s">
        <v>424</v>
      </c>
      <c r="C83" s="795"/>
      <c r="D83" s="795"/>
      <c r="E83" s="795"/>
      <c r="F83" s="795"/>
      <c r="G83" s="795"/>
      <c r="H83" s="795"/>
      <c r="I83" s="795"/>
      <c r="J83" s="795"/>
      <c r="K83" s="795"/>
      <c r="L83" s="795"/>
      <c r="M83" s="795"/>
      <c r="N83" s="795"/>
    </row>
    <row r="84" spans="2:24">
      <c r="B84" s="371"/>
      <c r="C84" s="155"/>
      <c r="D84" s="155"/>
      <c r="E84" s="155"/>
      <c r="F84" s="155"/>
      <c r="G84" s="155"/>
      <c r="H84" s="155"/>
      <c r="I84" s="155"/>
      <c r="J84" s="155"/>
      <c r="K84" s="155"/>
      <c r="L84" s="155"/>
      <c r="M84" s="155"/>
      <c r="N84" s="155"/>
    </row>
    <row r="85" spans="2:24">
      <c r="B85" s="821" t="s">
        <v>478</v>
      </c>
      <c r="C85" s="155"/>
      <c r="D85" s="155"/>
      <c r="E85" s="155"/>
      <c r="F85" s="155"/>
      <c r="G85" s="155"/>
      <c r="H85" s="155"/>
      <c r="I85" s="155"/>
      <c r="J85" s="155"/>
      <c r="K85" s="155"/>
      <c r="L85" s="155"/>
      <c r="M85" s="155"/>
      <c r="N85" s="155"/>
    </row>
    <row r="86" spans="2:24">
      <c r="B86" s="213" t="s">
        <v>479</v>
      </c>
      <c r="C86" s="155" t="s">
        <v>159</v>
      </c>
      <c r="D86" s="145">
        <v>-14.530496546072067</v>
      </c>
      <c r="E86" s="145">
        <v>-7.8526002676122042</v>
      </c>
      <c r="F86" s="145">
        <v>-0.16580589351812472</v>
      </c>
      <c r="G86" s="145">
        <v>-4.1880448011852822</v>
      </c>
      <c r="H86" s="145">
        <v>-8.449496548710492</v>
      </c>
      <c r="I86" s="145">
        <v>-14.25145042294011</v>
      </c>
      <c r="J86" s="145">
        <v>13.386104133527008</v>
      </c>
      <c r="K86" s="974">
        <v>44.808837527924091</v>
      </c>
      <c r="L86" s="670">
        <v>8.7570471814128155</v>
      </c>
      <c r="M86" s="671">
        <v>8.7570471814128155</v>
      </c>
    </row>
    <row r="87" spans="2:24">
      <c r="B87" s="213"/>
    </row>
    <row r="88" spans="2:24">
      <c r="B88" s="213" t="s">
        <v>480</v>
      </c>
      <c r="C88" s="155" t="s">
        <v>159</v>
      </c>
      <c r="D88" s="145">
        <v>-15.270713542523223</v>
      </c>
      <c r="E88" s="145">
        <v>-8.632745807205314</v>
      </c>
      <c r="F88" s="145">
        <v>-1.1339480022191075</v>
      </c>
      <c r="G88" s="145">
        <v>-5.5743088689849003</v>
      </c>
      <c r="H88" s="145">
        <v>-10.602148817079939</v>
      </c>
      <c r="I88" s="145">
        <v>-16.435504754664517</v>
      </c>
      <c r="J88" s="145">
        <v>14.507063491957414</v>
      </c>
      <c r="K88" s="145">
        <v>53.586361811791392</v>
      </c>
      <c r="L88" s="670">
        <v>10.444055511071795</v>
      </c>
      <c r="M88" s="671">
        <v>10.444055511071795</v>
      </c>
    </row>
    <row r="89" spans="2:24">
      <c r="B89" s="213"/>
    </row>
    <row r="90" spans="2:24">
      <c r="B90" s="213" t="s">
        <v>481</v>
      </c>
      <c r="C90" s="155" t="s">
        <v>159</v>
      </c>
      <c r="D90" s="145">
        <v>0.74021699645115646</v>
      </c>
      <c r="E90" s="145">
        <v>0.78014553959310984</v>
      </c>
      <c r="F90" s="145">
        <v>0.96814210870098283</v>
      </c>
      <c r="G90" s="145">
        <v>1.3862640677996181</v>
      </c>
      <c r="H90" s="145">
        <v>2.1526522683694473</v>
      </c>
      <c r="I90" s="145">
        <v>2.1840543317244077</v>
      </c>
      <c r="J90" s="145">
        <v>-1.1209593584304063</v>
      </c>
      <c r="K90" s="145">
        <v>-8.7775242838673009</v>
      </c>
      <c r="L90" s="670">
        <v>-1.6870083296589851</v>
      </c>
      <c r="M90" s="671">
        <v>-1.6870083296589851</v>
      </c>
    </row>
    <row r="91" spans="2:24">
      <c r="B91" s="200"/>
    </row>
  </sheetData>
  <conditionalFormatting sqref="D6:K6">
    <cfRule type="expression" dxfId="62" priority="26">
      <formula>AND(D$5="Actuals",E$5="Forecast")</formula>
    </cfRule>
  </conditionalFormatting>
  <conditionalFormatting sqref="D5:K5">
    <cfRule type="expression" dxfId="61" priority="19">
      <formula>AND(D$5="Actuals",E$5="Forecast")</formula>
    </cfRule>
  </conditionalFormatting>
  <conditionalFormatting sqref="D29:G29 I29:K29">
    <cfRule type="expression" dxfId="60" priority="17">
      <formula>D$5="Forecast"</formula>
    </cfRule>
    <cfRule type="expression" dxfId="59" priority="18">
      <formula>D$5="Actuals"</formula>
    </cfRule>
  </conditionalFormatting>
  <conditionalFormatting sqref="D47:G47">
    <cfRule type="expression" dxfId="58" priority="11">
      <formula>D$5="Forecast"</formula>
    </cfRule>
    <cfRule type="expression" dxfId="57" priority="12">
      <formula>D$5="Actuals"</formula>
    </cfRule>
  </conditionalFormatting>
  <conditionalFormatting sqref="I47">
    <cfRule type="expression" dxfId="56" priority="9">
      <formula>I$5="Forecast"</formula>
    </cfRule>
    <cfRule type="expression" dxfId="55" priority="10">
      <formula>I$5="Actuals"</formula>
    </cfRule>
  </conditionalFormatting>
  <conditionalFormatting sqref="H47">
    <cfRule type="expression" dxfId="54" priority="7">
      <formula>H$5="Forecast"</formula>
    </cfRule>
    <cfRule type="expression" dxfId="53" priority="8">
      <formula>H$5="Actuals"</formula>
    </cfRule>
  </conditionalFormatting>
  <conditionalFormatting sqref="H29">
    <cfRule type="expression" dxfId="52" priority="5">
      <formula>H$5="Forecast"</formula>
    </cfRule>
    <cfRule type="expression" dxfId="51" priority="6">
      <formula>H$5="Actuals"</formula>
    </cfRule>
  </conditionalFormatting>
  <conditionalFormatting sqref="J47">
    <cfRule type="expression" dxfId="50" priority="3">
      <formula>J$5="Forecast"</formula>
    </cfRule>
    <cfRule type="expression" dxfId="49" priority="4">
      <formula>J$5="Actuals"</formula>
    </cfRule>
  </conditionalFormatting>
  <conditionalFormatting sqref="K47">
    <cfRule type="expression" dxfId="48" priority="1">
      <formula>K$5="Forecast"</formula>
    </cfRule>
    <cfRule type="expression" dxfId="47" priority="2">
      <formula>K$5="Actuals"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6"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60" zoomScaleNormal="60" workbookViewId="0">
      <pane ySplit="6" topLeftCell="A7" activePane="bottomLeft" state="frozen"/>
      <selection activeCell="I11" sqref="I11"/>
      <selection pane="bottomLeft" activeCell="Q28" sqref="Q28"/>
    </sheetView>
  </sheetViews>
  <sheetFormatPr defaultRowHeight="12.75"/>
  <cols>
    <col min="1" max="1" width="8.375" customWidth="1"/>
    <col min="2" max="2" width="85.75" bestFit="1" customWidth="1"/>
    <col min="3" max="3" width="14.125" customWidth="1"/>
    <col min="4" max="11" width="11.125" customWidth="1"/>
    <col min="12" max="12" width="5" customWidth="1"/>
    <col min="13" max="13" width="12.875" customWidth="1"/>
  </cols>
  <sheetData>
    <row r="1" spans="1:12" s="31" customFormat="1" ht="20.25">
      <c r="A1" s="875" t="s">
        <v>237</v>
      </c>
      <c r="B1" s="885"/>
      <c r="C1" s="256"/>
      <c r="D1" s="256"/>
      <c r="E1" s="256"/>
      <c r="F1" s="256"/>
      <c r="G1" s="256"/>
      <c r="H1" s="256"/>
      <c r="I1" s="257"/>
      <c r="J1" s="257"/>
      <c r="K1" s="258"/>
      <c r="L1" s="363"/>
    </row>
    <row r="2" spans="1:12" s="31" customFormat="1" ht="20.25">
      <c r="A2" s="878" t="s">
        <v>659</v>
      </c>
      <c r="B2" s="870"/>
      <c r="C2" s="29"/>
      <c r="D2" s="29"/>
      <c r="E2" s="29"/>
      <c r="F2" s="29"/>
      <c r="G2" s="29"/>
      <c r="H2" s="29"/>
      <c r="I2" s="27"/>
      <c r="J2" s="27"/>
      <c r="K2" s="27"/>
      <c r="L2" s="123"/>
    </row>
    <row r="3" spans="1:12" s="31" customFormat="1" ht="23.25">
      <c r="A3" s="881">
        <v>2023</v>
      </c>
      <c r="B3" s="887" t="s">
        <v>673</v>
      </c>
      <c r="C3" s="260"/>
      <c r="D3" s="260"/>
      <c r="E3" s="260"/>
      <c r="F3" s="260"/>
      <c r="G3" s="260"/>
      <c r="H3" s="260"/>
      <c r="I3" s="255"/>
      <c r="J3" s="255"/>
      <c r="K3" s="255"/>
      <c r="L3" s="261"/>
    </row>
    <row r="4" spans="1:12" s="31" customFormat="1" ht="12.75" customHeight="1">
      <c r="A4" s="39"/>
      <c r="B4" s="39"/>
      <c r="C4" s="39"/>
      <c r="D4" s="39"/>
      <c r="E4" s="39"/>
      <c r="F4" s="39"/>
      <c r="G4" s="39"/>
      <c r="H4" s="39"/>
      <c r="I4" s="34"/>
      <c r="J4" s="34"/>
      <c r="K4" s="34"/>
      <c r="L4" s="33"/>
    </row>
    <row r="5" spans="1:12" s="2" customFormat="1">
      <c r="B5" s="3"/>
      <c r="C5" s="3"/>
      <c r="D5" s="389" t="s">
        <v>674</v>
      </c>
      <c r="E5" s="390" t="s">
        <v>674</v>
      </c>
      <c r="F5" s="390" t="s">
        <v>674</v>
      </c>
      <c r="G5" s="390" t="s">
        <v>674</v>
      </c>
      <c r="H5" s="390" t="s">
        <v>674</v>
      </c>
      <c r="I5" s="390" t="s">
        <v>674</v>
      </c>
      <c r="J5" s="390" t="s">
        <v>674</v>
      </c>
      <c r="K5" s="391" t="s">
        <v>674</v>
      </c>
    </row>
    <row r="6" spans="1:12" s="2" customFormat="1">
      <c r="D6" s="117">
        <v>2016</v>
      </c>
      <c r="E6" s="118">
        <v>2017</v>
      </c>
      <c r="F6" s="118">
        <v>2018</v>
      </c>
      <c r="G6" s="118">
        <v>2019</v>
      </c>
      <c r="H6" s="118">
        <v>2020</v>
      </c>
      <c r="I6" s="118">
        <v>2021</v>
      </c>
      <c r="J6" s="118">
        <v>2022</v>
      </c>
      <c r="K6" s="195">
        <v>2023</v>
      </c>
    </row>
    <row r="7" spans="1:12" s="2" customFormat="1"/>
    <row r="8" spans="1:12" s="2" customFormat="1">
      <c r="B8" s="213" t="s">
        <v>512</v>
      </c>
      <c r="C8" s="152" t="s">
        <v>128</v>
      </c>
      <c r="D8" s="851">
        <v>-25.849311740000001</v>
      </c>
      <c r="E8" s="678">
        <v>-32.200000000000003</v>
      </c>
      <c r="F8" s="678">
        <v>-19.45701588</v>
      </c>
      <c r="G8" s="678">
        <v>-33.159069620000004</v>
      </c>
      <c r="H8" s="678">
        <v>-4.6033230300000003</v>
      </c>
      <c r="I8" s="678">
        <v>-0.46483783000000001</v>
      </c>
      <c r="J8" s="678">
        <v>-18.102348879999997</v>
      </c>
      <c r="K8" s="678">
        <v>-14.264572529999999</v>
      </c>
    </row>
    <row r="9" spans="1:12" s="2" customFormat="1">
      <c r="B9" s="213"/>
    </row>
    <row r="10" spans="1:12">
      <c r="B10" s="213" t="s">
        <v>513</v>
      </c>
      <c r="C10" s="152" t="s">
        <v>128</v>
      </c>
      <c r="D10" s="672">
        <v>-32.200000000000003</v>
      </c>
      <c r="E10" s="673">
        <v>-19.45701588</v>
      </c>
      <c r="F10" s="673">
        <v>-33.159069620000004</v>
      </c>
      <c r="G10" s="673">
        <v>-4.6033230300000003</v>
      </c>
      <c r="H10" s="673">
        <v>-0.46483783000000001</v>
      </c>
      <c r="I10" s="673">
        <v>-18.102348879999997</v>
      </c>
      <c r="J10" s="673">
        <v>-14.264572529999999</v>
      </c>
      <c r="K10" s="674">
        <v>75.526416569999995</v>
      </c>
    </row>
    <row r="11" spans="1:12">
      <c r="B11" s="213" t="s">
        <v>362</v>
      </c>
      <c r="C11" s="152" t="s">
        <v>128</v>
      </c>
      <c r="D11" s="675">
        <v>566.72789999999998</v>
      </c>
      <c r="E11" s="676">
        <v>619.78910460000009</v>
      </c>
      <c r="F11" s="676">
        <v>653.2063776</v>
      </c>
      <c r="G11" s="676">
        <v>655.20138665000002</v>
      </c>
      <c r="H11" s="676">
        <v>657.61491336000006</v>
      </c>
      <c r="I11" s="676">
        <v>755.00605408999991</v>
      </c>
      <c r="J11" s="676">
        <v>762.17538973000001</v>
      </c>
      <c r="K11" s="677">
        <v>775.12068937000004</v>
      </c>
    </row>
    <row r="12" spans="1:12">
      <c r="B12" s="213" t="s">
        <v>363</v>
      </c>
      <c r="C12" s="152" t="s">
        <v>128</v>
      </c>
      <c r="D12" s="675">
        <v>57.5</v>
      </c>
      <c r="E12" s="676">
        <v>0</v>
      </c>
      <c r="F12" s="676">
        <v>0</v>
      </c>
      <c r="G12" s="676">
        <v>0</v>
      </c>
      <c r="H12" s="676">
        <v>0</v>
      </c>
      <c r="I12" s="676">
        <v>0</v>
      </c>
      <c r="J12" s="676">
        <v>0</v>
      </c>
      <c r="K12" s="677">
        <v>0</v>
      </c>
    </row>
    <row r="13" spans="1:12">
      <c r="B13" s="213" t="s">
        <v>364</v>
      </c>
      <c r="C13" s="152" t="s">
        <v>128</v>
      </c>
      <c r="D13" s="675">
        <v>0</v>
      </c>
      <c r="E13" s="676">
        <v>0</v>
      </c>
      <c r="F13" s="676">
        <v>0</v>
      </c>
      <c r="G13" s="676">
        <v>0</v>
      </c>
      <c r="H13" s="676">
        <v>0</v>
      </c>
      <c r="I13" s="676">
        <v>0</v>
      </c>
      <c r="J13" s="676">
        <v>0</v>
      </c>
      <c r="K13" s="677">
        <v>0</v>
      </c>
    </row>
    <row r="14" spans="1:12">
      <c r="B14" s="213" t="s">
        <v>365</v>
      </c>
      <c r="C14" s="152" t="s">
        <v>128</v>
      </c>
      <c r="D14" s="675">
        <v>-3.1354999999999973</v>
      </c>
      <c r="E14" s="676">
        <v>-16.786109879999998</v>
      </c>
      <c r="F14" s="676">
        <v>-8.1006748700000006</v>
      </c>
      <c r="G14" s="676">
        <v>-5.8129591400000002</v>
      </c>
      <c r="H14" s="676">
        <v>1.3225</v>
      </c>
      <c r="I14" s="676">
        <v>-2.9437707699999995</v>
      </c>
      <c r="J14" s="676">
        <v>7.8751412600000013</v>
      </c>
      <c r="K14" s="677">
        <v>10.433160560000001</v>
      </c>
    </row>
    <row r="15" spans="1:12">
      <c r="B15" s="213" t="s">
        <v>289</v>
      </c>
      <c r="C15" s="152" t="s">
        <v>128</v>
      </c>
      <c r="D15" s="675">
        <v>0</v>
      </c>
      <c r="E15" s="676">
        <v>0</v>
      </c>
      <c r="F15" s="676">
        <v>0</v>
      </c>
      <c r="G15" s="676">
        <v>0</v>
      </c>
      <c r="H15" s="676">
        <v>0</v>
      </c>
      <c r="I15" s="676">
        <v>0</v>
      </c>
      <c r="J15" s="676">
        <v>0</v>
      </c>
      <c r="K15" s="677">
        <v>0</v>
      </c>
    </row>
    <row r="16" spans="1:12">
      <c r="B16" s="213" t="s">
        <v>290</v>
      </c>
      <c r="C16" s="152" t="s">
        <v>128</v>
      </c>
      <c r="D16" s="675">
        <v>0</v>
      </c>
      <c r="E16" s="676">
        <v>0</v>
      </c>
      <c r="F16" s="676">
        <v>0</v>
      </c>
      <c r="G16" s="676">
        <v>0</v>
      </c>
      <c r="H16" s="676">
        <v>0</v>
      </c>
      <c r="I16" s="676">
        <v>0</v>
      </c>
      <c r="J16" s="676">
        <v>0</v>
      </c>
      <c r="K16" s="677">
        <v>0</v>
      </c>
    </row>
    <row r="17" spans="2:13">
      <c r="B17" s="213" t="s">
        <v>294</v>
      </c>
      <c r="C17" s="152" t="s">
        <v>128</v>
      </c>
      <c r="D17" s="675">
        <v>0</v>
      </c>
      <c r="E17" s="676">
        <v>0</v>
      </c>
      <c r="F17" s="676">
        <v>0</v>
      </c>
      <c r="G17" s="676">
        <v>0</v>
      </c>
      <c r="H17" s="676">
        <v>4.5366950200000007</v>
      </c>
      <c r="I17" s="676">
        <v>0</v>
      </c>
      <c r="J17" s="676">
        <v>0</v>
      </c>
      <c r="K17" s="677">
        <v>0</v>
      </c>
    </row>
    <row r="18" spans="2:13">
      <c r="B18" s="213" t="s">
        <v>295</v>
      </c>
      <c r="C18" s="152" t="s">
        <v>128</v>
      </c>
      <c r="D18" s="675">
        <v>0</v>
      </c>
      <c r="E18" s="676">
        <v>0</v>
      </c>
      <c r="F18" s="676">
        <v>0</v>
      </c>
      <c r="G18" s="676">
        <v>0</v>
      </c>
      <c r="H18" s="676">
        <v>0</v>
      </c>
      <c r="I18" s="676">
        <v>0</v>
      </c>
      <c r="J18" s="676">
        <v>0</v>
      </c>
      <c r="K18" s="677">
        <v>0</v>
      </c>
    </row>
    <row r="19" spans="2:13">
      <c r="B19" s="213" t="s">
        <v>296</v>
      </c>
      <c r="C19" s="152" t="s">
        <v>128</v>
      </c>
      <c r="D19" s="675">
        <v>0</v>
      </c>
      <c r="E19" s="676">
        <v>0</v>
      </c>
      <c r="F19" s="676">
        <v>0</v>
      </c>
      <c r="G19" s="676">
        <v>0</v>
      </c>
      <c r="H19" s="676">
        <v>0</v>
      </c>
      <c r="I19" s="676">
        <v>0</v>
      </c>
      <c r="J19" s="676">
        <v>0</v>
      </c>
      <c r="K19" s="677">
        <v>0</v>
      </c>
    </row>
    <row r="20" spans="2:13">
      <c r="B20" s="213" t="s">
        <v>297</v>
      </c>
      <c r="C20" s="152" t="s">
        <v>128</v>
      </c>
      <c r="D20" s="675">
        <v>0</v>
      </c>
      <c r="E20" s="676">
        <v>0</v>
      </c>
      <c r="F20" s="676">
        <v>0</v>
      </c>
      <c r="G20" s="676">
        <v>0</v>
      </c>
      <c r="H20" s="676">
        <v>0</v>
      </c>
      <c r="I20" s="676">
        <v>0</v>
      </c>
      <c r="J20" s="676">
        <v>0</v>
      </c>
      <c r="K20" s="677">
        <v>0</v>
      </c>
    </row>
    <row r="21" spans="2:13">
      <c r="B21" s="213" t="s">
        <v>298</v>
      </c>
      <c r="C21" s="152" t="s">
        <v>128</v>
      </c>
      <c r="D21" s="675">
        <v>0</v>
      </c>
      <c r="E21" s="676">
        <v>0</v>
      </c>
      <c r="F21" s="676">
        <v>0</v>
      </c>
      <c r="G21" s="676">
        <v>0</v>
      </c>
      <c r="H21" s="676">
        <v>0</v>
      </c>
      <c r="I21" s="676">
        <v>0</v>
      </c>
      <c r="J21" s="676">
        <v>0</v>
      </c>
      <c r="K21" s="677">
        <v>0</v>
      </c>
    </row>
    <row r="22" spans="2:13">
      <c r="B22" s="213" t="s">
        <v>299</v>
      </c>
      <c r="C22" s="152" t="s">
        <v>128</v>
      </c>
      <c r="D22" s="675">
        <v>0</v>
      </c>
      <c r="E22" s="676">
        <v>0</v>
      </c>
      <c r="F22" s="676">
        <v>0</v>
      </c>
      <c r="G22" s="676">
        <v>0</v>
      </c>
      <c r="H22" s="676">
        <v>0</v>
      </c>
      <c r="I22" s="676">
        <v>0</v>
      </c>
      <c r="J22" s="676">
        <v>0</v>
      </c>
      <c r="K22" s="677">
        <v>0</v>
      </c>
    </row>
    <row r="23" spans="2:13">
      <c r="B23" s="14" t="s">
        <v>315</v>
      </c>
      <c r="C23" s="235" t="s">
        <v>128</v>
      </c>
      <c r="D23" s="678">
        <v>588.89239999999995</v>
      </c>
      <c r="E23" s="678">
        <v>583.54597884000009</v>
      </c>
      <c r="F23" s="678">
        <v>611.94663310999999</v>
      </c>
      <c r="G23" s="678">
        <v>644.78510448000009</v>
      </c>
      <c r="H23" s="678">
        <v>663.00927055000011</v>
      </c>
      <c r="I23" s="678">
        <v>733.95993443999987</v>
      </c>
      <c r="J23" s="678">
        <v>755.78595845999996</v>
      </c>
      <c r="K23" s="679">
        <v>861.08026650000011</v>
      </c>
      <c r="L23" s="2"/>
      <c r="M23" s="323"/>
    </row>
    <row r="24" spans="2:13">
      <c r="B24" s="14"/>
      <c r="C24" s="152"/>
      <c r="D24" s="239"/>
      <c r="E24" s="239"/>
      <c r="F24" s="239"/>
      <c r="G24" s="239"/>
      <c r="H24" s="239"/>
      <c r="I24" s="239"/>
      <c r="J24" s="239"/>
      <c r="K24" s="239"/>
      <c r="L24" s="2"/>
      <c r="M24" s="2"/>
    </row>
    <row r="25" spans="2:13">
      <c r="B25" s="14" t="s">
        <v>123</v>
      </c>
      <c r="C25" s="16"/>
      <c r="D25" s="240"/>
      <c r="E25" s="240"/>
      <c r="F25" s="240"/>
      <c r="G25" s="240"/>
      <c r="H25" s="240"/>
      <c r="I25" s="240"/>
      <c r="J25" s="240"/>
      <c r="K25" s="240"/>
      <c r="L25" s="2"/>
      <c r="M25" s="2"/>
    </row>
    <row r="26" spans="2:13">
      <c r="B26" s="369" t="s">
        <v>524</v>
      </c>
      <c r="C26" s="152" t="s">
        <v>128</v>
      </c>
      <c r="D26" s="347">
        <v>6.7392560799999996</v>
      </c>
      <c r="E26" s="347">
        <v>6.5719434000000003</v>
      </c>
      <c r="F26" s="347">
        <v>6.4523000000000001</v>
      </c>
      <c r="G26" s="347">
        <v>5.9998303499999999</v>
      </c>
      <c r="H26" s="347">
        <v>5.5795676399999996</v>
      </c>
      <c r="I26" s="347">
        <v>6.5535533599999996</v>
      </c>
      <c r="J26" s="347">
        <v>6.1442923999999994</v>
      </c>
      <c r="K26" s="347">
        <v>5.7350314400000002</v>
      </c>
      <c r="L26" s="2"/>
      <c r="M26" s="2"/>
    </row>
    <row r="27" spans="2:13">
      <c r="B27" s="369" t="s">
        <v>8</v>
      </c>
      <c r="C27" s="152" t="s">
        <v>128</v>
      </c>
      <c r="D27" s="347">
        <v>0</v>
      </c>
      <c r="E27" s="379">
        <v>0</v>
      </c>
      <c r="F27" s="379">
        <v>0</v>
      </c>
      <c r="G27" s="379">
        <v>0</v>
      </c>
      <c r="H27" s="379">
        <v>0</v>
      </c>
      <c r="I27" s="379">
        <v>0</v>
      </c>
      <c r="J27" s="379">
        <v>0</v>
      </c>
      <c r="K27" s="383">
        <v>0</v>
      </c>
      <c r="L27" s="35"/>
      <c r="M27" s="35"/>
    </row>
    <row r="28" spans="2:13">
      <c r="B28" s="369" t="s">
        <v>9</v>
      </c>
      <c r="C28" s="152" t="s">
        <v>128</v>
      </c>
      <c r="D28" s="347">
        <v>0</v>
      </c>
      <c r="E28" s="379">
        <v>0</v>
      </c>
      <c r="F28" s="379">
        <v>0</v>
      </c>
      <c r="G28" s="379">
        <v>0</v>
      </c>
      <c r="H28" s="379">
        <v>0</v>
      </c>
      <c r="I28" s="379">
        <v>0</v>
      </c>
      <c r="J28" s="379">
        <v>0</v>
      </c>
      <c r="K28" s="383">
        <v>0</v>
      </c>
      <c r="L28" s="35"/>
      <c r="M28" s="35"/>
    </row>
    <row r="29" spans="2:13">
      <c r="B29" s="369" t="s">
        <v>10</v>
      </c>
      <c r="C29" s="152" t="s">
        <v>128</v>
      </c>
      <c r="D29" s="347">
        <v>0</v>
      </c>
      <c r="E29" s="379">
        <v>0</v>
      </c>
      <c r="F29" s="379">
        <v>0</v>
      </c>
      <c r="G29" s="379">
        <v>0</v>
      </c>
      <c r="H29" s="379">
        <v>0</v>
      </c>
      <c r="I29" s="379">
        <v>0</v>
      </c>
      <c r="J29" s="379">
        <v>0</v>
      </c>
      <c r="K29" s="383">
        <v>0</v>
      </c>
      <c r="L29" s="35"/>
      <c r="M29" s="35"/>
    </row>
    <row r="30" spans="2:13">
      <c r="B30" s="369" t="s">
        <v>612</v>
      </c>
      <c r="C30" s="152" t="s">
        <v>128</v>
      </c>
      <c r="D30" s="347">
        <v>1.532816</v>
      </c>
      <c r="E30" s="379">
        <v>-1.5355479999999999</v>
      </c>
      <c r="F30" s="379">
        <v>-2.6335999999999999</v>
      </c>
      <c r="G30" s="379">
        <v>-2.3757519999999999</v>
      </c>
      <c r="H30" s="379">
        <v>-2.1178720000000002</v>
      </c>
      <c r="I30" s="379">
        <v>0.70181354999999979</v>
      </c>
      <c r="J30" s="379">
        <v>0.78402687000000015</v>
      </c>
      <c r="K30" s="383">
        <v>0.86624018999999997</v>
      </c>
    </row>
    <row r="31" spans="2:13">
      <c r="B31" s="369" t="s">
        <v>613</v>
      </c>
      <c r="C31" s="152" t="s">
        <v>128</v>
      </c>
      <c r="D31" s="347">
        <v>3.1354999999999973</v>
      </c>
      <c r="E31" s="379">
        <v>16.786109879999998</v>
      </c>
      <c r="F31" s="379">
        <v>8.1006999999999998</v>
      </c>
      <c r="G31" s="379">
        <v>5.8129591400000002</v>
      </c>
      <c r="H31" s="379">
        <v>-1.3224654100000002</v>
      </c>
      <c r="I31" s="379">
        <v>2.9437707699999995</v>
      </c>
      <c r="J31" s="379">
        <v>-7.8751412600000013</v>
      </c>
      <c r="K31" s="383">
        <v>-10.433160560000001</v>
      </c>
    </row>
    <row r="32" spans="2:13" ht="12.75" customHeight="1">
      <c r="B32" s="369" t="s">
        <v>614</v>
      </c>
      <c r="C32" s="152" t="s">
        <v>128</v>
      </c>
      <c r="D32" s="347">
        <v>1.8409100000000001E-3</v>
      </c>
      <c r="E32" s="379">
        <v>0</v>
      </c>
      <c r="F32" s="379">
        <v>0</v>
      </c>
      <c r="G32" s="379">
        <v>0</v>
      </c>
      <c r="H32" s="379">
        <v>0</v>
      </c>
      <c r="I32" s="379">
        <v>0</v>
      </c>
      <c r="J32" s="379">
        <v>0.50126565999999995</v>
      </c>
      <c r="K32" s="383">
        <v>0.50126565999999995</v>
      </c>
    </row>
    <row r="33" spans="2:12">
      <c r="B33" s="369" t="s">
        <v>615</v>
      </c>
      <c r="C33" s="152" t="s">
        <v>128</v>
      </c>
      <c r="D33" s="347">
        <v>0</v>
      </c>
      <c r="E33" s="379">
        <v>0</v>
      </c>
      <c r="F33" s="379">
        <v>0</v>
      </c>
      <c r="G33" s="379">
        <v>0</v>
      </c>
      <c r="H33" s="379">
        <v>-4.5366</v>
      </c>
      <c r="I33" s="379">
        <v>0</v>
      </c>
      <c r="J33" s="379">
        <v>0</v>
      </c>
      <c r="K33" s="383">
        <v>0</v>
      </c>
    </row>
    <row r="34" spans="2:12">
      <c r="B34" s="369" t="s">
        <v>350</v>
      </c>
      <c r="C34" s="152" t="s">
        <v>128</v>
      </c>
      <c r="D34" s="347">
        <v>0</v>
      </c>
      <c r="E34" s="379">
        <v>0</v>
      </c>
      <c r="F34" s="379">
        <v>0</v>
      </c>
      <c r="G34" s="379">
        <v>0</v>
      </c>
      <c r="H34" s="379">
        <v>0</v>
      </c>
      <c r="I34" s="379">
        <v>0</v>
      </c>
      <c r="J34" s="379">
        <v>0</v>
      </c>
      <c r="K34" s="383">
        <v>0</v>
      </c>
    </row>
    <row r="35" spans="2:12">
      <c r="B35" s="369" t="s">
        <v>351</v>
      </c>
      <c r="C35" s="152" t="s">
        <v>128</v>
      </c>
      <c r="D35" s="347">
        <v>0</v>
      </c>
      <c r="E35" s="379">
        <v>0</v>
      </c>
      <c r="F35" s="379">
        <v>0</v>
      </c>
      <c r="G35" s="379">
        <v>0</v>
      </c>
      <c r="H35" s="379">
        <v>0</v>
      </c>
      <c r="I35" s="379">
        <v>0</v>
      </c>
      <c r="J35" s="379">
        <v>0</v>
      </c>
      <c r="K35" s="383">
        <v>0</v>
      </c>
    </row>
    <row r="36" spans="2:12">
      <c r="B36" s="369" t="s">
        <v>352</v>
      </c>
      <c r="C36" s="152" t="s">
        <v>128</v>
      </c>
      <c r="D36" s="347">
        <v>0</v>
      </c>
      <c r="E36" s="379">
        <v>0</v>
      </c>
      <c r="F36" s="379">
        <v>0</v>
      </c>
      <c r="G36" s="379">
        <v>0</v>
      </c>
      <c r="H36" s="379">
        <v>0</v>
      </c>
      <c r="I36" s="379">
        <v>0</v>
      </c>
      <c r="J36" s="379">
        <v>0</v>
      </c>
      <c r="K36" s="383">
        <v>0</v>
      </c>
    </row>
    <row r="37" spans="2:12">
      <c r="B37" s="369" t="s">
        <v>353</v>
      </c>
      <c r="C37" s="152" t="s">
        <v>128</v>
      </c>
      <c r="D37" s="347">
        <v>0</v>
      </c>
      <c r="E37" s="379">
        <v>0</v>
      </c>
      <c r="F37" s="379">
        <v>0</v>
      </c>
      <c r="G37" s="379">
        <v>0</v>
      </c>
      <c r="H37" s="379">
        <v>0</v>
      </c>
      <c r="I37" s="379">
        <v>0</v>
      </c>
      <c r="J37" s="379">
        <v>0</v>
      </c>
      <c r="K37" s="383">
        <v>0</v>
      </c>
    </row>
    <row r="38" spans="2:12">
      <c r="B38" s="369" t="s">
        <v>354</v>
      </c>
      <c r="C38" s="152" t="s">
        <v>128</v>
      </c>
      <c r="D38" s="347">
        <v>0</v>
      </c>
      <c r="E38" s="379">
        <v>0</v>
      </c>
      <c r="F38" s="379">
        <v>0</v>
      </c>
      <c r="G38" s="379">
        <v>0</v>
      </c>
      <c r="H38" s="379">
        <v>0</v>
      </c>
      <c r="I38" s="379">
        <v>0</v>
      </c>
      <c r="J38" s="379">
        <v>0</v>
      </c>
      <c r="K38" s="383">
        <v>0</v>
      </c>
    </row>
    <row r="39" spans="2:12">
      <c r="B39" s="369" t="s">
        <v>355</v>
      </c>
      <c r="C39" s="152" t="s">
        <v>128</v>
      </c>
      <c r="D39" s="347">
        <v>0</v>
      </c>
      <c r="E39" s="379">
        <v>0</v>
      </c>
      <c r="F39" s="379">
        <v>0</v>
      </c>
      <c r="G39" s="379">
        <v>0</v>
      </c>
      <c r="H39" s="379">
        <v>0</v>
      </c>
      <c r="I39" s="379">
        <v>0</v>
      </c>
      <c r="J39" s="379">
        <v>0</v>
      </c>
      <c r="K39" s="383">
        <v>0</v>
      </c>
    </row>
    <row r="40" spans="2:12">
      <c r="B40" s="369" t="s">
        <v>356</v>
      </c>
      <c r="C40" s="152" t="s">
        <v>128</v>
      </c>
      <c r="D40" s="347">
        <v>0</v>
      </c>
      <c r="E40" s="379">
        <v>0</v>
      </c>
      <c r="F40" s="379">
        <v>0</v>
      </c>
      <c r="G40" s="379">
        <v>0</v>
      </c>
      <c r="H40" s="379">
        <v>0</v>
      </c>
      <c r="I40" s="379">
        <v>0</v>
      </c>
      <c r="J40" s="379">
        <v>0</v>
      </c>
      <c r="K40" s="383">
        <v>0</v>
      </c>
    </row>
    <row r="41" spans="2:12">
      <c r="B41" s="369" t="s">
        <v>357</v>
      </c>
      <c r="C41" s="152" t="s">
        <v>128</v>
      </c>
      <c r="D41" s="380">
        <v>0</v>
      </c>
      <c r="E41" s="381">
        <v>0</v>
      </c>
      <c r="F41" s="381">
        <v>0</v>
      </c>
      <c r="G41" s="381">
        <v>0</v>
      </c>
      <c r="H41" s="381">
        <v>0</v>
      </c>
      <c r="I41" s="381">
        <v>0</v>
      </c>
      <c r="J41" s="381">
        <v>0</v>
      </c>
      <c r="K41" s="384">
        <v>0</v>
      </c>
    </row>
    <row r="42" spans="2:12">
      <c r="B42" s="199" t="s">
        <v>234</v>
      </c>
      <c r="C42" s="152" t="s">
        <v>128</v>
      </c>
      <c r="D42" s="686">
        <v>600.30181299000003</v>
      </c>
      <c r="E42" s="686">
        <v>605.36848412000018</v>
      </c>
      <c r="F42" s="686">
        <v>623.86603310999999</v>
      </c>
      <c r="G42" s="686">
        <v>654.22214197000005</v>
      </c>
      <c r="H42" s="686">
        <v>660.61190078000016</v>
      </c>
      <c r="I42" s="686">
        <v>744.15907211999991</v>
      </c>
      <c r="J42" s="686">
        <v>755.34040213000003</v>
      </c>
      <c r="K42" s="686">
        <v>857.74964323000006</v>
      </c>
    </row>
    <row r="43" spans="2:12">
      <c r="B43" s="370" t="s">
        <v>302</v>
      </c>
      <c r="C43" s="152" t="s">
        <v>128</v>
      </c>
      <c r="D43" s="687"/>
      <c r="E43" s="688"/>
      <c r="F43" s="688"/>
      <c r="G43" s="689"/>
      <c r="H43" s="689"/>
      <c r="I43" s="689"/>
      <c r="J43" s="689"/>
      <c r="K43" s="690"/>
    </row>
    <row r="44" spans="2:12">
      <c r="B44" s="346" t="s">
        <v>428</v>
      </c>
      <c r="C44" s="152" t="s">
        <v>128</v>
      </c>
      <c r="D44" s="95">
        <v>600.30181299000003</v>
      </c>
      <c r="E44" s="96">
        <v>605.36848412000018</v>
      </c>
      <c r="F44" s="96">
        <v>623.86603310999999</v>
      </c>
      <c r="G44" s="96">
        <v>654.22214197000005</v>
      </c>
      <c r="H44" s="96">
        <v>660.61190078000016</v>
      </c>
      <c r="I44" s="96">
        <v>744.15907211999991</v>
      </c>
      <c r="J44" s="96">
        <v>755.34040213000003</v>
      </c>
      <c r="K44" s="97">
        <v>857.74964323000006</v>
      </c>
    </row>
    <row r="45" spans="2:12">
      <c r="D45" s="226" t="s">
        <v>676</v>
      </c>
      <c r="E45" s="227" t="s">
        <v>676</v>
      </c>
      <c r="F45" s="227" t="s">
        <v>676</v>
      </c>
      <c r="G45" s="227" t="s">
        <v>676</v>
      </c>
      <c r="H45" s="227" t="s">
        <v>676</v>
      </c>
      <c r="I45" s="227" t="s">
        <v>676</v>
      </c>
      <c r="J45" s="227" t="s">
        <v>676</v>
      </c>
      <c r="K45" s="228" t="s">
        <v>676</v>
      </c>
    </row>
    <row r="47" spans="2:12">
      <c r="B47" s="790" t="s">
        <v>429</v>
      </c>
      <c r="C47" s="152" t="s">
        <v>128</v>
      </c>
      <c r="D47" s="805">
        <v>549.15068825999992</v>
      </c>
      <c r="E47" s="96">
        <v>600.30181299000003</v>
      </c>
      <c r="F47" s="96">
        <v>605.36848412000018</v>
      </c>
      <c r="G47" s="96">
        <v>623.86603310999999</v>
      </c>
      <c r="H47" s="96">
        <v>654.22214197000005</v>
      </c>
      <c r="I47" s="96">
        <v>660.61190078000016</v>
      </c>
      <c r="J47" s="96">
        <v>744.15907211999991</v>
      </c>
      <c r="K47" s="97">
        <v>755.34040213000003</v>
      </c>
      <c r="L47" s="789"/>
    </row>
    <row r="48" spans="2:12">
      <c r="B48" s="790" t="s">
        <v>430</v>
      </c>
      <c r="C48" s="152" t="s">
        <v>128</v>
      </c>
      <c r="D48" s="576">
        <v>600.30181299000003</v>
      </c>
      <c r="E48" s="577">
        <v>605.36848412000018</v>
      </c>
      <c r="F48" s="577">
        <v>623.86603310999999</v>
      </c>
      <c r="G48" s="577">
        <v>654.22214197000005</v>
      </c>
      <c r="H48" s="577">
        <v>660.61190078000016</v>
      </c>
      <c r="I48" s="577">
        <v>744.15907211999991</v>
      </c>
      <c r="J48" s="577">
        <v>755.34040213000003</v>
      </c>
      <c r="K48" s="804">
        <v>857.74964323000006</v>
      </c>
      <c r="L48" s="789"/>
    </row>
    <row r="49" spans="2:13">
      <c r="D49" s="23"/>
      <c r="E49" s="23"/>
      <c r="F49" s="23"/>
      <c r="G49" s="23"/>
      <c r="H49" s="23"/>
      <c r="I49" s="23"/>
      <c r="J49" s="23"/>
      <c r="K49" s="23"/>
    </row>
    <row r="50" spans="2:13">
      <c r="B50" s="14" t="s">
        <v>124</v>
      </c>
    </row>
    <row r="51" spans="2:13">
      <c r="B51" t="s">
        <v>125</v>
      </c>
      <c r="C51" s="480" t="s">
        <v>7</v>
      </c>
      <c r="D51" s="474">
        <v>0</v>
      </c>
      <c r="E51" s="475">
        <v>0</v>
      </c>
      <c r="F51" s="475">
        <v>0</v>
      </c>
      <c r="G51" s="475">
        <v>0</v>
      </c>
      <c r="H51" s="475">
        <v>0</v>
      </c>
      <c r="I51" s="475">
        <v>0</v>
      </c>
      <c r="J51" s="475">
        <v>0</v>
      </c>
      <c r="K51" s="476">
        <v>0</v>
      </c>
    </row>
    <row r="52" spans="2:13">
      <c r="B52" t="s">
        <v>126</v>
      </c>
      <c r="C52" s="480" t="s">
        <v>7</v>
      </c>
      <c r="D52" s="485">
        <v>1</v>
      </c>
      <c r="E52" s="486">
        <v>1</v>
      </c>
      <c r="F52" s="486">
        <v>1</v>
      </c>
      <c r="G52" s="486">
        <v>1</v>
      </c>
      <c r="H52" s="486">
        <v>1</v>
      </c>
      <c r="I52" s="486">
        <v>1</v>
      </c>
      <c r="J52" s="486">
        <v>1</v>
      </c>
      <c r="K52" s="487">
        <v>1</v>
      </c>
    </row>
    <row r="53" spans="2:13">
      <c r="C53" s="789"/>
      <c r="D53" s="789"/>
      <c r="E53" s="789"/>
      <c r="F53" s="789"/>
      <c r="G53" s="789"/>
      <c r="H53" s="789"/>
      <c r="I53" s="789"/>
      <c r="J53" s="789"/>
      <c r="K53" s="789"/>
      <c r="L53" s="789"/>
    </row>
    <row r="54" spans="2:13">
      <c r="B54" s="200" t="s">
        <v>452</v>
      </c>
      <c r="C54" s="266" t="s">
        <v>128</v>
      </c>
      <c r="D54" s="691">
        <v>574.72625062499992</v>
      </c>
      <c r="E54" s="692">
        <v>602.83514855500016</v>
      </c>
      <c r="F54" s="692">
        <v>614.61725861500008</v>
      </c>
      <c r="G54" s="692">
        <v>639.04408753999996</v>
      </c>
      <c r="H54" s="692">
        <v>657.4170213750001</v>
      </c>
      <c r="I54" s="692">
        <v>702.38548645000003</v>
      </c>
      <c r="J54" s="692">
        <v>749.74973712499991</v>
      </c>
      <c r="K54" s="693">
        <v>806.5450226800001</v>
      </c>
    </row>
    <row r="55" spans="2:13">
      <c r="B55" s="200" t="s">
        <v>268</v>
      </c>
      <c r="C55" s="152" t="s">
        <v>128</v>
      </c>
      <c r="D55" s="680">
        <v>332.47991526954127</v>
      </c>
      <c r="E55" s="681">
        <v>358.57896645242181</v>
      </c>
      <c r="F55" s="681">
        <v>401.36550059883245</v>
      </c>
      <c r="G55" s="681">
        <v>432.07067827139281</v>
      </c>
      <c r="H55" s="681">
        <v>474.2236549669999</v>
      </c>
      <c r="I55" s="681">
        <v>489.87083977817736</v>
      </c>
      <c r="J55" s="681">
        <v>557.14001054677851</v>
      </c>
      <c r="K55" s="682">
        <v>692.49107723723409</v>
      </c>
    </row>
    <row r="56" spans="2:13">
      <c r="B56" s="200" t="s">
        <v>500</v>
      </c>
      <c r="C56" s="152" t="s">
        <v>128</v>
      </c>
      <c r="D56" s="842">
        <v>907.20616589454119</v>
      </c>
      <c r="E56" s="842">
        <v>961.41411500742197</v>
      </c>
      <c r="F56" s="842">
        <v>1015.9827592138325</v>
      </c>
      <c r="G56" s="842">
        <v>1071.1147658113928</v>
      </c>
      <c r="H56" s="842">
        <v>1131.640676342</v>
      </c>
      <c r="I56" s="842">
        <v>1192.2563262281774</v>
      </c>
      <c r="J56" s="842">
        <v>1306.8897476717784</v>
      </c>
      <c r="K56" s="842">
        <v>1499.0360999172342</v>
      </c>
    </row>
    <row r="57" spans="2:13">
      <c r="B57" s="200" t="s">
        <v>235</v>
      </c>
      <c r="C57" s="152" t="s">
        <v>7</v>
      </c>
      <c r="D57" s="231">
        <v>0.6335122844522304</v>
      </c>
      <c r="E57" s="232">
        <v>0.62702964221650348</v>
      </c>
      <c r="F57" s="232">
        <v>0.60494851220761947</v>
      </c>
      <c r="G57" s="232">
        <v>0.59661588835992763</v>
      </c>
      <c r="H57" s="232">
        <v>0.58094149063294909</v>
      </c>
      <c r="I57" s="232">
        <v>0.58912288490182896</v>
      </c>
      <c r="J57" s="232">
        <v>0.57369012073181969</v>
      </c>
      <c r="K57" s="233">
        <v>0.53804242788051038</v>
      </c>
    </row>
    <row r="58" spans="2:13">
      <c r="B58" s="200" t="s">
        <v>115</v>
      </c>
      <c r="C58" s="152" t="s">
        <v>7</v>
      </c>
      <c r="D58" s="843">
        <v>0.65</v>
      </c>
      <c r="E58" s="844">
        <v>0.65</v>
      </c>
      <c r="F58" s="844">
        <v>0.65</v>
      </c>
      <c r="G58" s="844">
        <v>0.65</v>
      </c>
      <c r="H58" s="844">
        <v>0.65</v>
      </c>
      <c r="I58" s="844">
        <v>0.65</v>
      </c>
      <c r="J58" s="844">
        <v>0.65</v>
      </c>
      <c r="K58" s="845">
        <v>0.65</v>
      </c>
    </row>
    <row r="59" spans="2:13">
      <c r="B59" s="200" t="s">
        <v>236</v>
      </c>
      <c r="C59" s="152" t="s">
        <v>7</v>
      </c>
      <c r="D59" s="236">
        <v>-1.6487715547769621E-2</v>
      </c>
      <c r="E59" s="237">
        <v>-2.2970357783496542E-2</v>
      </c>
      <c r="F59" s="237">
        <v>-4.5051487792380551E-2</v>
      </c>
      <c r="G59" s="237">
        <v>-5.3384111640072396E-2</v>
      </c>
      <c r="H59" s="237">
        <v>-6.9058509367050935E-2</v>
      </c>
      <c r="I59" s="237">
        <v>-6.0877115098171064E-2</v>
      </c>
      <c r="J59" s="237">
        <v>-7.6309879268180336E-2</v>
      </c>
      <c r="K59" s="238">
        <v>-0.11195757211948965</v>
      </c>
    </row>
    <row r="61" spans="2:13">
      <c r="B61" s="200" t="s">
        <v>507</v>
      </c>
      <c r="C61" s="155" t="s">
        <v>159</v>
      </c>
      <c r="D61" s="846">
        <v>531.69457819558158</v>
      </c>
      <c r="E61" s="684">
        <v>544.8833665870776</v>
      </c>
      <c r="F61" s="684">
        <v>538.05389916915578</v>
      </c>
      <c r="G61" s="684">
        <v>543.25992893187151</v>
      </c>
      <c r="H61" s="684">
        <v>546.39490779021935</v>
      </c>
      <c r="I61" s="684">
        <v>572.42480598146324</v>
      </c>
      <c r="J61" s="684">
        <v>575.87834286010582</v>
      </c>
      <c r="K61" s="685">
        <v>557.37117599011435</v>
      </c>
      <c r="M61" s="322"/>
    </row>
    <row r="62" spans="2:13">
      <c r="B62" s="200" t="s">
        <v>505</v>
      </c>
      <c r="C62" s="155" t="s">
        <v>159</v>
      </c>
      <c r="D62" s="649">
        <v>307.58603442160546</v>
      </c>
      <c r="E62" s="650">
        <v>324.10803334252563</v>
      </c>
      <c r="F62" s="650">
        <v>351.36708180929594</v>
      </c>
      <c r="G62" s="650">
        <v>367.30906450420775</v>
      </c>
      <c r="H62" s="650">
        <v>394.13854798845045</v>
      </c>
      <c r="I62" s="650">
        <v>399.23122818677609</v>
      </c>
      <c r="J62" s="650">
        <v>427.93594999453626</v>
      </c>
      <c r="K62" s="651">
        <v>478.55303204259593</v>
      </c>
      <c r="M62" s="322"/>
    </row>
    <row r="63" spans="2:13">
      <c r="B63" s="200" t="s">
        <v>506</v>
      </c>
      <c r="C63" s="155" t="s">
        <v>159</v>
      </c>
      <c r="D63" s="841">
        <v>839.28061261718699</v>
      </c>
      <c r="E63" s="841">
        <v>868.99139992960329</v>
      </c>
      <c r="F63" s="841">
        <v>889.42098097845178</v>
      </c>
      <c r="G63" s="841">
        <v>910.56899343607927</v>
      </c>
      <c r="H63" s="841">
        <v>940.5334557786698</v>
      </c>
      <c r="I63" s="841">
        <v>971.65603416823933</v>
      </c>
      <c r="J63" s="841">
        <v>1003.8142928546421</v>
      </c>
      <c r="K63" s="841">
        <v>1035.9242080327103</v>
      </c>
    </row>
    <row r="64" spans="2:13">
      <c r="B64" s="200" t="s">
        <v>235</v>
      </c>
      <c r="C64" s="152" t="s">
        <v>7</v>
      </c>
      <c r="D64" s="231">
        <v>0.6335122844522304</v>
      </c>
      <c r="E64" s="232">
        <v>0.62702964221650348</v>
      </c>
      <c r="F64" s="232">
        <v>0.60494851220761947</v>
      </c>
      <c r="G64" s="232">
        <v>0.59661588835992763</v>
      </c>
      <c r="H64" s="232">
        <v>0.58094149063294909</v>
      </c>
      <c r="I64" s="232">
        <v>0.58912288490182896</v>
      </c>
      <c r="J64" s="232">
        <v>0.57369012073181969</v>
      </c>
      <c r="K64" s="233">
        <v>0.53804242788051038</v>
      </c>
    </row>
    <row r="65" spans="2:11">
      <c r="B65" s="200" t="s">
        <v>115</v>
      </c>
      <c r="C65" s="152" t="s">
        <v>7</v>
      </c>
      <c r="D65" s="843">
        <v>0.65</v>
      </c>
      <c r="E65" s="844">
        <v>0.65</v>
      </c>
      <c r="F65" s="844">
        <v>0.65</v>
      </c>
      <c r="G65" s="844">
        <v>0.65</v>
      </c>
      <c r="H65" s="844">
        <v>0.65</v>
      </c>
      <c r="I65" s="844">
        <v>0.65</v>
      </c>
      <c r="J65" s="844">
        <v>0.65</v>
      </c>
      <c r="K65" s="845">
        <v>0.65</v>
      </c>
    </row>
    <row r="66" spans="2:11">
      <c r="B66" s="200" t="s">
        <v>236</v>
      </c>
      <c r="C66" s="152" t="s">
        <v>7</v>
      </c>
      <c r="D66" s="236">
        <v>-1.6487715547769621E-2</v>
      </c>
      <c r="E66" s="237">
        <v>-2.2970357783496542E-2</v>
      </c>
      <c r="F66" s="237">
        <v>-4.5051487792380551E-2</v>
      </c>
      <c r="G66" s="237">
        <v>-5.3384111640072396E-2</v>
      </c>
      <c r="H66" s="237">
        <v>-6.9058509367050935E-2</v>
      </c>
      <c r="I66" s="237">
        <v>-6.0877115098171064E-2</v>
      </c>
      <c r="J66" s="237">
        <v>-7.6309879268180336E-2</v>
      </c>
      <c r="K66" s="238">
        <v>-0.11195757211948965</v>
      </c>
    </row>
  </sheetData>
  <conditionalFormatting sqref="D6:K6">
    <cfRule type="expression" dxfId="45" priority="18">
      <formula>AND(D$5="Actuals",E$5="Forecast")</formula>
    </cfRule>
  </conditionalFormatting>
  <conditionalFormatting sqref="D5:K5">
    <cfRule type="expression" dxfId="44"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AF76"/>
  <sheetViews>
    <sheetView showGridLines="0" zoomScale="60" zoomScaleNormal="60" workbookViewId="0">
      <pane ySplit="6" topLeftCell="A13" activePane="bottomLeft" state="frozen"/>
      <selection activeCell="I11" sqref="I11"/>
      <selection pane="bottomLeft" activeCell="E41" sqref="E41"/>
    </sheetView>
  </sheetViews>
  <sheetFormatPr defaultRowHeight="12.75"/>
  <cols>
    <col min="1" max="1" width="8.375" customWidth="1"/>
    <col min="2" max="2" width="100.125" customWidth="1"/>
    <col min="3" max="3" width="14.125" style="198" customWidth="1"/>
    <col min="4" max="11" width="11.125" customWidth="1"/>
    <col min="12" max="12" width="5" customWidth="1"/>
    <col min="14" max="14" width="9" style="213"/>
  </cols>
  <sheetData>
    <row r="1" spans="1:20" s="31" customFormat="1" ht="20.25">
      <c r="A1" s="875" t="s">
        <v>120</v>
      </c>
      <c r="B1" s="904"/>
      <c r="C1" s="397"/>
      <c r="D1" s="120"/>
      <c r="E1" s="120"/>
      <c r="F1" s="120"/>
      <c r="G1" s="120"/>
      <c r="H1" s="120"/>
      <c r="I1" s="126"/>
      <c r="J1" s="126"/>
      <c r="K1" s="127"/>
      <c r="L1" s="363"/>
      <c r="N1" s="212"/>
    </row>
    <row r="2" spans="1:20" s="31" customFormat="1" ht="20.25">
      <c r="A2" s="878" t="str">
        <f>'RFPR cover'!C5</f>
        <v>NGED-SWALES</v>
      </c>
      <c r="B2" s="870"/>
      <c r="C2" s="221"/>
      <c r="D2" s="29"/>
      <c r="E2" s="29"/>
      <c r="F2" s="29"/>
      <c r="G2" s="29"/>
      <c r="H2" s="29"/>
      <c r="I2" s="27"/>
      <c r="J2" s="27"/>
      <c r="K2" s="27"/>
      <c r="L2" s="123"/>
      <c r="N2" s="212"/>
    </row>
    <row r="3" spans="1:20" s="31" customFormat="1" ht="20.25">
      <c r="A3" s="881">
        <f>'RFPR cover'!C7</f>
        <v>2023</v>
      </c>
      <c r="B3" s="888"/>
      <c r="C3" s="398"/>
      <c r="D3" s="260"/>
      <c r="E3" s="260"/>
      <c r="F3" s="260"/>
      <c r="G3" s="260"/>
      <c r="H3" s="260"/>
      <c r="I3" s="255"/>
      <c r="J3" s="255"/>
      <c r="K3" s="255"/>
      <c r="L3" s="261"/>
      <c r="N3" s="212"/>
    </row>
    <row r="4" spans="1:20" s="2" customFormat="1" ht="12.75" customHeight="1">
      <c r="C4" s="1"/>
      <c r="N4" s="129"/>
    </row>
    <row r="5" spans="1:20" s="2" customFormat="1">
      <c r="B5" s="38"/>
      <c r="C5" s="222"/>
      <c r="D5" s="390" t="str">
        <f>IF(D6&lt;='RFPR cover'!$C$7-1,"Actuals","Forecast")</f>
        <v>Actuals</v>
      </c>
      <c r="E5" s="390" t="str">
        <f>IF(E6&lt;='RFPR cover'!$C$7-1,"Actuals","Forecast")</f>
        <v>Actuals</v>
      </c>
      <c r="F5" s="390" t="str">
        <f>IF(F6&lt;='RFPR cover'!$C$7-1,"Actuals","Forecast")</f>
        <v>Actuals</v>
      </c>
      <c r="G5" s="390" t="str">
        <f>IF(G6&lt;='RFPR cover'!$C$7-1,"Actuals","Forecast")</f>
        <v>Actuals</v>
      </c>
      <c r="H5" s="390" t="str">
        <f>IF(H6&lt;='RFPR cover'!$C$7-1,"Actuals","Forecast")</f>
        <v>Actuals</v>
      </c>
      <c r="I5" s="390" t="str">
        <f>IF(I6&lt;='RFPR cover'!$C$7-1,"Actuals","Forecast")</f>
        <v>Actuals</v>
      </c>
      <c r="J5" s="390" t="str">
        <f>IF(J6&lt;='RFPR cover'!$C$7-1,"Actuals","Forecast")</f>
        <v>Actuals</v>
      </c>
      <c r="K5" s="390" t="str">
        <f>IF(K6&lt;='RFPR cover'!$C$7-1,"Actuals","Forecast")</f>
        <v>Forecast</v>
      </c>
      <c r="N5" s="129"/>
    </row>
    <row r="6" spans="1:20" s="2" customFormat="1">
      <c r="C6" s="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N6" s="129"/>
    </row>
    <row r="7" spans="1:20" s="2" customFormat="1">
      <c r="A7" s="35"/>
      <c r="B7" s="35"/>
      <c r="C7" s="320"/>
      <c r="D7" s="429"/>
      <c r="E7" s="429"/>
      <c r="F7" s="429"/>
      <c r="G7" s="429"/>
      <c r="H7" s="429"/>
      <c r="I7" s="429"/>
      <c r="J7" s="429"/>
      <c r="K7" s="429"/>
      <c r="L7" s="35"/>
      <c r="M7" s="35"/>
      <c r="N7" s="225"/>
    </row>
    <row r="8" spans="1:20" s="2" customFormat="1">
      <c r="B8" s="12" t="s">
        <v>319</v>
      </c>
      <c r="N8" s="129"/>
    </row>
    <row r="9" spans="1:20" s="2" customFormat="1">
      <c r="B9" s="368" t="s">
        <v>318</v>
      </c>
      <c r="C9" s="368"/>
      <c r="D9" s="368"/>
      <c r="E9" s="368"/>
      <c r="F9" s="368"/>
      <c r="G9" s="368"/>
      <c r="H9" s="368"/>
      <c r="I9" s="368"/>
      <c r="J9" s="368"/>
      <c r="K9" s="368"/>
      <c r="L9" s="368"/>
      <c r="N9" s="129"/>
    </row>
    <row r="10" spans="1:20" s="35" customFormat="1">
      <c r="B10" s="428"/>
      <c r="C10" s="428"/>
      <c r="D10" s="428"/>
      <c r="E10" s="428"/>
      <c r="F10" s="428"/>
      <c r="G10" s="428"/>
      <c r="H10" s="428"/>
      <c r="I10" s="428"/>
      <c r="J10" s="428"/>
      <c r="K10" s="428"/>
      <c r="L10" s="428"/>
      <c r="M10" s="2"/>
      <c r="N10" s="225"/>
    </row>
    <row r="11" spans="1:20" s="2" customFormat="1">
      <c r="B11" s="200" t="s">
        <v>317</v>
      </c>
      <c r="C11" s="210" t="str">
        <f>'RFPR cover'!$C$14</f>
        <v>£m 12/13</v>
      </c>
      <c r="D11" s="694">
        <v>870.2564839767798</v>
      </c>
      <c r="E11" s="694">
        <v>900.58711146489429</v>
      </c>
      <c r="F11" s="694">
        <v>928.79681945741584</v>
      </c>
      <c r="G11" s="694">
        <v>964.23292181320971</v>
      </c>
      <c r="H11" s="694">
        <v>992.21397046446396</v>
      </c>
      <c r="I11" s="694">
        <v>1018.8284689596085</v>
      </c>
      <c r="J11" s="694">
        <v>1042.2970513803043</v>
      </c>
      <c r="K11" s="694">
        <v>1070.583980159561</v>
      </c>
      <c r="N11" s="225"/>
      <c r="O11" s="35"/>
      <c r="P11" s="35"/>
      <c r="Q11" s="35"/>
      <c r="R11" s="35"/>
      <c r="S11" s="35"/>
      <c r="T11" s="35"/>
    </row>
    <row r="12" spans="1:20" s="2" customFormat="1">
      <c r="N12" s="225"/>
      <c r="O12" s="35"/>
      <c r="P12" s="35"/>
      <c r="Q12" s="35"/>
      <c r="R12" s="35"/>
      <c r="S12" s="35"/>
      <c r="T12" s="35"/>
    </row>
    <row r="13" spans="1:20" s="2" customFormat="1">
      <c r="B13" s="12" t="s">
        <v>320</v>
      </c>
      <c r="C13" s="1"/>
      <c r="D13" s="1"/>
      <c r="E13" s="1"/>
      <c r="F13" s="1"/>
      <c r="G13" s="1"/>
      <c r="H13" s="1"/>
      <c r="I13" s="1"/>
      <c r="J13" s="1"/>
      <c r="K13" s="1"/>
      <c r="N13" s="225"/>
      <c r="O13" s="35"/>
      <c r="P13" s="35"/>
      <c r="Q13" s="35"/>
      <c r="R13" s="35"/>
      <c r="S13" s="35"/>
      <c r="T13" s="35"/>
    </row>
    <row r="14" spans="1:20" s="2" customFormat="1">
      <c r="B14" s="368" t="s">
        <v>341</v>
      </c>
      <c r="C14" s="321"/>
      <c r="D14" s="321"/>
      <c r="E14" s="321"/>
      <c r="F14" s="321"/>
      <c r="G14" s="321"/>
      <c r="H14" s="321"/>
      <c r="I14" s="321"/>
      <c r="J14" s="321"/>
      <c r="K14" s="321"/>
      <c r="L14" s="293"/>
      <c r="N14" s="129"/>
    </row>
    <row r="15" spans="1:20" s="35" customFormat="1">
      <c r="B15" s="428"/>
      <c r="C15" s="320"/>
      <c r="D15" s="320"/>
      <c r="E15" s="320"/>
      <c r="F15" s="320"/>
      <c r="G15" s="320"/>
      <c r="H15" s="320"/>
      <c r="I15" s="320"/>
      <c r="J15" s="320"/>
      <c r="K15" s="320"/>
      <c r="M15" s="2"/>
      <c r="N15" s="225"/>
    </row>
    <row r="16" spans="1:20" s="2" customFormat="1">
      <c r="B16" s="392" t="s">
        <v>321</v>
      </c>
      <c r="C16" s="210" t="str">
        <f>'RFPR cover'!$C$14</f>
        <v>£m 12/13</v>
      </c>
      <c r="D16" s="580">
        <v>840.95061479930121</v>
      </c>
      <c r="E16" s="695">
        <f>D29</f>
        <v>870.2564839767798</v>
      </c>
      <c r="F16" s="695">
        <f t="shared" ref="F16:K16" si="1">E29</f>
        <v>900.58711146489429</v>
      </c>
      <c r="G16" s="695">
        <f t="shared" si="1"/>
        <v>910.60097663562988</v>
      </c>
      <c r="H16" s="695">
        <f t="shared" si="1"/>
        <v>942.23735624791345</v>
      </c>
      <c r="I16" s="695">
        <f t="shared" si="1"/>
        <v>969.50111688138509</v>
      </c>
      <c r="J16" s="695">
        <f t="shared" si="1"/>
        <v>1002.5237673587469</v>
      </c>
      <c r="K16" s="583">
        <f t="shared" si="1"/>
        <v>1032.5843840842408</v>
      </c>
      <c r="N16" s="129"/>
    </row>
    <row r="17" spans="2:32" s="2" customFormat="1">
      <c r="B17" s="392" t="s">
        <v>322</v>
      </c>
      <c r="C17" s="210" t="str">
        <f>'RFPR cover'!$C$14</f>
        <v>£m 12/13</v>
      </c>
      <c r="D17" s="588"/>
      <c r="E17" s="589"/>
      <c r="F17" s="589"/>
      <c r="G17" s="589"/>
      <c r="H17" s="589"/>
      <c r="I17" s="589"/>
      <c r="J17" s="589"/>
      <c r="K17" s="665"/>
      <c r="N17" s="129"/>
      <c r="Y17" s="958"/>
      <c r="Z17" s="958"/>
      <c r="AA17" s="958"/>
      <c r="AB17" s="958"/>
      <c r="AC17" s="958"/>
      <c r="AD17" s="958"/>
      <c r="AE17" s="958"/>
      <c r="AF17" s="958"/>
    </row>
    <row r="18" spans="2:32" s="2" customFormat="1">
      <c r="B18" s="12" t="s">
        <v>323</v>
      </c>
      <c r="C18" s="210" t="str">
        <f>'RFPR cover'!$C$14</f>
        <v>£m 12/13</v>
      </c>
      <c r="D18" s="696">
        <f>SUM(D16:D17)</f>
        <v>840.95061479930121</v>
      </c>
      <c r="E18" s="697">
        <f t="shared" ref="E18:K18" si="2">SUM(E16:E17)</f>
        <v>870.2564839767798</v>
      </c>
      <c r="F18" s="697">
        <f t="shared" si="2"/>
        <v>900.58711146489429</v>
      </c>
      <c r="G18" s="697">
        <f t="shared" si="2"/>
        <v>910.60097663562988</v>
      </c>
      <c r="H18" s="697">
        <f t="shared" si="2"/>
        <v>942.23735624791345</v>
      </c>
      <c r="I18" s="697">
        <f t="shared" si="2"/>
        <v>969.50111688138509</v>
      </c>
      <c r="J18" s="697">
        <f t="shared" si="2"/>
        <v>1002.5237673587469</v>
      </c>
      <c r="K18" s="698">
        <f t="shared" si="2"/>
        <v>1032.5843840842408</v>
      </c>
      <c r="N18" s="129"/>
    </row>
    <row r="19" spans="2:32" s="2" customFormat="1">
      <c r="B19" s="394" t="s">
        <v>324</v>
      </c>
      <c r="C19" s="210" t="str">
        <f>'RFPR cover'!$C$14</f>
        <v>£m 12/13</v>
      </c>
      <c r="D19" s="584">
        <v>114.41728908039759</v>
      </c>
      <c r="E19" s="584">
        <v>116.43023922351342</v>
      </c>
      <c r="F19" s="584">
        <v>107.96253856503061</v>
      </c>
      <c r="G19" s="584">
        <v>114.3038000133794</v>
      </c>
      <c r="H19" s="584">
        <v>105.35300553473601</v>
      </c>
      <c r="I19" s="584">
        <v>102.93282532091858</v>
      </c>
      <c r="J19" s="584">
        <v>99.038793042786821</v>
      </c>
      <c r="K19" s="584">
        <v>101.09398466552746</v>
      </c>
      <c r="M19" s="323"/>
      <c r="N19" s="129"/>
    </row>
    <row r="20" spans="2:32" s="2" customFormat="1">
      <c r="B20" s="394" t="s">
        <v>331</v>
      </c>
      <c r="C20" s="210" t="str">
        <f>'RFPR cover'!$C$14</f>
        <v>£m 12/13</v>
      </c>
      <c r="D20" s="588">
        <v>0</v>
      </c>
      <c r="E20" s="588">
        <v>0</v>
      </c>
      <c r="F20" s="588">
        <v>-18.195842821786002</v>
      </c>
      <c r="G20" s="588">
        <v>-3.1802897963858014</v>
      </c>
      <c r="H20" s="588">
        <v>0</v>
      </c>
      <c r="I20" s="588">
        <v>7.1254399999999993</v>
      </c>
      <c r="J20" s="588">
        <v>7.1254399999999993</v>
      </c>
      <c r="K20" s="588">
        <v>6.639134462452164</v>
      </c>
      <c r="M20" s="323"/>
      <c r="N20" s="129"/>
    </row>
    <row r="21" spans="2:32" s="2" customFormat="1">
      <c r="B21" s="393" t="s">
        <v>327</v>
      </c>
      <c r="C21" s="210" t="str">
        <f>'RFPR cover'!$C$14</f>
        <v>£m 12/13</v>
      </c>
      <c r="D21" s="696">
        <f t="shared" ref="D21:J21" si="3">SUM(D19:D20)</f>
        <v>114.41728908039759</v>
      </c>
      <c r="E21" s="697">
        <f t="shared" si="3"/>
        <v>116.43023922351342</v>
      </c>
      <c r="F21" s="697">
        <f t="shared" si="3"/>
        <v>89.766695743244611</v>
      </c>
      <c r="G21" s="697">
        <f t="shared" si="3"/>
        <v>111.12351021699359</v>
      </c>
      <c r="H21" s="697">
        <f t="shared" si="3"/>
        <v>105.35300553473601</v>
      </c>
      <c r="I21" s="697">
        <f t="shared" si="3"/>
        <v>110.05826532091858</v>
      </c>
      <c r="J21" s="697">
        <f t="shared" si="3"/>
        <v>106.16423304278682</v>
      </c>
      <c r="K21" s="698">
        <f t="shared" ref="K21" si="4">SUM(K19:K20)</f>
        <v>107.73311912797962</v>
      </c>
      <c r="M21" s="323"/>
      <c r="N21" s="129"/>
    </row>
    <row r="22" spans="2:32" s="2" customFormat="1">
      <c r="B22" s="394" t="s">
        <v>325</v>
      </c>
      <c r="C22" s="210" t="str">
        <f>'RFPR cover'!$C$14</f>
        <v>£m 12/13</v>
      </c>
      <c r="D22" s="584">
        <v>-85.111419902918968</v>
      </c>
      <c r="E22" s="584">
        <v>-86.099611735399023</v>
      </c>
      <c r="F22" s="584">
        <v>-79.752830572509112</v>
      </c>
      <c r="G22" s="584">
        <v>-78.867697657585438</v>
      </c>
      <c r="H22" s="584">
        <v>-77.371956883481786</v>
      </c>
      <c r="I22" s="584">
        <v>-76.318326825773994</v>
      </c>
      <c r="J22" s="584">
        <v>-75.570210622090983</v>
      </c>
      <c r="K22" s="584">
        <v>-74.776176659581751</v>
      </c>
      <c r="M22" s="323"/>
      <c r="N22" s="129"/>
      <c r="AC22" s="959"/>
    </row>
    <row r="23" spans="2:32" s="2" customFormat="1">
      <c r="B23" s="394" t="s">
        <v>326</v>
      </c>
      <c r="C23" s="210" t="str">
        <f>'RFPR cover'!$C$14</f>
        <v>£m 12/13</v>
      </c>
      <c r="D23" s="588">
        <v>0</v>
      </c>
      <c r="E23" s="588">
        <v>0</v>
      </c>
      <c r="F23" s="588">
        <v>0</v>
      </c>
      <c r="G23" s="588">
        <v>-0.61943294712462982</v>
      </c>
      <c r="H23" s="588">
        <v>-0.7172880177826545</v>
      </c>
      <c r="I23" s="588">
        <v>-0.7172880177826545</v>
      </c>
      <c r="J23" s="588">
        <v>-0.53340569520200931</v>
      </c>
      <c r="K23" s="588">
        <v>-0.36324593400797944</v>
      </c>
      <c r="M23" s="323"/>
      <c r="N23" s="129"/>
      <c r="Y23" s="960"/>
      <c r="Z23" s="960"/>
      <c r="AA23" s="960"/>
      <c r="AB23" s="960"/>
      <c r="AC23" s="960"/>
      <c r="AD23" s="960"/>
      <c r="AE23" s="960"/>
      <c r="AF23" s="960"/>
    </row>
    <row r="24" spans="2:32" s="2" customFormat="1">
      <c r="B24" s="393" t="s">
        <v>328</v>
      </c>
      <c r="C24" s="210" t="str">
        <f>'RFPR cover'!$C$14</f>
        <v>£m 12/13</v>
      </c>
      <c r="D24" s="696">
        <f t="shared" ref="D24:K24" si="5">SUM(D22:D23)</f>
        <v>-85.111419902918968</v>
      </c>
      <c r="E24" s="697">
        <f t="shared" si="5"/>
        <v>-86.099611735399023</v>
      </c>
      <c r="F24" s="697">
        <f t="shared" si="5"/>
        <v>-79.752830572509112</v>
      </c>
      <c r="G24" s="697">
        <f t="shared" si="5"/>
        <v>-79.487130604710075</v>
      </c>
      <c r="H24" s="697">
        <f t="shared" si="5"/>
        <v>-78.089244901264436</v>
      </c>
      <c r="I24" s="697">
        <f t="shared" si="5"/>
        <v>-77.035614843556644</v>
      </c>
      <c r="J24" s="697">
        <f t="shared" si="5"/>
        <v>-76.103616317292989</v>
      </c>
      <c r="K24" s="698">
        <f t="shared" si="5"/>
        <v>-75.139422593589728</v>
      </c>
      <c r="M24" s="323"/>
      <c r="N24" s="129"/>
    </row>
    <row r="25" spans="2:32" s="2" customFormat="1">
      <c r="B25" s="395" t="s">
        <v>264</v>
      </c>
      <c r="C25" s="210" t="str">
        <f>'RFPR cover'!$C$14</f>
        <v>£m 12/13</v>
      </c>
      <c r="D25" s="699"/>
      <c r="E25" s="700"/>
      <c r="F25" s="700"/>
      <c r="G25" s="700"/>
      <c r="H25" s="700"/>
      <c r="I25" s="700"/>
      <c r="J25" s="700"/>
      <c r="K25" s="701"/>
      <c r="N25" s="129"/>
      <c r="Y25" s="961"/>
      <c r="Z25" s="961"/>
      <c r="AA25" s="961"/>
      <c r="AB25" s="961"/>
      <c r="AC25" s="961"/>
      <c r="AD25" s="961"/>
      <c r="AE25" s="961"/>
      <c r="AF25" s="961"/>
    </row>
    <row r="26" spans="2:32" s="2" customFormat="1">
      <c r="B26" s="395" t="s">
        <v>264</v>
      </c>
      <c r="C26" s="210" t="str">
        <f>'RFPR cover'!$C$14</f>
        <v>£m 12/13</v>
      </c>
      <c r="D26" s="699"/>
      <c r="E26" s="700"/>
      <c r="F26" s="700"/>
      <c r="G26" s="700"/>
      <c r="H26" s="700"/>
      <c r="I26" s="700"/>
      <c r="J26" s="700"/>
      <c r="K26" s="701"/>
      <c r="N26" s="129"/>
    </row>
    <row r="27" spans="2:32" s="2" customFormat="1">
      <c r="B27" s="395" t="s">
        <v>264</v>
      </c>
      <c r="C27" s="210" t="str">
        <f>'RFPR cover'!$C$14</f>
        <v>£m 12/13</v>
      </c>
      <c r="D27" s="699"/>
      <c r="E27" s="700"/>
      <c r="F27" s="700"/>
      <c r="G27" s="700"/>
      <c r="H27" s="700"/>
      <c r="I27" s="700"/>
      <c r="J27" s="700"/>
      <c r="K27" s="701"/>
      <c r="N27" s="129"/>
    </row>
    <row r="28" spans="2:32" s="2" customFormat="1">
      <c r="B28" s="393" t="s">
        <v>329</v>
      </c>
      <c r="C28" s="210" t="str">
        <f>'RFPR cover'!$C$14</f>
        <v>£m 12/13</v>
      </c>
      <c r="D28" s="702">
        <f>SUM(D25:D27)</f>
        <v>0</v>
      </c>
      <c r="E28" s="703">
        <f t="shared" ref="E28:K28" si="6">SUM(E25:E27)</f>
        <v>0</v>
      </c>
      <c r="F28" s="703">
        <f t="shared" si="6"/>
        <v>0</v>
      </c>
      <c r="G28" s="703">
        <f t="shared" si="6"/>
        <v>0</v>
      </c>
      <c r="H28" s="703">
        <f t="shared" si="6"/>
        <v>0</v>
      </c>
      <c r="I28" s="703">
        <f t="shared" si="6"/>
        <v>0</v>
      </c>
      <c r="J28" s="703">
        <f t="shared" si="6"/>
        <v>0</v>
      </c>
      <c r="K28" s="704">
        <f t="shared" si="6"/>
        <v>0</v>
      </c>
      <c r="N28" s="129"/>
    </row>
    <row r="29" spans="2:32" s="2" customFormat="1">
      <c r="B29" s="12" t="s">
        <v>330</v>
      </c>
      <c r="C29" s="210" t="str">
        <f>'RFPR cover'!$C$14</f>
        <v>£m 12/13</v>
      </c>
      <c r="D29" s="705">
        <f>D18+D21+D24+D28</f>
        <v>870.2564839767798</v>
      </c>
      <c r="E29" s="706">
        <f t="shared" ref="E29:K29" si="7">E18+E21+E24+E28</f>
        <v>900.58711146489429</v>
      </c>
      <c r="F29" s="706">
        <f t="shared" si="7"/>
        <v>910.60097663562988</v>
      </c>
      <c r="G29" s="706">
        <f t="shared" si="7"/>
        <v>942.23735624791345</v>
      </c>
      <c r="H29" s="706">
        <f t="shared" si="7"/>
        <v>969.50111688138509</v>
      </c>
      <c r="I29" s="706">
        <f t="shared" si="7"/>
        <v>1002.5237673587469</v>
      </c>
      <c r="J29" s="706">
        <f t="shared" si="7"/>
        <v>1032.5843840842408</v>
      </c>
      <c r="K29" s="707">
        <f t="shared" si="7"/>
        <v>1065.1780806186307</v>
      </c>
      <c r="N29" s="129"/>
    </row>
    <row r="30" spans="2:32" s="2" customFormat="1">
      <c r="B30" s="12"/>
      <c r="C30" s="210"/>
      <c r="D30" s="210"/>
      <c r="E30" s="210"/>
      <c r="F30" s="210"/>
      <c r="G30" s="210"/>
      <c r="H30" s="210"/>
      <c r="I30" s="210"/>
      <c r="J30" s="210"/>
      <c r="K30" s="210"/>
      <c r="L30" s="210"/>
      <c r="N30" s="129"/>
    </row>
    <row r="31" spans="2:32" s="2" customFormat="1">
      <c r="B31" s="12" t="s">
        <v>503</v>
      </c>
      <c r="C31" s="210" t="str">
        <f>'RFPR cover'!$C$14</f>
        <v>£m 12/13</v>
      </c>
      <c r="D31" s="705">
        <f t="shared" ref="D31:K31" si="8">(D20+D23+D28)</f>
        <v>0</v>
      </c>
      <c r="E31" s="705">
        <f t="shared" si="8"/>
        <v>0</v>
      </c>
      <c r="F31" s="705">
        <f t="shared" si="8"/>
        <v>-18.195842821786002</v>
      </c>
      <c r="G31" s="705">
        <f t="shared" si="8"/>
        <v>-3.799722743510431</v>
      </c>
      <c r="H31" s="705">
        <f t="shared" si="8"/>
        <v>-0.7172880177826545</v>
      </c>
      <c r="I31" s="705">
        <f t="shared" si="8"/>
        <v>6.4081519822173449</v>
      </c>
      <c r="J31" s="705">
        <f t="shared" si="8"/>
        <v>6.5920343047979904</v>
      </c>
      <c r="K31" s="705">
        <f t="shared" si="8"/>
        <v>6.2758885284441845</v>
      </c>
      <c r="L31" s="210"/>
      <c r="N31" s="129"/>
    </row>
    <row r="32" spans="2:32" s="2" customFormat="1">
      <c r="B32" s="12" t="s">
        <v>504</v>
      </c>
      <c r="C32" s="210"/>
      <c r="D32" s="513" t="str">
        <f>IF(D5="Actuals",IF(ABS((D29-SUM($D$31:D31))-D11)&lt;'RFPR cover'!$F$14,"TRUE","FALSE"),"NA")</f>
        <v>TRUE</v>
      </c>
      <c r="E32" s="513" t="str">
        <f>IF(E5="Actuals",IF(ABS((E29-SUM($D$31:E31))-E11)&lt;'RFPR cover'!$F$14,"TRUE","FALSE"),"NA")</f>
        <v>TRUE</v>
      </c>
      <c r="F32" s="513" t="str">
        <f>IF(F5="Actuals",IF(ABS((F29-SUM($D$31:F31))-F11)&lt;'RFPR cover'!$F$14,"TRUE","FALSE"),"NA")</f>
        <v>TRUE</v>
      </c>
      <c r="G32" s="513" t="str">
        <f>IF(G5="Actuals",IF(ABS((G29-SUM($D$31:G31))-G11)&lt;'RFPR cover'!$F$14,"TRUE","FALSE"),"NA")</f>
        <v>TRUE</v>
      </c>
      <c r="H32" s="513" t="str">
        <f>IF(H5="Actuals",IF(ABS((H29-SUM($D$31:H31))-H11)&lt;'RFPR cover'!$F$14,"TRUE","FALSE"),"NA")</f>
        <v>TRUE</v>
      </c>
      <c r="I32" s="513" t="str">
        <f>IF(I5="Actuals",IF(ABS((I29-SUM($D$31:I31))-I11)&lt;'RFPR cover'!$F$14,"TRUE","FALSE"),"NA")</f>
        <v>TRUE</v>
      </c>
      <c r="J32" s="513" t="str">
        <f>IF(J5="Actuals",IF(ABS((J29-SUM($D$31:J31))-J11)&lt;'RFPR cover'!$F$14,"TRUE","FALSE"),"NA")</f>
        <v>TRUE</v>
      </c>
      <c r="K32" s="513" t="str">
        <f>IF(K5="Actuals",IF(ABS((K29-SUM($D$31:K31))-K11)&lt;'RFPR cover'!$F$14,"TRUE","FALSE"),"NA")</f>
        <v>NA</v>
      </c>
      <c r="L32" s="210"/>
      <c r="N32" s="129"/>
    </row>
    <row r="33" spans="2:14" s="35" customFormat="1">
      <c r="B33" s="51"/>
      <c r="C33" s="477"/>
      <c r="D33" s="478"/>
      <c r="E33" s="478"/>
      <c r="F33" s="478"/>
      <c r="G33" s="478"/>
      <c r="H33" s="478"/>
      <c r="I33" s="478"/>
      <c r="J33" s="478"/>
      <c r="K33" s="478"/>
      <c r="N33" s="225"/>
    </row>
    <row r="34" spans="2:14" s="35" customFormat="1">
      <c r="B34" s="51" t="s">
        <v>42</v>
      </c>
      <c r="C34" s="267" t="s">
        <v>127</v>
      </c>
      <c r="D34" s="112">
        <f>Data!C$35</f>
        <v>1.0677429242873198</v>
      </c>
      <c r="E34" s="112">
        <f>Data!D$35</f>
        <v>1.1033002963114336</v>
      </c>
      <c r="F34" s="112">
        <f>Data!E$35</f>
        <v>1.1402881373250229</v>
      </c>
      <c r="G34" s="112">
        <f>Data!F$35</f>
        <v>1.171554102380709</v>
      </c>
      <c r="H34" s="112">
        <f>Data!G$35</f>
        <v>1.1958720752017984</v>
      </c>
      <c r="I34" s="112">
        <f>Data!H$35</f>
        <v>1.2220292224379279</v>
      </c>
      <c r="J34" s="112">
        <f>Data!I$35</f>
        <v>1.3448452028200675</v>
      </c>
      <c r="K34" s="112">
        <f>Data!J$35</f>
        <v>1.5109267395524675</v>
      </c>
      <c r="N34" s="225"/>
    </row>
    <row r="35" spans="2:14" s="31" customFormat="1">
      <c r="B35" s="37" t="s">
        <v>368</v>
      </c>
      <c r="C35" s="267" t="s">
        <v>127</v>
      </c>
      <c r="D35" s="112">
        <f>Data!C$34</f>
        <v>1.0603167467048125</v>
      </c>
      <c r="E35" s="113">
        <f>Data!D$34</f>
        <v>1.0830366813119445</v>
      </c>
      <c r="F35" s="113">
        <f>Data!E$34</f>
        <v>1.1235639113109226</v>
      </c>
      <c r="G35" s="113">
        <f>Data!F$34</f>
        <v>1.1578951670583426</v>
      </c>
      <c r="H35" s="113">
        <f>Data!G$34</f>
        <v>1.1878696229692449</v>
      </c>
      <c r="I35" s="113">
        <f>Data!H$34</f>
        <v>1.2022764892203943</v>
      </c>
      <c r="J35" s="113">
        <f>Data!I$34</f>
        <v>1.2717196280780627</v>
      </c>
      <c r="K35" s="114">
        <f>Data!J$34</f>
        <v>1.4354429345049555</v>
      </c>
      <c r="L35" s="234"/>
      <c r="N35" s="212"/>
    </row>
    <row r="36" spans="2:14" s="31" customFormat="1">
      <c r="B36" s="171" t="s">
        <v>501</v>
      </c>
      <c r="C36" s="267" t="s">
        <v>127</v>
      </c>
      <c r="D36" s="837">
        <f>INDEX(Data!$F$14:$F$30,MATCH($D$6-1,Data!$C$14:$C$30,0),0)/IF('RFPR cover'!$C$6="ED1",Data!$E$17,Data!$E$14)</f>
        <v>1.0526208235414325</v>
      </c>
      <c r="E36" s="838"/>
      <c r="F36" s="838"/>
      <c r="G36" s="838"/>
      <c r="H36" s="838"/>
      <c r="I36" s="838"/>
      <c r="J36" s="838"/>
      <c r="K36" s="838"/>
      <c r="L36" s="234"/>
      <c r="N36" s="212"/>
    </row>
    <row r="37" spans="2:14" s="35" customFormat="1">
      <c r="B37" s="51"/>
      <c r="C37" s="477"/>
      <c r="D37" s="478"/>
      <c r="E37" s="478"/>
      <c r="F37" s="478"/>
      <c r="G37" s="478"/>
      <c r="H37" s="478"/>
      <c r="I37" s="478"/>
      <c r="J37" s="478"/>
      <c r="K37" s="478"/>
      <c r="N37" s="225"/>
    </row>
    <row r="38" spans="2:14" s="2" customFormat="1">
      <c r="B38" s="12" t="s">
        <v>330</v>
      </c>
      <c r="C38" s="266" t="s">
        <v>128</v>
      </c>
      <c r="D38" s="705">
        <f t="shared" ref="D38:K38" si="9">D29*D34</f>
        <v>929.21020308136792</v>
      </c>
      <c r="E38" s="705">
        <f t="shared" si="9"/>
        <v>993.6180269334759</v>
      </c>
      <c r="F38" s="705">
        <f t="shared" si="9"/>
        <v>1038.3474914941892</v>
      </c>
      <c r="G38" s="705">
        <f t="shared" si="9"/>
        <v>1103.8820401285966</v>
      </c>
      <c r="H38" s="705">
        <f t="shared" si="9"/>
        <v>1159.3993125554032</v>
      </c>
      <c r="I38" s="705">
        <f t="shared" si="9"/>
        <v>1225.1133399009516</v>
      </c>
      <c r="J38" s="705">
        <f t="shared" si="9"/>
        <v>1388.6661554426053</v>
      </c>
      <c r="K38" s="705">
        <f t="shared" si="9"/>
        <v>1609.4060443918631</v>
      </c>
      <c r="N38" s="129"/>
    </row>
    <row r="39" spans="2:14" s="2" customFormat="1">
      <c r="B39" s="12"/>
      <c r="C39" s="210"/>
      <c r="D39" s="210"/>
      <c r="E39" s="210"/>
      <c r="F39" s="210"/>
      <c r="G39" s="210"/>
      <c r="H39" s="210"/>
      <c r="I39" s="210"/>
      <c r="J39" s="210"/>
      <c r="K39" s="210"/>
      <c r="N39" s="129"/>
    </row>
    <row r="40" spans="2:14" s="2" customFormat="1">
      <c r="B40" s="504" t="s">
        <v>332</v>
      </c>
      <c r="C40" s="210" t="s">
        <v>335</v>
      </c>
      <c r="D40" s="408">
        <f>INDEX(Data!$K$73:$T$100,MATCH('RFPR cover'!$C$5,Data!$B$73:$B$100,0),MATCH('R9 - RAV'!D$6,Data!$K$72:$T$72,0))</f>
        <v>2.5499999999999998E-2</v>
      </c>
      <c r="E40" s="409">
        <f>INDEX(Data!$K$73:$T$100,MATCH('RFPR cover'!$C$5,Data!$B$73:$B$100,0),MATCH('R9 - RAV'!E$6,Data!$K$72:$T$72,0))</f>
        <v>2.3799999999999998E-2</v>
      </c>
      <c r="F40" s="409">
        <f>INDEX(Data!$K$73:$T$100,MATCH('RFPR cover'!$C$5,Data!$B$73:$B$100,0),MATCH('R9 - RAV'!F$6,Data!$K$72:$T$72,0))</f>
        <v>2.2200000000000001E-2</v>
      </c>
      <c r="G40" s="409">
        <f>INDEX(Data!$K$73:$T$100,MATCH('RFPR cover'!$C$5,Data!$B$73:$B$100,0),MATCH('R9 - RAV'!G$6,Data!$K$72:$T$72,0))</f>
        <v>1.9099999999999999E-2</v>
      </c>
      <c r="H40" s="409">
        <f>INDEX(Data!$K$73:$T$100,MATCH('RFPR cover'!$C$5,Data!$B$73:$B$100,0),MATCH('R9 - RAV'!H$6,Data!$K$72:$T$72,0))</f>
        <v>1.5800000000000002E-2</v>
      </c>
      <c r="I40" s="409">
        <f>INDEX(Data!$K$73:$T$100,MATCH('RFPR cover'!$C$5,Data!$B$73:$B$100,0),MATCH('R9 - RAV'!I$6,Data!$K$72:$T$72,0))</f>
        <v>1.09E-2</v>
      </c>
      <c r="J40" s="409">
        <f>INDEX(Data!$K$73:$T$100,MATCH('RFPR cover'!$C$5,Data!$B$73:$B$100,0),MATCH('R9 - RAV'!J$6,Data!$K$72:$T$72,0))</f>
        <v>7.6E-3</v>
      </c>
      <c r="K40" s="410">
        <f>INDEX(Data!$K$73:$T$100,MATCH('RFPR cover'!$C$5,Data!$B$73:$B$100,0),MATCH('R9 - RAV'!K$6,Data!$K$72:$T$72,0))</f>
        <v>3.8999999999999998E-3</v>
      </c>
      <c r="N40" s="129"/>
    </row>
    <row r="41" spans="2:14" s="2" customFormat="1">
      <c r="B41" s="504" t="s">
        <v>333</v>
      </c>
      <c r="C41" s="210" t="s">
        <v>335</v>
      </c>
      <c r="D41" s="411">
        <f>'RFPR cover'!$C$10</f>
        <v>6.4000000000000001E-2</v>
      </c>
      <c r="E41" s="412">
        <f>'RFPR cover'!$C$10</f>
        <v>6.4000000000000001E-2</v>
      </c>
      <c r="F41" s="412">
        <f>'RFPR cover'!$C$10</f>
        <v>6.4000000000000001E-2</v>
      </c>
      <c r="G41" s="412">
        <f>'RFPR cover'!$C$10</f>
        <v>6.4000000000000001E-2</v>
      </c>
      <c r="H41" s="412">
        <f>'RFPR cover'!$C$10</f>
        <v>6.4000000000000001E-2</v>
      </c>
      <c r="I41" s="412">
        <f>'RFPR cover'!$C$10</f>
        <v>6.4000000000000001E-2</v>
      </c>
      <c r="J41" s="412">
        <f>'RFPR cover'!$C$10</f>
        <v>6.4000000000000001E-2</v>
      </c>
      <c r="K41" s="413">
        <f>'RFPR cover'!$C$10</f>
        <v>6.4000000000000001E-2</v>
      </c>
      <c r="N41" s="129"/>
    </row>
    <row r="42" spans="2:14" s="2" customFormat="1">
      <c r="B42" s="504" t="s">
        <v>334</v>
      </c>
      <c r="C42" s="210" t="s">
        <v>7</v>
      </c>
      <c r="D42" s="414">
        <f>'RFPR cover'!$C$12</f>
        <v>0.65</v>
      </c>
      <c r="E42" s="415">
        <f>'RFPR cover'!$C$12</f>
        <v>0.65</v>
      </c>
      <c r="F42" s="415">
        <f>'RFPR cover'!$C$12</f>
        <v>0.65</v>
      </c>
      <c r="G42" s="415">
        <f>'RFPR cover'!$C$12</f>
        <v>0.65</v>
      </c>
      <c r="H42" s="415">
        <f>'RFPR cover'!$C$12</f>
        <v>0.65</v>
      </c>
      <c r="I42" s="415">
        <f>'RFPR cover'!$C$12</f>
        <v>0.65</v>
      </c>
      <c r="J42" s="415">
        <f>'RFPR cover'!$C$12</f>
        <v>0.65</v>
      </c>
      <c r="K42" s="416">
        <f>'RFPR cover'!$C$12</f>
        <v>0.65</v>
      </c>
      <c r="N42" s="129"/>
    </row>
    <row r="43" spans="2:14">
      <c r="B43" s="200" t="s">
        <v>269</v>
      </c>
      <c r="C43" s="396" t="s">
        <v>335</v>
      </c>
      <c r="D43" s="405">
        <f t="shared" ref="D43:K43" si="10">D40*D42+D41*(1-D42)</f>
        <v>3.8974999999999996E-2</v>
      </c>
      <c r="E43" s="406">
        <f t="shared" si="10"/>
        <v>3.7870000000000001E-2</v>
      </c>
      <c r="F43" s="406">
        <f t="shared" si="10"/>
        <v>3.6830000000000002E-2</v>
      </c>
      <c r="G43" s="406">
        <f t="shared" si="10"/>
        <v>3.4814999999999999E-2</v>
      </c>
      <c r="H43" s="406">
        <f t="shared" si="10"/>
        <v>3.2670000000000005E-2</v>
      </c>
      <c r="I43" s="406">
        <f t="shared" si="10"/>
        <v>2.9485000000000001E-2</v>
      </c>
      <c r="J43" s="406">
        <f t="shared" si="10"/>
        <v>2.734E-2</v>
      </c>
      <c r="K43" s="407">
        <f t="shared" si="10"/>
        <v>2.4934999999999999E-2</v>
      </c>
      <c r="L43" s="211"/>
    </row>
    <row r="44" spans="2:14">
      <c r="C44" s="223"/>
      <c r="D44" s="218"/>
      <c r="E44" s="218"/>
      <c r="F44" s="218"/>
      <c r="G44" s="218"/>
      <c r="H44" s="218"/>
      <c r="I44" s="218"/>
      <c r="J44" s="218"/>
      <c r="K44" s="218"/>
    </row>
    <row r="45" spans="2:14">
      <c r="B45" s="371" t="s">
        <v>336</v>
      </c>
      <c r="C45" s="396" t="str">
        <f>'RFPR cover'!$C$14</f>
        <v>£m 12/13</v>
      </c>
      <c r="D45" s="95">
        <f t="shared" ref="D45:K45" si="11">D47*D42</f>
        <v>545.53239820117153</v>
      </c>
      <c r="E45" s="96">
        <f t="shared" si="11"/>
        <v>564.84440995424211</v>
      </c>
      <c r="F45" s="96">
        <f t="shared" si="11"/>
        <v>578.12363763599365</v>
      </c>
      <c r="G45" s="96">
        <f t="shared" si="11"/>
        <v>591.8698457334516</v>
      </c>
      <c r="H45" s="96">
        <f t="shared" si="11"/>
        <v>611.34674625613536</v>
      </c>
      <c r="I45" s="96">
        <f t="shared" si="11"/>
        <v>631.57642220935554</v>
      </c>
      <c r="J45" s="96">
        <f t="shared" si="11"/>
        <v>652.47929035551738</v>
      </c>
      <c r="K45" s="97">
        <f t="shared" si="11"/>
        <v>673.35073522126174</v>
      </c>
    </row>
    <row r="46" spans="2:14">
      <c r="B46" s="371" t="s">
        <v>232</v>
      </c>
      <c r="C46" s="396" t="str">
        <f>'RFPR cover'!$C$14</f>
        <v>£m 12/13</v>
      </c>
      <c r="D46" s="519">
        <f t="shared" ref="D46:K46" si="12">D47*(1-D42)</f>
        <v>293.7482144160154</v>
      </c>
      <c r="E46" s="520">
        <f t="shared" si="12"/>
        <v>304.14698997536112</v>
      </c>
      <c r="F46" s="520">
        <f t="shared" si="12"/>
        <v>311.29734334245808</v>
      </c>
      <c r="G46" s="520">
        <f t="shared" si="12"/>
        <v>318.69914770262773</v>
      </c>
      <c r="H46" s="520">
        <f t="shared" si="12"/>
        <v>329.18670952253439</v>
      </c>
      <c r="I46" s="520">
        <f t="shared" si="12"/>
        <v>340.07961195888373</v>
      </c>
      <c r="J46" s="520">
        <f t="shared" si="12"/>
        <v>351.3350024991247</v>
      </c>
      <c r="K46" s="521">
        <f t="shared" si="12"/>
        <v>362.5734728114486</v>
      </c>
    </row>
    <row r="47" spans="2:14">
      <c r="B47" s="200" t="s">
        <v>231</v>
      </c>
      <c r="C47" s="210" t="str">
        <f>'RFPR cover'!$C$14</f>
        <v>£m 12/13</v>
      </c>
      <c r="D47" s="102">
        <f t="shared" ref="D47:K47" si="13">AVERAGE(D16,D29*(1/(1+D43)))</f>
        <v>839.28061261718699</v>
      </c>
      <c r="E47" s="103">
        <f t="shared" si="13"/>
        <v>868.99139992960329</v>
      </c>
      <c r="F47" s="103">
        <f t="shared" si="13"/>
        <v>889.42098097845178</v>
      </c>
      <c r="G47" s="103">
        <f t="shared" si="13"/>
        <v>910.56899343607927</v>
      </c>
      <c r="H47" s="103">
        <f t="shared" si="13"/>
        <v>940.5334557786698</v>
      </c>
      <c r="I47" s="103">
        <f t="shared" si="13"/>
        <v>971.65603416823933</v>
      </c>
      <c r="J47" s="103">
        <f t="shared" si="13"/>
        <v>1003.8142928546421</v>
      </c>
      <c r="K47" s="104">
        <f t="shared" si="13"/>
        <v>1035.9242080327103</v>
      </c>
      <c r="N47" s="214"/>
    </row>
    <row r="48" spans="2:14">
      <c r="B48" s="200"/>
      <c r="C48" s="210"/>
      <c r="D48" s="210"/>
      <c r="E48" s="210"/>
      <c r="F48" s="210"/>
      <c r="G48" s="210"/>
      <c r="H48" s="210"/>
      <c r="I48" s="210"/>
      <c r="J48" s="210"/>
      <c r="K48" s="210"/>
      <c r="N48" s="214"/>
    </row>
    <row r="49" spans="2:15">
      <c r="B49" s="371" t="s">
        <v>337</v>
      </c>
      <c r="C49" s="396" t="str">
        <f>'RFPR cover'!$C$14</f>
        <v>£m 12/13</v>
      </c>
      <c r="D49" s="708">
        <f>D40*D45</f>
        <v>13.911076154129873</v>
      </c>
      <c r="E49" s="709">
        <f t="shared" ref="D49:K50" si="14">E40*E45</f>
        <v>13.443296956910961</v>
      </c>
      <c r="F49" s="709">
        <f t="shared" si="14"/>
        <v>12.834344755519059</v>
      </c>
      <c r="G49" s="709">
        <f t="shared" si="14"/>
        <v>11.304714053508924</v>
      </c>
      <c r="H49" s="709">
        <f t="shared" si="14"/>
        <v>9.6592785908469398</v>
      </c>
      <c r="I49" s="709">
        <f t="shared" si="14"/>
        <v>6.8841830020819756</v>
      </c>
      <c r="J49" s="709">
        <f t="shared" si="14"/>
        <v>4.958842606701932</v>
      </c>
      <c r="K49" s="710">
        <f t="shared" si="14"/>
        <v>2.6260678673629205</v>
      </c>
    </row>
    <row r="50" spans="2:15">
      <c r="B50" s="371" t="s">
        <v>229</v>
      </c>
      <c r="C50" s="396" t="str">
        <f>'RFPR cover'!$C$14</f>
        <v>£m 12/13</v>
      </c>
      <c r="D50" s="92">
        <f t="shared" si="14"/>
        <v>18.799885722624985</v>
      </c>
      <c r="E50" s="93">
        <f t="shared" si="14"/>
        <v>19.465407358423111</v>
      </c>
      <c r="F50" s="93">
        <f t="shared" si="14"/>
        <v>19.923029973917316</v>
      </c>
      <c r="G50" s="93">
        <f t="shared" si="14"/>
        <v>20.396745452968176</v>
      </c>
      <c r="H50" s="93">
        <f t="shared" si="14"/>
        <v>21.0679494094422</v>
      </c>
      <c r="I50" s="93">
        <f t="shared" si="14"/>
        <v>21.76509516536856</v>
      </c>
      <c r="J50" s="93">
        <f t="shared" si="14"/>
        <v>22.48544015994398</v>
      </c>
      <c r="K50" s="94">
        <f t="shared" si="14"/>
        <v>23.204702259932709</v>
      </c>
      <c r="N50" s="214"/>
    </row>
    <row r="51" spans="2:15">
      <c r="B51" s="200" t="s">
        <v>339</v>
      </c>
      <c r="C51" s="396" t="str">
        <f>'RFPR cover'!$C$14</f>
        <v>£m 12/13</v>
      </c>
      <c r="D51" s="102">
        <f>SUM(D49:D50)</f>
        <v>32.710961876754858</v>
      </c>
      <c r="E51" s="103">
        <f t="shared" ref="E51:K51" si="15">SUM(E49:E50)</f>
        <v>32.90870431533407</v>
      </c>
      <c r="F51" s="103">
        <f t="shared" si="15"/>
        <v>32.757374729436378</v>
      </c>
      <c r="G51" s="103">
        <f t="shared" si="15"/>
        <v>31.7014595064771</v>
      </c>
      <c r="H51" s="103">
        <f t="shared" si="15"/>
        <v>30.727228000289138</v>
      </c>
      <c r="I51" s="103">
        <f t="shared" si="15"/>
        <v>28.649278167450536</v>
      </c>
      <c r="J51" s="103">
        <f t="shared" si="15"/>
        <v>27.444282766645912</v>
      </c>
      <c r="K51" s="104">
        <f t="shared" si="15"/>
        <v>25.830770127295629</v>
      </c>
      <c r="N51" s="214"/>
    </row>
    <row r="53" spans="2:15" s="31" customFormat="1">
      <c r="B53" s="371" t="s">
        <v>336</v>
      </c>
      <c r="C53" s="266" t="s">
        <v>128</v>
      </c>
      <c r="D53" s="95">
        <f t="shared" ref="D53:K54" si="16">D$35*D45</f>
        <v>578.43713768274051</v>
      </c>
      <c r="E53" s="96">
        <f t="shared" si="16"/>
        <v>611.74721521444587</v>
      </c>
      <c r="F53" s="96">
        <f t="shared" si="16"/>
        <v>649.55885552359553</v>
      </c>
      <c r="G53" s="96">
        <f t="shared" si="16"/>
        <v>685.32323390233046</v>
      </c>
      <c r="H53" s="96">
        <f t="shared" si="16"/>
        <v>726.20022897875015</v>
      </c>
      <c r="I53" s="96">
        <f t="shared" si="16"/>
        <v>759.32948356824147</v>
      </c>
      <c r="J53" s="96">
        <f t="shared" si="16"/>
        <v>829.77072045955686</v>
      </c>
      <c r="K53" s="97">
        <f t="shared" si="16"/>
        <v>966.55655531707725</v>
      </c>
      <c r="L53" s="234"/>
      <c r="N53" s="212"/>
    </row>
    <row r="54" spans="2:15" s="31" customFormat="1">
      <c r="B54" s="371" t="s">
        <v>232</v>
      </c>
      <c r="C54" s="266" t="s">
        <v>128</v>
      </c>
      <c r="D54" s="519">
        <f t="shared" si="16"/>
        <v>311.46615105993715</v>
      </c>
      <c r="E54" s="520">
        <f t="shared" si="16"/>
        <v>329.4023466539324</v>
      </c>
      <c r="F54" s="520">
        <f t="shared" si="16"/>
        <v>349.76246066655136</v>
      </c>
      <c r="G54" s="520">
        <f t="shared" si="16"/>
        <v>369.02020287048555</v>
      </c>
      <c r="H54" s="520">
        <f t="shared" si="16"/>
        <v>391.03089252701926</v>
      </c>
      <c r="I54" s="520">
        <f t="shared" si="16"/>
        <v>408.86972192136074</v>
      </c>
      <c r="J54" s="520">
        <f t="shared" si="16"/>
        <v>446.79961870899211</v>
      </c>
      <c r="K54" s="521">
        <f t="shared" si="16"/>
        <v>520.45352978611845</v>
      </c>
      <c r="L54" s="234"/>
      <c r="N54" s="212"/>
    </row>
    <row r="55" spans="2:15">
      <c r="B55" s="200" t="s">
        <v>338</v>
      </c>
      <c r="C55" s="266" t="s">
        <v>128</v>
      </c>
      <c r="D55" s="711">
        <f>SUM(D53:D54)</f>
        <v>889.90328874267766</v>
      </c>
      <c r="E55" s="712">
        <f t="shared" ref="E55:K55" si="17">SUM(E53:E54)</f>
        <v>941.14956186837821</v>
      </c>
      <c r="F55" s="712">
        <f t="shared" si="17"/>
        <v>999.32131619014694</v>
      </c>
      <c r="G55" s="712">
        <f t="shared" si="17"/>
        <v>1054.3434367728159</v>
      </c>
      <c r="H55" s="712">
        <f t="shared" si="17"/>
        <v>1117.2311215057694</v>
      </c>
      <c r="I55" s="712">
        <f t="shared" si="17"/>
        <v>1168.1992054896023</v>
      </c>
      <c r="J55" s="712">
        <f t="shared" si="17"/>
        <v>1276.570339168549</v>
      </c>
      <c r="K55" s="713">
        <f t="shared" si="17"/>
        <v>1487.0100851031957</v>
      </c>
    </row>
    <row r="56" spans="2:15" s="31" customFormat="1">
      <c r="B56" s="200"/>
      <c r="C56" s="210"/>
      <c r="D56" s="210"/>
      <c r="E56" s="210"/>
      <c r="F56" s="210"/>
      <c r="G56" s="210"/>
      <c r="H56" s="210"/>
      <c r="I56" s="210"/>
      <c r="J56" s="210"/>
      <c r="K56" s="210"/>
      <c r="L56" s="234"/>
      <c r="N56" s="212"/>
    </row>
    <row r="57" spans="2:15" s="31" customFormat="1">
      <c r="B57" s="371" t="s">
        <v>337</v>
      </c>
      <c r="C57" s="266" t="s">
        <v>128</v>
      </c>
      <c r="D57" s="95">
        <f t="shared" ref="D57:K58" si="18">D$35*D49</f>
        <v>14.750147010909881</v>
      </c>
      <c r="E57" s="96">
        <f t="shared" si="18"/>
        <v>14.55958372210381</v>
      </c>
      <c r="F57" s="96">
        <f t="shared" si="18"/>
        <v>14.420206592623821</v>
      </c>
      <c r="G57" s="96">
        <f t="shared" si="18"/>
        <v>13.089673767534508</v>
      </c>
      <c r="H57" s="96">
        <f t="shared" si="18"/>
        <v>11.473963617864253</v>
      </c>
      <c r="I57" s="96">
        <f t="shared" si="18"/>
        <v>8.2766913708938326</v>
      </c>
      <c r="J57" s="96">
        <f t="shared" si="18"/>
        <v>6.3062574754926324</v>
      </c>
      <c r="K57" s="97">
        <f t="shared" si="18"/>
        <v>3.769570565736601</v>
      </c>
      <c r="L57" s="234"/>
      <c r="N57" s="212"/>
    </row>
    <row r="58" spans="2:15">
      <c r="B58" s="371" t="s">
        <v>238</v>
      </c>
      <c r="C58" s="266" t="s">
        <v>128</v>
      </c>
      <c r="D58" s="714">
        <f t="shared" si="18"/>
        <v>19.933833667835977</v>
      </c>
      <c r="E58" s="715">
        <f t="shared" si="18"/>
        <v>21.081750185851671</v>
      </c>
      <c r="F58" s="715">
        <f t="shared" si="18"/>
        <v>22.384797482659287</v>
      </c>
      <c r="G58" s="715">
        <f t="shared" si="18"/>
        <v>23.617292983711078</v>
      </c>
      <c r="H58" s="715">
        <f t="shared" si="18"/>
        <v>25.02597712172923</v>
      </c>
      <c r="I58" s="715">
        <f t="shared" si="18"/>
        <v>26.16766220296709</v>
      </c>
      <c r="J58" s="715">
        <f t="shared" si="18"/>
        <v>28.595175597375494</v>
      </c>
      <c r="K58" s="716">
        <f t="shared" si="18"/>
        <v>33.309025906311582</v>
      </c>
    </row>
    <row r="59" spans="2:15">
      <c r="B59" s="200" t="s">
        <v>339</v>
      </c>
      <c r="C59" s="266" t="s">
        <v>128</v>
      </c>
      <c r="D59" s="102">
        <f t="shared" ref="D59:K59" si="19">SUM(D57:D58)</f>
        <v>34.683980678745854</v>
      </c>
      <c r="E59" s="103">
        <f t="shared" si="19"/>
        <v>35.641333907955485</v>
      </c>
      <c r="F59" s="103">
        <f t="shared" si="19"/>
        <v>36.805004075283108</v>
      </c>
      <c r="G59" s="103">
        <f t="shared" si="19"/>
        <v>36.706966751245588</v>
      </c>
      <c r="H59" s="103">
        <f t="shared" si="19"/>
        <v>36.499940739593484</v>
      </c>
      <c r="I59" s="103">
        <f t="shared" si="19"/>
        <v>34.444353573860923</v>
      </c>
      <c r="J59" s="103">
        <f t="shared" si="19"/>
        <v>34.90143307286813</v>
      </c>
      <c r="K59" s="104">
        <f t="shared" si="19"/>
        <v>37.078596472048183</v>
      </c>
    </row>
    <row r="60" spans="2:15">
      <c r="B60" s="14"/>
      <c r="C60" s="235"/>
      <c r="D60" s="235"/>
      <c r="E60" s="235"/>
      <c r="F60" s="235"/>
      <c r="G60" s="235"/>
      <c r="H60" s="235"/>
      <c r="I60" s="235"/>
      <c r="J60" s="235"/>
      <c r="K60" s="235"/>
    </row>
    <row r="61" spans="2:15">
      <c r="B61" s="14"/>
      <c r="C61" s="235"/>
      <c r="D61" s="235"/>
      <c r="E61" s="235"/>
      <c r="F61" s="235"/>
      <c r="G61" s="235"/>
      <c r="H61" s="235"/>
      <c r="I61" s="235"/>
      <c r="J61" s="235"/>
      <c r="K61" s="235"/>
    </row>
    <row r="62" spans="2:15" hidden="1">
      <c r="B62" s="14"/>
      <c r="C62" s="235"/>
      <c r="D62" s="235"/>
      <c r="E62" s="235"/>
      <c r="F62" s="235"/>
      <c r="G62" s="235"/>
      <c r="H62" s="235"/>
      <c r="I62" s="925"/>
      <c r="J62" s="937">
        <f>-SUM('R4 - Totex'!D23:I23)*0.7*0.8</f>
        <v>14.250692618171804</v>
      </c>
      <c r="K62" s="938" t="s">
        <v>634</v>
      </c>
      <c r="L62" s="922"/>
      <c r="M62" s="922"/>
      <c r="N62" s="926"/>
      <c r="O62" s="927"/>
    </row>
    <row r="63" spans="2:15" hidden="1">
      <c r="B63" s="14"/>
      <c r="C63" s="235"/>
      <c r="D63" s="235"/>
      <c r="E63" s="235"/>
      <c r="F63" s="235"/>
      <c r="G63" s="235"/>
      <c r="H63" s="235"/>
      <c r="I63" s="928"/>
      <c r="J63" s="929"/>
      <c r="K63" s="42"/>
      <c r="L63" s="42"/>
      <c r="M63" s="42"/>
      <c r="N63" s="305"/>
      <c r="O63" s="930"/>
    </row>
    <row r="64" spans="2:15" hidden="1">
      <c r="I64" s="931"/>
      <c r="J64" s="932">
        <f>+J18+J62</f>
        <v>1016.7744599769187</v>
      </c>
      <c r="K64" s="933" t="s">
        <v>632</v>
      </c>
      <c r="L64" s="42"/>
      <c r="M64" s="42"/>
      <c r="N64" s="305"/>
      <c r="O64" s="930"/>
    </row>
    <row r="65" spans="9:15" hidden="1">
      <c r="I65" s="931"/>
      <c r="J65" s="929">
        <f>+J19</f>
        <v>99.038793042786821</v>
      </c>
      <c r="K65" s="42" t="s">
        <v>324</v>
      </c>
      <c r="L65" s="42"/>
      <c r="M65" s="42"/>
      <c r="N65" s="305"/>
      <c r="O65" s="930"/>
    </row>
    <row r="66" spans="9:15" hidden="1">
      <c r="I66" s="931"/>
      <c r="J66" s="929">
        <v>0</v>
      </c>
      <c r="K66" s="42" t="s">
        <v>331</v>
      </c>
      <c r="L66" s="42"/>
      <c r="M66" s="42"/>
      <c r="N66" s="305"/>
      <c r="O66" s="930"/>
    </row>
    <row r="67" spans="9:15" hidden="1">
      <c r="I67" s="931"/>
      <c r="J67" s="932">
        <f>SUM(J65:J66)</f>
        <v>99.038793042786821</v>
      </c>
      <c r="K67" s="933" t="s">
        <v>633</v>
      </c>
      <c r="L67" s="42"/>
      <c r="M67" s="42"/>
      <c r="N67" s="305"/>
      <c r="O67" s="930"/>
    </row>
    <row r="68" spans="9:15" hidden="1">
      <c r="I68" s="931"/>
      <c r="J68" s="929">
        <f>+J22</f>
        <v>-75.570210622090983</v>
      </c>
      <c r="K68" s="42" t="s">
        <v>325</v>
      </c>
      <c r="L68" s="42"/>
      <c r="M68" s="42"/>
      <c r="N68" s="305"/>
      <c r="O68" s="930"/>
    </row>
    <row r="69" spans="9:15" hidden="1">
      <c r="I69" s="931"/>
      <c r="J69" s="929">
        <v>0</v>
      </c>
      <c r="K69" s="42" t="s">
        <v>326</v>
      </c>
      <c r="L69" s="42"/>
      <c r="M69" s="42"/>
      <c r="N69" s="305"/>
      <c r="O69" s="930"/>
    </row>
    <row r="70" spans="9:15" hidden="1">
      <c r="I70" s="931"/>
      <c r="J70" s="932">
        <f>SUM(J68:J69)</f>
        <v>-75.570210622090983</v>
      </c>
      <c r="K70" s="933" t="s">
        <v>328</v>
      </c>
      <c r="L70" s="42"/>
      <c r="M70" s="42"/>
      <c r="N70" s="305"/>
      <c r="O70" s="930"/>
    </row>
    <row r="71" spans="9:15" hidden="1">
      <c r="I71" s="931"/>
      <c r="J71" s="932">
        <f>+J64+J67+J70</f>
        <v>1040.2430423976145</v>
      </c>
      <c r="K71" s="933" t="s">
        <v>330</v>
      </c>
      <c r="L71" s="42"/>
      <c r="M71" s="42"/>
      <c r="N71" s="305"/>
      <c r="O71" s="930"/>
    </row>
    <row r="72" spans="9:15" hidden="1">
      <c r="I72" s="931"/>
      <c r="J72" s="42"/>
      <c r="K72" s="42"/>
      <c r="L72" s="42"/>
      <c r="M72" s="42"/>
      <c r="N72" s="305"/>
      <c r="O72" s="930"/>
    </row>
    <row r="73" spans="9:15" hidden="1">
      <c r="I73" s="931"/>
      <c r="J73" s="96">
        <f>J75*J42</f>
        <v>659.53358940160831</v>
      </c>
      <c r="K73" s="42" t="s">
        <v>336</v>
      </c>
      <c r="L73" s="42"/>
      <c r="M73" s="42"/>
      <c r="N73" s="305"/>
      <c r="O73" s="930"/>
    </row>
    <row r="74" spans="9:15" hidden="1">
      <c r="I74" s="931"/>
      <c r="J74" s="520">
        <f>J75*(1-J42)</f>
        <v>355.1334712162506</v>
      </c>
      <c r="K74" s="42" t="s">
        <v>232</v>
      </c>
      <c r="L74" s="42"/>
      <c r="M74" s="42"/>
      <c r="N74" s="305"/>
      <c r="O74" s="930"/>
    </row>
    <row r="75" spans="9:15" hidden="1">
      <c r="I75" s="931"/>
      <c r="J75" s="103">
        <f>AVERAGE(J64,J71*(1/(1+J43)))</f>
        <v>1014.6670606178589</v>
      </c>
      <c r="K75" s="42" t="s">
        <v>231</v>
      </c>
      <c r="L75" s="42"/>
      <c r="M75" s="42"/>
      <c r="N75" s="305"/>
      <c r="O75" s="930"/>
    </row>
    <row r="76" spans="9:15" ht="13.5" hidden="1" thickBot="1">
      <c r="I76" s="934"/>
      <c r="J76" s="923"/>
      <c r="K76" s="923"/>
      <c r="L76" s="923"/>
      <c r="M76" s="923"/>
      <c r="N76" s="935"/>
      <c r="O76" s="936"/>
    </row>
  </sheetData>
  <conditionalFormatting sqref="D6:K6">
    <cfRule type="expression" dxfId="41" priority="13">
      <formula>AND(D$5="Actuals",E$5="Forecast")</formula>
    </cfRule>
  </conditionalFormatting>
  <conditionalFormatting sqref="D5:K5">
    <cfRule type="expression" dxfId="40"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FFFFCC"/>
    <pageSetUpPr fitToPage="1"/>
  </sheetPr>
  <dimension ref="A1:W90"/>
  <sheetViews>
    <sheetView showGridLines="0" zoomScale="60" zoomScaleNormal="60" workbookViewId="0">
      <pane ySplit="6" topLeftCell="A52" activePane="bottomLeft" state="frozen"/>
      <selection activeCell="I11" sqref="I11"/>
      <selection pane="bottomLeft" activeCell="A37" sqref="A37"/>
    </sheetView>
  </sheetViews>
  <sheetFormatPr defaultRowHeight="12.75"/>
  <cols>
    <col min="1" max="1" width="8.375" customWidth="1"/>
    <col min="2" max="2" width="95.5" customWidth="1"/>
    <col min="3" max="3" width="14.125" customWidth="1"/>
    <col min="4" max="11" width="11.125" customWidth="1"/>
    <col min="12" max="12" width="5" customWidth="1"/>
  </cols>
  <sheetData>
    <row r="1" spans="1:13" s="31" customFormat="1" ht="20.25">
      <c r="A1" s="889" t="s">
        <v>257</v>
      </c>
      <c r="B1" s="885"/>
      <c r="C1" s="256"/>
      <c r="D1" s="256"/>
      <c r="E1" s="256"/>
      <c r="F1" s="256"/>
      <c r="G1" s="256"/>
      <c r="H1" s="256"/>
      <c r="I1" s="257"/>
      <c r="J1" s="257"/>
      <c r="K1" s="258"/>
      <c r="L1" s="259"/>
    </row>
    <row r="2" spans="1:13" s="31" customFormat="1" ht="20.25">
      <c r="A2" s="878" t="str">
        <f>'RFPR cover'!C5</f>
        <v>NGED-SWALES</v>
      </c>
      <c r="B2" s="870"/>
      <c r="C2" s="29"/>
      <c r="D2" s="29"/>
      <c r="E2" s="29"/>
      <c r="F2" s="29"/>
      <c r="G2" s="29"/>
      <c r="H2" s="29"/>
      <c r="I2" s="27"/>
      <c r="J2" s="27"/>
      <c r="K2" s="27"/>
      <c r="L2" s="123"/>
    </row>
    <row r="3" spans="1:13" s="31" customFormat="1" ht="20.25">
      <c r="A3" s="881">
        <f>'RFPR cover'!C7</f>
        <v>2023</v>
      </c>
      <c r="B3" s="888"/>
      <c r="C3" s="260"/>
      <c r="D3" s="260"/>
      <c r="E3" s="260"/>
      <c r="F3" s="260"/>
      <c r="G3" s="260"/>
      <c r="H3" s="260"/>
      <c r="I3" s="255"/>
      <c r="J3" s="255"/>
      <c r="K3" s="255"/>
      <c r="L3" s="261"/>
    </row>
    <row r="4" spans="1:13" s="31" customFormat="1" ht="12.75" customHeight="1">
      <c r="A4" s="262"/>
      <c r="B4" s="263"/>
      <c r="C4" s="262"/>
      <c r="D4" s="262"/>
      <c r="E4" s="262"/>
      <c r="F4" s="262"/>
      <c r="G4" s="262"/>
      <c r="H4" s="262"/>
      <c r="I4" s="264"/>
      <c r="J4" s="264"/>
      <c r="K4" s="264"/>
      <c r="L4" s="265"/>
      <c r="M4" s="263"/>
    </row>
    <row r="5" spans="1:13" s="2" customFormat="1">
      <c r="B5" s="3"/>
      <c r="C5" s="3"/>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Actuals</v>
      </c>
      <c r="I5" s="389" t="str">
        <f>IF(I6&lt;=('RFPR cover'!$C$7-1),"Actuals","Forecast")</f>
        <v>Actuals</v>
      </c>
      <c r="J5" s="389" t="str">
        <f>IF(J6&lt;=('RFPR cover'!$C$7-1),"Actuals","Forecast")</f>
        <v>Actuals</v>
      </c>
      <c r="K5" s="389" t="str">
        <f>IF(K6&lt;=('RFPR cover'!$C$7-1),"Actuals","Forecast")</f>
        <v>Forecast</v>
      </c>
    </row>
    <row r="6" spans="1:13"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3" s="35" customFormat="1">
      <c r="D7" s="429"/>
      <c r="E7" s="429"/>
      <c r="F7" s="429"/>
      <c r="G7" s="429"/>
      <c r="H7" s="429"/>
      <c r="I7" s="429"/>
      <c r="J7" s="429"/>
      <c r="K7" s="429"/>
    </row>
    <row r="8" spans="1:13" s="2" customFormat="1">
      <c r="B8" s="368" t="s">
        <v>358</v>
      </c>
      <c r="C8" s="293"/>
      <c r="D8" s="293"/>
      <c r="E8" s="293"/>
      <c r="F8" s="293"/>
      <c r="G8" s="293"/>
      <c r="H8" s="293"/>
      <c r="I8" s="293"/>
      <c r="J8" s="293"/>
      <c r="K8" s="293"/>
      <c r="L8" s="293"/>
    </row>
    <row r="9" spans="1:13" s="2" customFormat="1">
      <c r="B9" s="368" t="s">
        <v>462</v>
      </c>
      <c r="C9" s="293"/>
      <c r="D9" s="293"/>
      <c r="E9" s="293"/>
      <c r="F9" s="293"/>
      <c r="G9" s="293"/>
      <c r="H9" s="293"/>
      <c r="I9" s="293"/>
      <c r="J9" s="293"/>
      <c r="K9" s="293"/>
      <c r="L9" s="293"/>
    </row>
    <row r="10" spans="1:13" s="2" customFormat="1">
      <c r="B10" s="368" t="s">
        <v>359</v>
      </c>
      <c r="C10" s="293"/>
      <c r="D10" s="293"/>
      <c r="E10" s="293"/>
      <c r="F10" s="293"/>
      <c r="G10" s="293"/>
      <c r="H10" s="293"/>
      <c r="I10" s="293"/>
      <c r="J10" s="293"/>
      <c r="K10" s="293"/>
      <c r="L10" s="293"/>
    </row>
    <row r="11" spans="1:13" s="35" customFormat="1">
      <c r="B11" s="428"/>
    </row>
    <row r="12" spans="1:13">
      <c r="B12" s="199" t="s">
        <v>525</v>
      </c>
      <c r="C12" s="266" t="s">
        <v>128</v>
      </c>
      <c r="D12" s="621">
        <v>1.0509999999999906</v>
      </c>
      <c r="E12" s="621">
        <v>0</v>
      </c>
      <c r="F12" s="621">
        <v>14.031690000000003</v>
      </c>
      <c r="G12" s="621">
        <v>8.1310499999999983</v>
      </c>
      <c r="H12" s="621">
        <v>10.050809999999993</v>
      </c>
      <c r="I12" s="621">
        <v>10.918919999999995</v>
      </c>
      <c r="J12" s="621">
        <v>15.590849</v>
      </c>
      <c r="K12" s="623"/>
    </row>
    <row r="13" spans="1:13">
      <c r="B13" s="14"/>
      <c r="C13" s="14"/>
      <c r="D13" s="717"/>
      <c r="E13" s="717"/>
      <c r="F13" s="717"/>
      <c r="G13" s="717"/>
      <c r="H13" s="717"/>
      <c r="I13" s="717"/>
      <c r="J13" s="717"/>
      <c r="K13" s="717"/>
    </row>
    <row r="14" spans="1:13">
      <c r="B14" s="14" t="s">
        <v>461</v>
      </c>
      <c r="C14" s="266"/>
      <c r="D14" s="717"/>
      <c r="E14" s="717"/>
      <c r="F14" s="717"/>
      <c r="G14" s="717"/>
      <c r="H14" s="717"/>
      <c r="I14" s="717"/>
      <c r="J14" s="717"/>
      <c r="K14" s="717"/>
    </row>
    <row r="15" spans="1:13">
      <c r="B15" s="369" t="s">
        <v>483</v>
      </c>
      <c r="C15" s="266" t="s">
        <v>128</v>
      </c>
      <c r="D15" s="592"/>
      <c r="E15" s="593"/>
      <c r="F15" s="593"/>
      <c r="G15" s="593"/>
      <c r="H15" s="593"/>
      <c r="I15" s="593"/>
      <c r="J15" s="593"/>
      <c r="K15" s="603"/>
    </row>
    <row r="16" spans="1:13">
      <c r="B16" s="430" t="s">
        <v>623</v>
      </c>
      <c r="C16" s="266" t="s">
        <v>128</v>
      </c>
      <c r="D16" s="621">
        <v>0.25949126993339966</v>
      </c>
      <c r="E16" s="621">
        <v>0.23444121365650045</v>
      </c>
      <c r="F16" s="621">
        <v>0.18499417522007722</v>
      </c>
      <c r="G16" s="621">
        <v>0.17349246421249534</v>
      </c>
      <c r="H16" s="621">
        <v>0.1530394930044178</v>
      </c>
      <c r="I16" s="621">
        <v>0.14221390759909386</v>
      </c>
      <c r="J16" s="621">
        <v>0.13055431575641741</v>
      </c>
      <c r="K16" s="603"/>
    </row>
    <row r="17" spans="2:12">
      <c r="B17" s="430" t="s">
        <v>624</v>
      </c>
      <c r="C17" s="266" t="s">
        <v>128</v>
      </c>
      <c r="D17" s="621">
        <v>-0.20580822806639709</v>
      </c>
      <c r="E17" s="621">
        <v>-0.11053038460974707</v>
      </c>
      <c r="F17" s="621">
        <v>-0.23786950614577179</v>
      </c>
      <c r="G17" s="621">
        <v>-0.25121032272957067</v>
      </c>
      <c r="H17" s="621">
        <v>-0.38122440248678424</v>
      </c>
      <c r="I17" s="621">
        <v>-0.28442348070169965</v>
      </c>
      <c r="J17" s="621">
        <v>-0.14617446015257901</v>
      </c>
      <c r="K17" s="603"/>
    </row>
    <row r="18" spans="2:12">
      <c r="B18" s="430" t="s">
        <v>142</v>
      </c>
      <c r="C18" s="266" t="s">
        <v>128</v>
      </c>
      <c r="D18" s="621">
        <v>-2.112458170800087E-2</v>
      </c>
      <c r="E18" s="621">
        <v>-2.5728692625986718E-2</v>
      </c>
      <c r="F18" s="621">
        <v>8.5499096849420947E-2</v>
      </c>
      <c r="G18" s="621">
        <v>-6.9458417141788298E-2</v>
      </c>
      <c r="H18" s="621">
        <v>9.6271645701702172E-2</v>
      </c>
      <c r="I18" s="621">
        <v>-0.13257607430977494</v>
      </c>
      <c r="J18" s="621">
        <v>7.2834907154753589E-2</v>
      </c>
      <c r="K18" s="603"/>
    </row>
    <row r="19" spans="2:12">
      <c r="B19" s="268" t="s">
        <v>360</v>
      </c>
      <c r="C19" s="266" t="s">
        <v>128</v>
      </c>
      <c r="D19" s="718">
        <f>SUM(D15:D18)</f>
        <v>3.2558460159001698E-2</v>
      </c>
      <c r="E19" s="719">
        <f t="shared" ref="E19:K19" si="1">SUM(E15:E18)</f>
        <v>9.8182136420766661E-2</v>
      </c>
      <c r="F19" s="719">
        <f t="shared" si="1"/>
        <v>3.2623765923726372E-2</v>
      </c>
      <c r="G19" s="719">
        <f t="shared" si="1"/>
        <v>-0.14717627565886363</v>
      </c>
      <c r="H19" s="719">
        <f t="shared" si="1"/>
        <v>-0.13191326378066426</v>
      </c>
      <c r="I19" s="719">
        <f t="shared" si="1"/>
        <v>-0.27478564741238076</v>
      </c>
      <c r="J19" s="719">
        <f t="shared" si="1"/>
        <v>5.7214762758591983E-2</v>
      </c>
      <c r="K19" s="720">
        <f t="shared" si="1"/>
        <v>0</v>
      </c>
    </row>
    <row r="20" spans="2:12" s="31" customFormat="1">
      <c r="B20" s="369"/>
      <c r="C20" s="369"/>
      <c r="D20" s="721"/>
      <c r="E20" s="721"/>
      <c r="F20" s="721"/>
      <c r="G20" s="721"/>
      <c r="H20" s="721"/>
      <c r="I20" s="721"/>
      <c r="J20" s="721"/>
      <c r="K20" s="721"/>
      <c r="L20" s="369"/>
    </row>
    <row r="21" spans="2:12">
      <c r="B21" s="14" t="s">
        <v>329</v>
      </c>
      <c r="C21" s="266"/>
      <c r="D21" s="722"/>
      <c r="E21" s="722"/>
      <c r="F21" s="722"/>
      <c r="G21" s="722"/>
      <c r="H21" s="722"/>
      <c r="I21" s="722"/>
      <c r="J21" s="722"/>
      <c r="K21" s="722"/>
      <c r="L21" s="266"/>
    </row>
    <row r="22" spans="2:12">
      <c r="B22" s="369" t="s">
        <v>484</v>
      </c>
      <c r="C22" s="266" t="s">
        <v>128</v>
      </c>
      <c r="D22" s="824">
        <f>('R5 - Output Incentives'!D102)*INDEX(Data!$G$14:$G$30,MATCH('R10 - Tax'!D$6,Data!$C$14:$C$30,0),1)</f>
        <v>1.2753731118599998</v>
      </c>
      <c r="E22" s="825">
        <f>('R5 - Output Incentives'!E102)*INDEX(Data!$G$14:$G$30,MATCH('R10 - Tax'!E$6,Data!$C$14:$C$30,0),1)</f>
        <v>1.2764827392158873</v>
      </c>
      <c r="F22" s="825">
        <f>('R5 - Output Incentives'!F102)*INDEX(Data!$G$14:$G$30,MATCH('R10 - Tax'!F$6,Data!$C$14:$C$30,0),1)</f>
        <v>1.612929441867393</v>
      </c>
      <c r="G22" s="825">
        <f>('R5 - Output Incentives'!G102)*INDEX(Data!$G$14:$G$30,MATCH('R10 - Tax'!G$6,Data!$C$14:$C$30,0),1)</f>
        <v>1.7544266047794728</v>
      </c>
      <c r="H22" s="827">
        <f>('R5 - Output Incentives'!H102)*INDEX(Data!$G$14:$G$30,MATCH('R10 - Tax'!H$6,Data!$C$14:$C$30,0),1)</f>
        <v>1.358181341057449</v>
      </c>
      <c r="I22" s="827">
        <f>('R5 - Output Incentives'!I102)*INDEX(Data!$G$14:$G$30,MATCH('R10 - Tax'!I$6,Data!$C$14:$C$30,0),1)</f>
        <v>1.9616156468204808</v>
      </c>
      <c r="J22" s="827">
        <f>('R5 - Output Incentives'!J102)*INDEX(Data!$G$14:$G$30,MATCH('R10 - Tax'!J$6,Data!$C$14:$C$30,0),1)</f>
        <v>1.8861855358816368</v>
      </c>
      <c r="K22" s="828">
        <f>('R5 - Output Incentives'!K102)*INDEX(Data!$G$14:$G$30,MATCH('R10 - Tax'!K$6,Data!$C$14:$C$30,0),1)</f>
        <v>2.0018568208035372</v>
      </c>
    </row>
    <row r="23" spans="2:12">
      <c r="B23" s="369" t="s">
        <v>485</v>
      </c>
      <c r="C23" s="266" t="s">
        <v>128</v>
      </c>
      <c r="D23" s="596">
        <f>('R4 - Totex'!D77-'R4 - Totex'!D79)*D40</f>
        <v>0.77961142752221713</v>
      </c>
      <c r="E23" s="598">
        <f>('R4 - Totex'!E77-'R4 - Totex'!E79)*E40</f>
        <v>0.79599623948432419</v>
      </c>
      <c r="F23" s="598">
        <f>('R4 - Totex'!F77-'R4 - Totex'!F79)*F40</f>
        <v>0.74713861209906762</v>
      </c>
      <c r="G23" s="598">
        <f>('R4 - Totex'!G77-'R4 - Totex'!G79)*G40</f>
        <v>0.81943112472246948</v>
      </c>
      <c r="H23" s="829">
        <f>('R4 - Totex'!H77-'R4 - Totex'!H79)*H40</f>
        <v>0.77011137857705703</v>
      </c>
      <c r="I23" s="829">
        <f>('R4 - Totex'!I77-'R4 - Totex'!I79)*I40</f>
        <v>0.78129045505855432</v>
      </c>
      <c r="J23" s="829">
        <f>('R4 - Totex'!J77-'R4 - Totex'!J79)*J40</f>
        <v>0.79866210439917518</v>
      </c>
      <c r="K23" s="830">
        <f>('R4 - Totex'!K77-'R4 - Totex'!K79)*K40</f>
        <v>0.91729458251394702</v>
      </c>
    </row>
    <row r="24" spans="2:12">
      <c r="B24" s="369" t="s">
        <v>486</v>
      </c>
      <c r="C24" s="266" t="s">
        <v>128</v>
      </c>
      <c r="D24" s="594">
        <v>-0.64702315347356731</v>
      </c>
      <c r="E24" s="594">
        <v>2.5913933053192895</v>
      </c>
      <c r="F24" s="594">
        <v>-0.44480754548425061</v>
      </c>
      <c r="G24" s="594">
        <v>-1.3213458163386427E-2</v>
      </c>
      <c r="H24" s="594">
        <v>0.85438980078518256</v>
      </c>
      <c r="I24" s="594">
        <v>-1.5216898577086699</v>
      </c>
      <c r="J24" s="594">
        <v>3.7030336248157063</v>
      </c>
      <c r="K24" s="604"/>
    </row>
    <row r="25" spans="2:12">
      <c r="B25" s="369" t="s">
        <v>487</v>
      </c>
      <c r="C25" s="266" t="s">
        <v>128</v>
      </c>
      <c r="D25" s="594"/>
      <c r="E25" s="595"/>
      <c r="F25" s="595"/>
      <c r="G25" s="595"/>
      <c r="H25" s="595"/>
      <c r="I25" s="595"/>
      <c r="J25" s="595"/>
      <c r="K25" s="604"/>
    </row>
    <row r="26" spans="2:12">
      <c r="B26" s="369" t="s">
        <v>488</v>
      </c>
      <c r="C26" s="266" t="s">
        <v>128</v>
      </c>
      <c r="D26" s="594"/>
      <c r="E26" s="595"/>
      <c r="F26" s="595"/>
      <c r="G26" s="595"/>
      <c r="H26" s="595"/>
      <c r="I26" s="595"/>
      <c r="J26" s="595"/>
      <c r="K26" s="604"/>
    </row>
    <row r="27" spans="2:12">
      <c r="B27" s="369" t="s">
        <v>489</v>
      </c>
      <c r="C27" s="266" t="s">
        <v>128</v>
      </c>
      <c r="D27" s="594"/>
      <c r="E27" s="595"/>
      <c r="F27" s="595"/>
      <c r="G27" s="595"/>
      <c r="H27" s="595"/>
      <c r="I27" s="595"/>
      <c r="J27" s="595"/>
      <c r="K27" s="604"/>
    </row>
    <row r="28" spans="2:12">
      <c r="B28" s="369" t="s">
        <v>566</v>
      </c>
      <c r="C28" s="266" t="s">
        <v>128</v>
      </c>
      <c r="D28" s="594">
        <v>0.1455145030534942</v>
      </c>
      <c r="E28" s="594">
        <v>0.54062837970989719</v>
      </c>
      <c r="F28" s="594">
        <v>-0.6409072853343889</v>
      </c>
      <c r="G28" s="594">
        <v>-0.184613529285509</v>
      </c>
      <c r="H28" s="594">
        <v>0.27452005861519235</v>
      </c>
      <c r="I28" s="594">
        <v>-0.40655362438786513</v>
      </c>
      <c r="J28" s="594">
        <v>-9.682439044249147E-2</v>
      </c>
      <c r="K28" s="604"/>
    </row>
    <row r="29" spans="2:12">
      <c r="B29" s="430" t="s">
        <v>625</v>
      </c>
      <c r="C29" s="266" t="s">
        <v>128</v>
      </c>
      <c r="D29" s="594">
        <v>0.98235928431807773</v>
      </c>
      <c r="E29" s="594">
        <v>0.18575657194004525</v>
      </c>
      <c r="F29" s="594">
        <v>-1.0496927430525924</v>
      </c>
      <c r="G29" s="594">
        <v>-0.12668584948186185</v>
      </c>
      <c r="H29" s="594">
        <v>0.55157543443146761</v>
      </c>
      <c r="I29" s="594">
        <v>0.6012244437385712</v>
      </c>
      <c r="J29" s="594">
        <v>-1.9156478430482862</v>
      </c>
      <c r="K29" s="604"/>
    </row>
    <row r="30" spans="2:12">
      <c r="B30" s="430" t="s">
        <v>381</v>
      </c>
      <c r="C30" s="266" t="s">
        <v>128</v>
      </c>
      <c r="D30" s="594">
        <v>-0.75102663023141347</v>
      </c>
      <c r="E30" s="594">
        <v>-0.32637606760260174</v>
      </c>
      <c r="F30" s="594">
        <v>2.1854709914832213</v>
      </c>
      <c r="G30" s="594">
        <v>1.8148885078597785</v>
      </c>
      <c r="H30" s="594">
        <v>-0.14154191443869424</v>
      </c>
      <c r="I30" s="594">
        <v>-8.160019416801001E-3</v>
      </c>
      <c r="J30" s="594">
        <v>1.8009684667534827</v>
      </c>
      <c r="K30" s="604"/>
    </row>
    <row r="31" spans="2:12">
      <c r="B31" s="430" t="s">
        <v>579</v>
      </c>
      <c r="C31" s="266" t="s">
        <v>128</v>
      </c>
      <c r="D31" s="594">
        <v>-1.3035014562035974</v>
      </c>
      <c r="E31" s="594">
        <v>-0.27391003612070292</v>
      </c>
      <c r="F31" s="594">
        <v>0</v>
      </c>
      <c r="G31" s="594">
        <v>0</v>
      </c>
      <c r="H31" s="594">
        <v>0</v>
      </c>
      <c r="I31" s="594">
        <v>0</v>
      </c>
      <c r="J31" s="594">
        <v>0</v>
      </c>
      <c r="K31" s="604"/>
    </row>
    <row r="32" spans="2:12">
      <c r="B32" s="430" t="s">
        <v>626</v>
      </c>
      <c r="C32" s="266" t="s">
        <v>128</v>
      </c>
      <c r="D32" s="594">
        <v>0.30566528300388174</v>
      </c>
      <c r="E32" s="594">
        <v>0.32317872260600999</v>
      </c>
      <c r="F32" s="594">
        <v>0.33336722937205399</v>
      </c>
      <c r="G32" s="594">
        <v>0.36355506176904379</v>
      </c>
      <c r="H32" s="594">
        <v>0.39648044108950642</v>
      </c>
      <c r="I32" s="594">
        <v>0.42591098416306228</v>
      </c>
      <c r="J32" s="594">
        <v>0.45872538602250079</v>
      </c>
      <c r="K32" s="604"/>
    </row>
    <row r="33" spans="2:13">
      <c r="B33" s="430" t="s">
        <v>627</v>
      </c>
      <c r="C33" s="266"/>
      <c r="D33" s="594">
        <v>-2.2536386122590613</v>
      </c>
      <c r="E33" s="594">
        <v>-1.8083028278956623</v>
      </c>
      <c r="F33" s="594">
        <v>-0.13623396875142565</v>
      </c>
      <c r="G33" s="594">
        <v>-0.24143745103587555</v>
      </c>
      <c r="H33" s="594">
        <v>0.82388557827352316</v>
      </c>
      <c r="I33" s="594">
        <v>1.1611940116473256</v>
      </c>
      <c r="J33" s="594">
        <v>1.843329440500173</v>
      </c>
      <c r="K33" s="606"/>
    </row>
    <row r="34" spans="2:13">
      <c r="B34" s="430" t="s">
        <v>628</v>
      </c>
      <c r="C34" s="266" t="s">
        <v>128</v>
      </c>
      <c r="D34" s="605">
        <v>0</v>
      </c>
      <c r="E34" s="605">
        <v>-1.4158875682568215</v>
      </c>
      <c r="F34" s="605">
        <v>6.1337646763596991</v>
      </c>
      <c r="G34" s="605">
        <v>0.94140421092140614</v>
      </c>
      <c r="H34" s="605">
        <v>0</v>
      </c>
      <c r="I34" s="605">
        <v>-2.0346028844957589</v>
      </c>
      <c r="J34" s="605">
        <v>-2.1521209528394802</v>
      </c>
      <c r="K34" s="606"/>
    </row>
    <row r="35" spans="2:13">
      <c r="B35" s="14" t="s">
        <v>177</v>
      </c>
      <c r="C35" s="266" t="s">
        <v>128</v>
      </c>
      <c r="D35" s="723">
        <f t="shared" ref="D35:K35" si="2">SUM(D22:D34)</f>
        <v>-1.466666242409969</v>
      </c>
      <c r="E35" s="724">
        <f t="shared" si="2"/>
        <v>1.8889594583996649</v>
      </c>
      <c r="F35" s="724">
        <f t="shared" si="2"/>
        <v>8.7410294085587772</v>
      </c>
      <c r="G35" s="724">
        <f t="shared" si="2"/>
        <v>5.127755222085538</v>
      </c>
      <c r="H35" s="724">
        <f t="shared" si="2"/>
        <v>4.8876021183906833</v>
      </c>
      <c r="I35" s="724">
        <f t="shared" si="2"/>
        <v>0.96022915541889908</v>
      </c>
      <c r="J35" s="724">
        <f t="shared" si="2"/>
        <v>6.3263113720424169</v>
      </c>
      <c r="K35" s="725">
        <f t="shared" si="2"/>
        <v>2.9191514033174841</v>
      </c>
    </row>
    <row r="37" spans="2:13" ht="12.75" customHeight="1">
      <c r="B37" s="790" t="s">
        <v>496</v>
      </c>
      <c r="C37" s="266" t="s">
        <v>128</v>
      </c>
      <c r="D37" s="621"/>
      <c r="E37" s="621"/>
      <c r="F37" s="622"/>
      <c r="G37" s="622"/>
      <c r="H37" s="622"/>
      <c r="I37" s="622"/>
      <c r="J37" s="589"/>
      <c r="K37" s="589">
        <v>12.929011506352744</v>
      </c>
    </row>
    <row r="38" spans="2:13" ht="12.75" customHeight="1">
      <c r="B38" s="790" t="s">
        <v>465</v>
      </c>
      <c r="C38" s="266" t="s">
        <v>128</v>
      </c>
      <c r="D38" s="723">
        <f t="shared" ref="D38:K38" si="3">D12+D37-D19-D35</f>
        <v>2.485107782250958</v>
      </c>
      <c r="E38" s="724">
        <f>E12+E37-E19-E35</f>
        <v>-1.9871415948204316</v>
      </c>
      <c r="F38" s="724">
        <f>F12+F37-F19-F35</f>
        <v>5.2580368255174985</v>
      </c>
      <c r="G38" s="724">
        <f>G12+G37-G19-G35</f>
        <v>3.1504710535733231</v>
      </c>
      <c r="H38" s="724">
        <f t="shared" si="3"/>
        <v>5.2951211453899738</v>
      </c>
      <c r="I38" s="724">
        <f t="shared" si="3"/>
        <v>10.233476491993477</v>
      </c>
      <c r="J38" s="724">
        <f t="shared" si="3"/>
        <v>9.2073228651989911</v>
      </c>
      <c r="K38" s="725">
        <f t="shared" si="3"/>
        <v>10.00986010303526</v>
      </c>
    </row>
    <row r="39" spans="2:13" ht="12.75" customHeight="1">
      <c r="B39" s="481"/>
      <c r="C39" s="266"/>
      <c r="D39" s="266"/>
      <c r="E39" s="266"/>
      <c r="F39" s="266"/>
      <c r="G39" s="266"/>
      <c r="H39" s="266"/>
      <c r="I39" s="266"/>
      <c r="J39" s="266"/>
      <c r="K39" s="266"/>
    </row>
    <row r="40" spans="2:13">
      <c r="B40" s="37" t="s">
        <v>473</v>
      </c>
      <c r="C40" s="267" t="s">
        <v>127</v>
      </c>
      <c r="D40" s="112">
        <f>Data!C$34</f>
        <v>1.0603167467048125</v>
      </c>
      <c r="E40" s="112">
        <f>Data!D$34</f>
        <v>1.0830366813119445</v>
      </c>
      <c r="F40" s="112">
        <f>Data!E$34</f>
        <v>1.1235639113109226</v>
      </c>
      <c r="G40" s="112">
        <f>Data!F$34</f>
        <v>1.1578951670583426</v>
      </c>
      <c r="H40" s="112">
        <f>Data!G$34</f>
        <v>1.1878696229692449</v>
      </c>
      <c r="I40" s="112">
        <f>Data!H$34</f>
        <v>1.2022764892203943</v>
      </c>
      <c r="J40" s="112">
        <f>Data!I$34</f>
        <v>1.2717196280780627</v>
      </c>
      <c r="K40" s="112">
        <f>Data!J$34</f>
        <v>1.4354429345049555</v>
      </c>
      <c r="L40" s="266"/>
    </row>
    <row r="41" spans="2:13">
      <c r="B41" s="199"/>
      <c r="C41" s="266"/>
      <c r="D41" s="266"/>
      <c r="E41" s="266"/>
      <c r="F41" s="266"/>
      <c r="G41" s="266"/>
      <c r="H41" s="266"/>
      <c r="I41" s="266"/>
      <c r="J41" s="266"/>
      <c r="K41" s="266"/>
    </row>
    <row r="42" spans="2:13">
      <c r="B42" s="541" t="s">
        <v>466</v>
      </c>
      <c r="C42" s="396" t="str">
        <f>'RFPR cover'!$C$14</f>
        <v>£m 12/13</v>
      </c>
      <c r="D42" s="757">
        <f t="shared" ref="D42:K42" si="4">D38/D40</f>
        <v>2.3437409528558555</v>
      </c>
      <c r="E42" s="758">
        <f t="shared" si="4"/>
        <v>-1.834786973616898</v>
      </c>
      <c r="F42" s="758">
        <f t="shared" si="4"/>
        <v>4.6797843652548998</v>
      </c>
      <c r="G42" s="758">
        <f t="shared" si="4"/>
        <v>2.7208603535129714</v>
      </c>
      <c r="H42" s="758">
        <f t="shared" si="4"/>
        <v>4.4576618872987792</v>
      </c>
      <c r="I42" s="758">
        <f t="shared" si="4"/>
        <v>8.511749654714853</v>
      </c>
      <c r="J42" s="758">
        <f t="shared" si="4"/>
        <v>7.2400572122283959</v>
      </c>
      <c r="K42" s="759">
        <f t="shared" si="4"/>
        <v>6.9733598336929941</v>
      </c>
    </row>
    <row r="43" spans="2:13">
      <c r="B43" s="790"/>
      <c r="C43" s="790"/>
      <c r="D43" s="790"/>
      <c r="E43" s="790"/>
      <c r="F43" s="790"/>
      <c r="G43" s="790"/>
      <c r="H43" s="790"/>
      <c r="I43" s="790"/>
      <c r="J43" s="790"/>
      <c r="K43" s="790"/>
    </row>
    <row r="44" spans="2:13">
      <c r="B44" s="798" t="s">
        <v>446</v>
      </c>
      <c r="C44" s="210"/>
      <c r="D44" s="210"/>
      <c r="E44" s="210"/>
      <c r="F44" s="210"/>
      <c r="G44" s="210"/>
      <c r="H44" s="210"/>
      <c r="I44" s="210"/>
      <c r="J44" s="210"/>
      <c r="K44" s="210"/>
    </row>
    <row r="45" spans="2:13">
      <c r="B45" s="368" t="s">
        <v>434</v>
      </c>
      <c r="C45" s="431"/>
      <c r="D45" s="431"/>
      <c r="E45" s="431"/>
      <c r="F45" s="431"/>
      <c r="G45" s="431"/>
      <c r="H45" s="431"/>
      <c r="I45" s="431"/>
      <c r="J45" s="431"/>
      <c r="K45" s="431"/>
      <c r="L45" s="431"/>
      <c r="M45" s="431"/>
    </row>
    <row r="47" spans="2:13" ht="12.75" customHeight="1">
      <c r="B47" s="213" t="s">
        <v>115</v>
      </c>
      <c r="C47" s="155" t="s">
        <v>7</v>
      </c>
      <c r="D47" s="861">
        <f>'RFPR cover'!$C$12</f>
        <v>0.65</v>
      </c>
      <c r="E47" s="862">
        <f>'RFPR cover'!$C$12</f>
        <v>0.65</v>
      </c>
      <c r="F47" s="862">
        <f>'RFPR cover'!$C$12</f>
        <v>0.65</v>
      </c>
      <c r="G47" s="862">
        <f>'RFPR cover'!$C$12</f>
        <v>0.65</v>
      </c>
      <c r="H47" s="862">
        <f>'RFPR cover'!$C$12</f>
        <v>0.65</v>
      </c>
      <c r="I47" s="862">
        <f>'RFPR cover'!$C$12</f>
        <v>0.65</v>
      </c>
      <c r="J47" s="862">
        <f>'RFPR cover'!$C$12</f>
        <v>0.65</v>
      </c>
      <c r="K47" s="863">
        <f>'RFPR cover'!$C$12</f>
        <v>0.65</v>
      </c>
    </row>
    <row r="48" spans="2:13" ht="12.75" customHeight="1">
      <c r="B48" s="213" t="s">
        <v>396</v>
      </c>
      <c r="C48" s="155" t="s">
        <v>7</v>
      </c>
      <c r="D48" s="861">
        <f>'R8 - Net Debt'!D57</f>
        <v>0.6335122844522304</v>
      </c>
      <c r="E48" s="862">
        <f>'R8 - Net Debt'!E57</f>
        <v>0.62702964221650348</v>
      </c>
      <c r="F48" s="862">
        <f>'R8 - Net Debt'!F57</f>
        <v>0.60494851220761947</v>
      </c>
      <c r="G48" s="862">
        <f>'R8 - Net Debt'!G57</f>
        <v>0.59661588835992763</v>
      </c>
      <c r="H48" s="862">
        <f>'R8 - Net Debt'!H57</f>
        <v>0.58094149063294909</v>
      </c>
      <c r="I48" s="862">
        <f>'R8 - Net Debt'!I57</f>
        <v>0.58912288490182896</v>
      </c>
      <c r="J48" s="862">
        <f>'R8 - Net Debt'!J57</f>
        <v>0.57369012073181969</v>
      </c>
      <c r="K48" s="863">
        <f>'R8 - Net Debt'!K57</f>
        <v>0.53804242788051038</v>
      </c>
    </row>
    <row r="49" spans="2:23" ht="12.75" customHeight="1">
      <c r="B49" s="213"/>
      <c r="C49" s="155"/>
      <c r="D49" s="155"/>
      <c r="E49" s="155"/>
      <c r="F49" s="155"/>
      <c r="G49" s="155"/>
      <c r="H49" s="155"/>
      <c r="I49" s="155"/>
      <c r="J49" s="155"/>
      <c r="K49" s="155"/>
      <c r="L49" s="155"/>
    </row>
    <row r="50" spans="2:23" ht="12.75" customHeight="1">
      <c r="B50" s="790" t="s">
        <v>466</v>
      </c>
      <c r="C50" s="266" t="s">
        <v>128</v>
      </c>
      <c r="D50" s="757">
        <f>D38</f>
        <v>2.485107782250958</v>
      </c>
      <c r="E50" s="757">
        <f t="shared" ref="E50:K50" si="5">E38</f>
        <v>-1.9871415948204316</v>
      </c>
      <c r="F50" s="757">
        <f t="shared" si="5"/>
        <v>5.2580368255174985</v>
      </c>
      <c r="G50" s="757">
        <f t="shared" si="5"/>
        <v>3.1504710535733231</v>
      </c>
      <c r="H50" s="757">
        <f t="shared" si="5"/>
        <v>5.2951211453899738</v>
      </c>
      <c r="I50" s="757">
        <f t="shared" si="5"/>
        <v>10.233476491993477</v>
      </c>
      <c r="J50" s="757">
        <f t="shared" si="5"/>
        <v>9.2073228651989911</v>
      </c>
      <c r="K50" s="757">
        <f t="shared" si="5"/>
        <v>10.00986010303526</v>
      </c>
    </row>
    <row r="51" spans="2:23">
      <c r="B51" s="213" t="s">
        <v>447</v>
      </c>
      <c r="C51" s="266" t="s">
        <v>128</v>
      </c>
      <c r="D51" s="757">
        <f>D86-D88</f>
        <v>-0.1569728955065397</v>
      </c>
      <c r="E51" s="757">
        <f t="shared" ref="E51:J51" si="6">E86-E88</f>
        <v>-0.16898524722824759</v>
      </c>
      <c r="F51" s="757">
        <f t="shared" si="6"/>
        <v>-0.2066762115278073</v>
      </c>
      <c r="G51" s="757">
        <f t="shared" si="6"/>
        <v>-0.30497820823064514</v>
      </c>
      <c r="H51" s="757">
        <f t="shared" si="6"/>
        <v>-0.48584334529826179</v>
      </c>
      <c r="I51" s="757">
        <f t="shared" si="6"/>
        <v>-0.49890906310032079</v>
      </c>
      <c r="J51" s="757">
        <f t="shared" si="6"/>
        <v>0.27085374349481084</v>
      </c>
      <c r="K51" s="968">
        <f>K86-K88</f>
        <v>2.3939306909873661</v>
      </c>
      <c r="L51" s="266"/>
    </row>
    <row r="52" spans="2:23" s="31" customFormat="1">
      <c r="B52" s="799" t="s">
        <v>404</v>
      </c>
      <c r="C52" s="266" t="s">
        <v>128</v>
      </c>
      <c r="D52" s="723">
        <f>SUM(D50:D51)</f>
        <v>2.3281348867444183</v>
      </c>
      <c r="E52" s="724">
        <f t="shared" ref="E52:J52" si="7">SUM(E50:E51)</f>
        <v>-2.1561268420486792</v>
      </c>
      <c r="F52" s="724">
        <f t="shared" si="7"/>
        <v>5.0513606139896909</v>
      </c>
      <c r="G52" s="724">
        <f t="shared" si="7"/>
        <v>2.8454928453426778</v>
      </c>
      <c r="H52" s="724">
        <f t="shared" si="7"/>
        <v>4.8092778000917118</v>
      </c>
      <c r="I52" s="724">
        <f t="shared" si="7"/>
        <v>9.7345674288931558</v>
      </c>
      <c r="J52" s="724">
        <f t="shared" si="7"/>
        <v>9.4781766086938024</v>
      </c>
      <c r="K52" s="725">
        <f>SUM(K50:K51)</f>
        <v>12.403790794022626</v>
      </c>
      <c r="L52" s="777"/>
    </row>
    <row r="54" spans="2:23">
      <c r="B54" s="799" t="s">
        <v>404</v>
      </c>
      <c r="C54" s="396" t="str">
        <f>'RFPR cover'!$C$14</f>
        <v>£m 12/13</v>
      </c>
      <c r="D54" s="723">
        <f>D52/D40</f>
        <v>2.195697553565624</v>
      </c>
      <c r="E54" s="724">
        <f t="shared" ref="E54:J54" si="8">E52/E40</f>
        <v>-1.99081608153552</v>
      </c>
      <c r="F54" s="724">
        <f t="shared" si="8"/>
        <v>4.4958373646017131</v>
      </c>
      <c r="G54" s="724">
        <f t="shared" si="8"/>
        <v>2.4574701806310437</v>
      </c>
      <c r="H54" s="724">
        <f t="shared" si="8"/>
        <v>4.0486579563085847</v>
      </c>
      <c r="I54" s="724">
        <f t="shared" si="8"/>
        <v>8.0967793316872161</v>
      </c>
      <c r="J54" s="724">
        <f t="shared" si="8"/>
        <v>7.4530394903301733</v>
      </c>
      <c r="K54" s="969">
        <f>K52/K40</f>
        <v>8.6410894476277811</v>
      </c>
    </row>
    <row r="55" spans="2:23">
      <c r="B55" s="799"/>
      <c r="C55" s="396"/>
      <c r="D55" s="396"/>
      <c r="E55" s="396"/>
      <c r="F55" s="396"/>
      <c r="G55" s="396"/>
      <c r="H55" s="396"/>
      <c r="I55" s="396"/>
      <c r="J55" s="396"/>
      <c r="K55" s="396"/>
    </row>
    <row r="57" spans="2:23">
      <c r="B57" s="760" t="s">
        <v>371</v>
      </c>
      <c r="C57" s="761"/>
      <c r="D57" s="761"/>
      <c r="E57" s="761"/>
      <c r="F57" s="761"/>
      <c r="G57" s="761"/>
      <c r="H57" s="761"/>
      <c r="I57" s="761"/>
      <c r="J57" s="761"/>
      <c r="K57" s="761"/>
      <c r="L57" s="761"/>
      <c r="M57" s="488"/>
    </row>
    <row r="58" spans="2:23" s="31" customFormat="1">
      <c r="B58" s="489"/>
      <c r="C58" s="488"/>
      <c r="D58" s="488"/>
      <c r="E58" s="488"/>
      <c r="F58" s="488"/>
      <c r="G58" s="488"/>
      <c r="H58" s="488"/>
      <c r="I58" s="488"/>
      <c r="J58" s="488"/>
      <c r="K58" s="488"/>
      <c r="L58" s="488"/>
      <c r="M58" s="488"/>
    </row>
    <row r="59" spans="2:23">
      <c r="B59" s="367" t="s">
        <v>467</v>
      </c>
      <c r="C59" s="293"/>
      <c r="D59" s="293"/>
      <c r="E59" s="293"/>
      <c r="F59" s="293"/>
      <c r="G59" s="293"/>
      <c r="H59" s="293"/>
      <c r="I59" s="293"/>
      <c r="J59" s="293"/>
      <c r="K59" s="293"/>
      <c r="L59" s="293"/>
      <c r="M59" s="200"/>
      <c r="N59" s="200"/>
      <c r="P59" s="955"/>
      <c r="Q59" s="955"/>
      <c r="R59" s="955"/>
      <c r="S59" s="955"/>
      <c r="T59" s="955"/>
      <c r="U59" s="955"/>
      <c r="V59" s="955"/>
      <c r="W59" s="955"/>
    </row>
    <row r="60" spans="2:23" s="31" customFormat="1">
      <c r="B60" s="372"/>
      <c r="C60" s="35"/>
      <c r="D60" s="35"/>
      <c r="E60" s="35"/>
      <c r="F60" s="35"/>
      <c r="G60" s="35"/>
      <c r="H60" s="35"/>
      <c r="I60" s="35"/>
      <c r="J60" s="35"/>
      <c r="K60" s="35"/>
      <c r="L60" s="35"/>
      <c r="M60" s="37"/>
      <c r="N60" s="37"/>
    </row>
    <row r="61" spans="2:23">
      <c r="B61" s="200" t="s">
        <v>370</v>
      </c>
      <c r="C61" s="210" t="str">
        <f>'RFPR cover'!$C$14</f>
        <v>£m 12/13</v>
      </c>
      <c r="D61" s="580">
        <v>6.7341867457239806</v>
      </c>
      <c r="E61" s="580">
        <v>5.7681106978692265</v>
      </c>
      <c r="F61" s="580">
        <v>9.9888828649494599</v>
      </c>
      <c r="G61" s="580">
        <v>7.7902805165335032</v>
      </c>
      <c r="H61" s="580">
        <v>7.8034832377172458</v>
      </c>
      <c r="I61" s="580">
        <v>7.3022053254560193</v>
      </c>
      <c r="J61" s="580">
        <v>5.4386225474832113</v>
      </c>
      <c r="K61" s="580">
        <v>1.3642651261793683</v>
      </c>
    </row>
    <row r="62" spans="2:23">
      <c r="B62" s="200" t="s">
        <v>373</v>
      </c>
      <c r="C62" s="210" t="str">
        <f>'RFPR cover'!$C$14</f>
        <v>£m 12/13</v>
      </c>
      <c r="D62" s="588"/>
      <c r="E62" s="589"/>
      <c r="F62" s="589"/>
      <c r="G62" s="589"/>
      <c r="H62" s="589"/>
      <c r="I62" s="589"/>
      <c r="J62" s="589"/>
      <c r="K62" s="665"/>
    </row>
    <row r="63" spans="2:23">
      <c r="B63" s="200" t="s">
        <v>374</v>
      </c>
      <c r="C63" s="210" t="str">
        <f>'RFPR cover'!$C$14</f>
        <v>£m 12/13</v>
      </c>
      <c r="D63" s="629">
        <f t="shared" ref="D63:K63" si="9">SUM(D61:D62)</f>
        <v>6.7341867457239806</v>
      </c>
      <c r="E63" s="630">
        <f t="shared" si="9"/>
        <v>5.7681106978692265</v>
      </c>
      <c r="F63" s="630">
        <f t="shared" si="9"/>
        <v>9.9888828649494599</v>
      </c>
      <c r="G63" s="630">
        <f t="shared" si="9"/>
        <v>7.7902805165335032</v>
      </c>
      <c r="H63" s="630">
        <f t="shared" si="9"/>
        <v>7.8034832377172458</v>
      </c>
      <c r="I63" s="630">
        <f t="shared" si="9"/>
        <v>7.3022053254560193</v>
      </c>
      <c r="J63" s="630">
        <f t="shared" si="9"/>
        <v>5.4386225474832113</v>
      </c>
      <c r="K63" s="631">
        <f t="shared" si="9"/>
        <v>1.3642651261793683</v>
      </c>
    </row>
    <row r="64" spans="2:23">
      <c r="B64" s="200"/>
      <c r="C64" s="210"/>
      <c r="D64" s="210"/>
      <c r="E64" s="210"/>
      <c r="F64" s="210"/>
      <c r="G64" s="210"/>
      <c r="H64" s="210"/>
      <c r="I64" s="210"/>
      <c r="J64" s="210"/>
      <c r="K64" s="210"/>
      <c r="L64" s="210"/>
    </row>
    <row r="65" spans="2:13">
      <c r="B65" s="510" t="s">
        <v>468</v>
      </c>
      <c r="C65" s="293"/>
      <c r="D65" s="293"/>
      <c r="E65" s="293"/>
      <c r="F65" s="293"/>
      <c r="G65" s="293"/>
      <c r="H65" s="293"/>
      <c r="I65" s="293"/>
      <c r="J65" s="293"/>
      <c r="K65" s="293"/>
      <c r="L65" s="293"/>
    </row>
    <row r="66" spans="2:13" s="31" customFormat="1">
      <c r="B66" s="511"/>
      <c r="C66" s="35"/>
      <c r="D66" s="35"/>
      <c r="E66" s="35"/>
      <c r="F66" s="35"/>
      <c r="G66" s="35"/>
      <c r="H66" s="35"/>
      <c r="I66" s="35"/>
      <c r="J66" s="35"/>
      <c r="K66" s="35"/>
      <c r="L66" s="35"/>
    </row>
    <row r="67" spans="2:13">
      <c r="B67" s="200" t="s">
        <v>361</v>
      </c>
      <c r="C67" s="210" t="str">
        <f>'RFPR cover'!$C$14</f>
        <v>£m 12/13</v>
      </c>
      <c r="D67" s="580">
        <v>6.7341867457239806</v>
      </c>
      <c r="E67" s="580">
        <v>5.7681106978692265</v>
      </c>
      <c r="F67" s="580">
        <v>9.9888828649494599</v>
      </c>
      <c r="G67" s="580">
        <v>7.7902805165335032</v>
      </c>
      <c r="H67" s="580">
        <v>7.8034832377172458</v>
      </c>
      <c r="I67" s="580">
        <v>7.3022053254560193</v>
      </c>
      <c r="J67" s="580">
        <v>5.9386502788674331</v>
      </c>
      <c r="K67" s="580">
        <v>1.9883589690229826</v>
      </c>
    </row>
    <row r="68" spans="2:13">
      <c r="B68" s="200" t="s">
        <v>376</v>
      </c>
      <c r="C68" s="210" t="str">
        <f>'RFPR cover'!$C$14</f>
        <v>£m 12/13</v>
      </c>
      <c r="D68" s="588"/>
      <c r="E68" s="589"/>
      <c r="F68" s="589"/>
      <c r="G68" s="589"/>
      <c r="H68" s="589"/>
      <c r="I68" s="589"/>
      <c r="J68" s="589"/>
      <c r="K68" s="665"/>
    </row>
    <row r="69" spans="2:13">
      <c r="B69" s="14" t="s">
        <v>377</v>
      </c>
      <c r="C69" s="210" t="str">
        <f>'RFPR cover'!$C$14</f>
        <v>£m 12/13</v>
      </c>
      <c r="D69" s="607">
        <f t="shared" ref="D69:K69" si="10">SUM(D67:D68)</f>
        <v>6.7341867457239806</v>
      </c>
      <c r="E69" s="608">
        <f t="shared" si="10"/>
        <v>5.7681106978692265</v>
      </c>
      <c r="F69" s="608">
        <f t="shared" si="10"/>
        <v>9.9888828649494599</v>
      </c>
      <c r="G69" s="608">
        <f t="shared" si="10"/>
        <v>7.7902805165335032</v>
      </c>
      <c r="H69" s="608">
        <f t="shared" si="10"/>
        <v>7.8034832377172458</v>
      </c>
      <c r="I69" s="608">
        <f t="shared" si="10"/>
        <v>7.3022053254560193</v>
      </c>
      <c r="J69" s="608">
        <f t="shared" si="10"/>
        <v>5.9386502788674331</v>
      </c>
      <c r="K69" s="609">
        <f t="shared" si="10"/>
        <v>1.9883589690229826</v>
      </c>
    </row>
    <row r="70" spans="2:13" s="31" customFormat="1">
      <c r="B70" s="511"/>
      <c r="C70" s="35"/>
      <c r="D70" s="726"/>
      <c r="E70" s="726"/>
      <c r="F70" s="726"/>
      <c r="G70" s="726"/>
      <c r="H70" s="726"/>
      <c r="I70" s="726"/>
      <c r="J70" s="726"/>
      <c r="K70" s="726"/>
      <c r="L70" s="35"/>
    </row>
    <row r="71" spans="2:13" s="31" customFormat="1">
      <c r="B71" s="512" t="s">
        <v>375</v>
      </c>
      <c r="C71" s="35"/>
      <c r="D71" s="683">
        <f t="shared" ref="D71:K71" si="11">D69-D63</f>
        <v>0</v>
      </c>
      <c r="E71" s="684">
        <f t="shared" si="11"/>
        <v>0</v>
      </c>
      <c r="F71" s="684">
        <f t="shared" si="11"/>
        <v>0</v>
      </c>
      <c r="G71" s="684">
        <f t="shared" si="11"/>
        <v>0</v>
      </c>
      <c r="H71" s="684">
        <f t="shared" si="11"/>
        <v>0</v>
      </c>
      <c r="I71" s="684">
        <f t="shared" si="11"/>
        <v>0</v>
      </c>
      <c r="J71" s="684">
        <f t="shared" si="11"/>
        <v>0.50002773138422185</v>
      </c>
      <c r="K71" s="685">
        <f t="shared" si="11"/>
        <v>0.62409384284361424</v>
      </c>
      <c r="L71" s="35"/>
    </row>
    <row r="72" spans="2:13">
      <c r="B72" s="200" t="s">
        <v>372</v>
      </c>
      <c r="C72" s="210" t="str">
        <f>'RFPR cover'!$C$14</f>
        <v>£m 12/13</v>
      </c>
      <c r="D72" s="584">
        <v>0</v>
      </c>
      <c r="E72" s="584">
        <v>0</v>
      </c>
      <c r="F72" s="584">
        <v>0</v>
      </c>
      <c r="G72" s="584">
        <v>0</v>
      </c>
      <c r="H72" s="584">
        <v>0</v>
      </c>
      <c r="I72" s="584">
        <v>0</v>
      </c>
      <c r="J72" s="584">
        <v>0</v>
      </c>
      <c r="K72" s="584">
        <v>-7.7596585911929417E-2</v>
      </c>
    </row>
    <row r="73" spans="2:13">
      <c r="B73" s="200" t="s">
        <v>422</v>
      </c>
      <c r="C73" s="210" t="str">
        <f>'RFPR cover'!$C$14</f>
        <v>£m 12/13</v>
      </c>
      <c r="D73" s="584">
        <v>0</v>
      </c>
      <c r="E73" s="584">
        <v>0</v>
      </c>
      <c r="F73" s="584">
        <v>0</v>
      </c>
      <c r="G73" s="584">
        <v>0</v>
      </c>
      <c r="H73" s="584">
        <v>0</v>
      </c>
      <c r="I73" s="584">
        <v>0</v>
      </c>
      <c r="J73" s="584">
        <v>0</v>
      </c>
      <c r="K73" s="584">
        <v>0</v>
      </c>
    </row>
    <row r="74" spans="2:13">
      <c r="B74" s="200" t="s">
        <v>329</v>
      </c>
      <c r="C74" s="210" t="str">
        <f>'RFPR cover'!$C$14</f>
        <v>£m 12/13</v>
      </c>
      <c r="D74" s="584">
        <v>0</v>
      </c>
      <c r="E74" s="584">
        <v>0</v>
      </c>
      <c r="F74" s="584">
        <v>0</v>
      </c>
      <c r="G74" s="584">
        <v>0</v>
      </c>
      <c r="H74" s="584">
        <v>0</v>
      </c>
      <c r="I74" s="584">
        <v>0</v>
      </c>
      <c r="J74" s="584">
        <v>0.50002773138422274</v>
      </c>
      <c r="K74" s="584">
        <v>0.70149821049276717</v>
      </c>
    </row>
    <row r="75" spans="2:13">
      <c r="B75" s="200" t="s">
        <v>122</v>
      </c>
      <c r="C75" s="210" t="str">
        <f>'RFPR cover'!$C$14</f>
        <v>£m 12/13</v>
      </c>
      <c r="D75" s="513" t="str">
        <f>IF(ABS(D71-SUM(D72:D74))&lt;'RFPR cover'!$F$14,"OK","ERROR")</f>
        <v>OK</v>
      </c>
      <c r="E75" s="514" t="str">
        <f>IF(ABS(E71-SUM(E72:E74))&lt;'RFPR cover'!$F$14,"OK","ERROR")</f>
        <v>OK</v>
      </c>
      <c r="F75" s="514" t="str">
        <f>IF(ABS(F71-SUM(F72:F74))&lt;'RFPR cover'!$F$14,"OK","ERROR")</f>
        <v>OK</v>
      </c>
      <c r="G75" s="514" t="str">
        <f>IF(ABS(G71-SUM(G72:G74))&lt;'RFPR cover'!$F$14,"OK","ERROR")</f>
        <v>OK</v>
      </c>
      <c r="H75" s="514" t="str">
        <f>IF(ABS(H71-SUM(H72:H74))&lt;'RFPR cover'!$F$14,"OK","ERROR")</f>
        <v>OK</v>
      </c>
      <c r="I75" s="514" t="str">
        <f>IF(ABS(I71-SUM(I72:I74))&lt;'RFPR cover'!$F$14,"OK","ERROR")</f>
        <v>OK</v>
      </c>
      <c r="J75" s="514" t="str">
        <f>IF(ABS(J71-SUM(J72:J74))&lt;'RFPR cover'!$F$14,"OK","ERROR")</f>
        <v>OK</v>
      </c>
      <c r="K75" s="515" t="str">
        <f>IF(ABS(K71-SUM(K72:K74))&lt;'RFPR cover'!$F$14,"OK","ERROR")</f>
        <v>OK</v>
      </c>
    </row>
    <row r="76" spans="2:13">
      <c r="B76" s="200"/>
      <c r="C76" s="200"/>
      <c r="D76" s="200"/>
      <c r="E76" s="200"/>
      <c r="F76" s="200"/>
      <c r="G76" s="200"/>
      <c r="H76" s="200"/>
      <c r="I76" s="200"/>
      <c r="J76" s="200"/>
      <c r="K76" s="200"/>
      <c r="L76" s="200"/>
      <c r="M76" s="200"/>
    </row>
    <row r="78" spans="2:13">
      <c r="B78" s="803" t="s">
        <v>424</v>
      </c>
      <c r="C78" s="803"/>
      <c r="D78" s="803"/>
      <c r="E78" s="803"/>
      <c r="F78" s="803"/>
      <c r="G78" s="803"/>
      <c r="H78" s="803"/>
      <c r="I78" s="803"/>
      <c r="J78" s="803"/>
      <c r="K78" s="803"/>
      <c r="L78" s="803"/>
    </row>
    <row r="80" spans="2:13">
      <c r="B80" s="14" t="s">
        <v>425</v>
      </c>
      <c r="C80" s="211" t="str">
        <f>'RFPR cover'!$C$14</f>
        <v>£m 12/13</v>
      </c>
      <c r="D80" s="607">
        <f t="shared" ref="D80:K80" si="12">D$69-D42</f>
        <v>4.3904457928681246</v>
      </c>
      <c r="E80" s="608">
        <f t="shared" si="12"/>
        <v>7.6028976714861241</v>
      </c>
      <c r="F80" s="608">
        <f t="shared" si="12"/>
        <v>5.30909849969456</v>
      </c>
      <c r="G80" s="608">
        <f t="shared" si="12"/>
        <v>5.0694201630205313</v>
      </c>
      <c r="H80" s="608">
        <f t="shared" si="12"/>
        <v>3.3458213504184666</v>
      </c>
      <c r="I80" s="608">
        <f t="shared" si="12"/>
        <v>-1.2095443292588337</v>
      </c>
      <c r="J80" s="608">
        <f t="shared" si="12"/>
        <v>-1.3014069333609628</v>
      </c>
      <c r="K80" s="609">
        <f t="shared" si="12"/>
        <v>-4.9850008646700115</v>
      </c>
    </row>
    <row r="81" spans="2:11">
      <c r="B81" s="14"/>
      <c r="C81" s="14"/>
      <c r="D81" s="14"/>
      <c r="E81" s="14"/>
      <c r="F81" s="14"/>
      <c r="G81" s="14"/>
      <c r="H81" s="14"/>
      <c r="I81" s="14"/>
      <c r="J81" s="14"/>
      <c r="K81" s="14"/>
    </row>
    <row r="82" spans="2:11">
      <c r="B82" s="14" t="s">
        <v>436</v>
      </c>
      <c r="C82" s="211" t="str">
        <f>'RFPR cover'!$C$14</f>
        <v>£m 12/13</v>
      </c>
      <c r="D82" s="607">
        <f t="shared" ref="D82:J82" si="13">D$69-D54</f>
        <v>4.538489192158357</v>
      </c>
      <c r="E82" s="608">
        <f t="shared" si="13"/>
        <v>7.7589267794047467</v>
      </c>
      <c r="F82" s="608">
        <f t="shared" si="13"/>
        <v>5.4930455003477467</v>
      </c>
      <c r="G82" s="608">
        <f t="shared" si="13"/>
        <v>5.3328103359024599</v>
      </c>
      <c r="H82" s="608">
        <f t="shared" si="13"/>
        <v>3.7548252814086611</v>
      </c>
      <c r="I82" s="608">
        <f t="shared" si="13"/>
        <v>-0.79457400623119678</v>
      </c>
      <c r="J82" s="608">
        <f t="shared" si="13"/>
        <v>-1.5143892114627402</v>
      </c>
      <c r="K82" s="971">
        <f>K$69-K54</f>
        <v>-6.6527304786047985</v>
      </c>
    </row>
    <row r="84" spans="2:11">
      <c r="B84" s="14" t="s">
        <v>435</v>
      </c>
      <c r="C84" s="211" t="str">
        <f>'RFPR cover'!$C$14</f>
        <v>£m 12/13</v>
      </c>
      <c r="D84" s="607">
        <f>D80-D82</f>
        <v>-0.14804339929023236</v>
      </c>
      <c r="E84" s="608">
        <f t="shared" ref="E84:K84" si="14">E80-E82</f>
        <v>-0.15602910791862268</v>
      </c>
      <c r="F84" s="608">
        <f t="shared" si="14"/>
        <v>-0.1839470006531867</v>
      </c>
      <c r="G84" s="608">
        <f t="shared" si="14"/>
        <v>-0.26339017288192856</v>
      </c>
      <c r="H84" s="608">
        <f t="shared" si="14"/>
        <v>-0.4090039309901945</v>
      </c>
      <c r="I84" s="608">
        <f t="shared" si="14"/>
        <v>-0.41497032302763692</v>
      </c>
      <c r="J84" s="608">
        <f t="shared" si="14"/>
        <v>0.21298227810177739</v>
      </c>
      <c r="K84" s="609">
        <f t="shared" si="14"/>
        <v>1.667729613934787</v>
      </c>
    </row>
    <row r="86" spans="2:11">
      <c r="B86" t="s">
        <v>519</v>
      </c>
      <c r="C86" s="266" t="s">
        <v>128</v>
      </c>
      <c r="D86" s="584">
        <f>-'R7 - Financing'!D86*Data!$G$20*D$40</f>
        <v>3.0813857651473295</v>
      </c>
      <c r="E86" s="584">
        <f>-'R7 - Financing'!E86*Data!$G$21*E$40</f>
        <v>1.7009308267008019</v>
      </c>
      <c r="F86" s="584">
        <f>-'R7 - Financing'!F86*Data!$G$22*F$40</f>
        <v>3.539576846552904E-2</v>
      </c>
      <c r="G86" s="584">
        <f>-'R7 - Financing'!G86*Data!$G$23*G$40</f>
        <v>0.92137019859608849</v>
      </c>
      <c r="H86" s="584">
        <f>-'R7 - Financing'!H86*Data!$G$24*H$40</f>
        <v>1.9070110531233671</v>
      </c>
      <c r="I86" s="584">
        <f>-'R7 - Financing'!I86*Data!$G$25*I$40</f>
        <v>3.2554949183502786</v>
      </c>
      <c r="J86" s="584">
        <f>-'R7 - Financing'!J86*Data!$G$26*J$40</f>
        <v>-3.2344405603196047</v>
      </c>
      <c r="K86" s="584">
        <f>-'R7 - Financing'!K86*Data!$G$27*K$40</f>
        <v>-12.220900554239437</v>
      </c>
    </row>
    <row r="87" spans="2:11">
      <c r="B87" t="s">
        <v>519</v>
      </c>
      <c r="C87" s="396" t="str">
        <f>'RFPR cover'!$C$14</f>
        <v>£m 12/13</v>
      </c>
      <c r="D87" s="757">
        <f>D86/D$40</f>
        <v>2.9060993092144134</v>
      </c>
      <c r="E87" s="757">
        <f t="shared" ref="E87:K87" si="15">E86/E$40</f>
        <v>1.5705200535224408</v>
      </c>
      <c r="F87" s="757">
        <f t="shared" si="15"/>
        <v>3.1503119768443694E-2</v>
      </c>
      <c r="G87" s="757">
        <f t="shared" si="15"/>
        <v>0.79572851222520358</v>
      </c>
      <c r="H87" s="757">
        <f t="shared" si="15"/>
        <v>1.6054043442549935</v>
      </c>
      <c r="I87" s="757">
        <f t="shared" si="15"/>
        <v>2.707775580358621</v>
      </c>
      <c r="J87" s="757">
        <f t="shared" si="15"/>
        <v>-2.5433597853701313</v>
      </c>
      <c r="K87" s="757">
        <f t="shared" si="15"/>
        <v>-8.5136791303055777</v>
      </c>
    </row>
    <row r="88" spans="2:11">
      <c r="B88" t="s">
        <v>520</v>
      </c>
      <c r="C88" s="266" t="s">
        <v>128</v>
      </c>
      <c r="D88" s="584">
        <f>-'R7 - Financing'!D88*Data!$G$20*D$40</f>
        <v>3.2383586606538692</v>
      </c>
      <c r="E88" s="584">
        <f>-'R7 - Financing'!E88*Data!$G$21*E$40</f>
        <v>1.8699160739290495</v>
      </c>
      <c r="F88" s="584">
        <f>-'R7 - Financing'!F88*Data!$G$22*F$40</f>
        <v>0.24207197999333635</v>
      </c>
      <c r="G88" s="584">
        <f>-'R7 - Financing'!G88*Data!$G$23*G$40</f>
        <v>1.2263484068267336</v>
      </c>
      <c r="H88" s="584">
        <f>-'R7 - Financing'!H88*Data!$G$24*H$40</f>
        <v>2.3928543984216288</v>
      </c>
      <c r="I88" s="584">
        <f>-'R7 - Financing'!I88*Data!$G$25*I$40</f>
        <v>3.7544039814505994</v>
      </c>
      <c r="J88" s="584">
        <f>-'R7 - Financing'!J88*Data!$G$26*J$40</f>
        <v>-3.5052943038144155</v>
      </c>
      <c r="K88" s="584">
        <f>-'R7 - Financing'!K88*Data!$G$27*K$40</f>
        <v>-14.614831245226803</v>
      </c>
    </row>
    <row r="89" spans="2:11">
      <c r="B89" t="s">
        <v>520</v>
      </c>
      <c r="C89" s="396" t="str">
        <f>'RFPR cover'!$C$14</f>
        <v>£m 12/13</v>
      </c>
      <c r="D89" s="757">
        <f t="shared" ref="D89:K89" si="16">D88/D$40</f>
        <v>3.0541427085046449</v>
      </c>
      <c r="E89" s="757">
        <f t="shared" si="16"/>
        <v>1.7265491614410629</v>
      </c>
      <c r="F89" s="757">
        <f t="shared" si="16"/>
        <v>0.21545012042163042</v>
      </c>
      <c r="G89" s="757">
        <f t="shared" si="16"/>
        <v>1.059118685107131</v>
      </c>
      <c r="H89" s="757">
        <f t="shared" si="16"/>
        <v>2.0144082752451884</v>
      </c>
      <c r="I89" s="757">
        <f t="shared" si="16"/>
        <v>3.1227459033862583</v>
      </c>
      <c r="J89" s="757">
        <f t="shared" si="16"/>
        <v>-2.7563420634719087</v>
      </c>
      <c r="K89" s="757">
        <f t="shared" si="16"/>
        <v>-10.181408744240365</v>
      </c>
    </row>
    <row r="90" spans="2:11">
      <c r="B90" t="s">
        <v>523</v>
      </c>
      <c r="C90" s="396" t="str">
        <f>'RFPR cover'!$C$14</f>
        <v>£m 12/13</v>
      </c>
      <c r="D90" s="757">
        <f>D87-D89</f>
        <v>-0.14804339929023147</v>
      </c>
      <c r="E90" s="757">
        <f t="shared" ref="E90:K90" si="17">E87-E89</f>
        <v>-0.15602910791862201</v>
      </c>
      <c r="F90" s="757">
        <f t="shared" si="17"/>
        <v>-0.18394700065318673</v>
      </c>
      <c r="G90" s="757">
        <f t="shared" si="17"/>
        <v>-0.26339017288192745</v>
      </c>
      <c r="H90" s="757">
        <f t="shared" si="17"/>
        <v>-0.40900393099019494</v>
      </c>
      <c r="I90" s="757">
        <f t="shared" si="17"/>
        <v>-0.41497032302763737</v>
      </c>
      <c r="J90" s="757">
        <f t="shared" si="17"/>
        <v>0.21298227810177739</v>
      </c>
      <c r="K90" s="757">
        <f t="shared" si="17"/>
        <v>1.667729613934787</v>
      </c>
    </row>
  </sheetData>
  <conditionalFormatting sqref="D6:K7">
    <cfRule type="expression" dxfId="39" priority="91">
      <formula>AND(D$6="Actuals",E$6="Forecast")</formula>
    </cfRule>
  </conditionalFormatting>
  <conditionalFormatting sqref="D5:K5">
    <cfRule type="expression" dxfId="38" priority="66">
      <formula>AND(D$5="Actuals",E$5="Forecast")</formula>
    </cfRule>
  </conditionalFormatting>
  <conditionalFormatting sqref="D37:F37">
    <cfRule type="expression" dxfId="37" priority="34">
      <formula>AND(D$5="Actuals",E$5="Actuals")</formula>
    </cfRule>
  </conditionalFormatting>
  <conditionalFormatting sqref="K12 D19:K19 I25:K27 I15:K15 K24 K28:K34 K16:K18">
    <cfRule type="expression" dxfId="36" priority="33">
      <formula>NOT(AND(D$5="Actuals"))</formula>
    </cfRule>
  </conditionalFormatting>
  <conditionalFormatting sqref="G37">
    <cfRule type="expression" dxfId="35" priority="199">
      <formula>AND(E$5="Actuals",F$5="Actuals")</formula>
    </cfRule>
  </conditionalFormatting>
  <conditionalFormatting sqref="H37:I37">
    <cfRule type="expression" dxfId="34" priority="22">
      <formula>AND(F$5="Actuals",G$5="Actuals")</formula>
    </cfRule>
  </conditionalFormatting>
  <conditionalFormatting sqref="D15:H15 D12:J12 D16:J18">
    <cfRule type="expression" dxfId="33" priority="21">
      <formula>NOT(AND(D$5="Actuals"))</formula>
    </cfRule>
  </conditionalFormatting>
  <conditionalFormatting sqref="D25:H27 D24:J24">
    <cfRule type="expression" dxfId="32" priority="20">
      <formula>NOT(AND(D$5="Actuals"))</formula>
    </cfRule>
  </conditionalFormatting>
  <conditionalFormatting sqref="D34:J34">
    <cfRule type="expression" dxfId="31" priority="18">
      <formula>NOT(AND(D$5="Actuals"))</formula>
    </cfRule>
  </conditionalFormatting>
  <conditionalFormatting sqref="D28:J33">
    <cfRule type="expression" dxfId="30" priority="1">
      <formula>NOT(AND(D$5="Actuals"))</formula>
    </cfRule>
  </conditionalFormatting>
  <pageMargins left="0.70866141732283472" right="0.70866141732283472" top="0.74803149606299213" bottom="0.74803149606299213" header="0.31496062992125984" footer="0.31496062992125984"/>
  <pageSetup paperSize="8" scale="79"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25"/>
  <sheetViews>
    <sheetView showGridLines="0" zoomScale="60" zoomScaleNormal="60" workbookViewId="0">
      <pane ySplit="6" topLeftCell="A7" activePane="bottomLeft" state="frozen"/>
      <selection activeCell="I11" sqref="I11"/>
      <selection pane="bottomLeft" activeCell="P12" sqref="P12"/>
    </sheetView>
  </sheetViews>
  <sheetFormatPr defaultRowHeight="12.75"/>
  <cols>
    <col min="1" max="1" width="8.375" customWidth="1"/>
    <col min="2" max="2" width="83.125" bestFit="1" customWidth="1"/>
    <col min="3" max="3" width="14.125" customWidth="1"/>
    <col min="4" max="11" width="11.125" customWidth="1"/>
    <col min="12" max="12" width="5" customWidth="1"/>
    <col min="17" max="17" width="13.125" customWidth="1"/>
  </cols>
  <sheetData>
    <row r="1" spans="1:18" s="31" customFormat="1" ht="20.25">
      <c r="A1" s="893" t="s">
        <v>256</v>
      </c>
      <c r="B1" s="904"/>
      <c r="C1" s="120"/>
      <c r="D1" s="120"/>
      <c r="E1" s="120"/>
      <c r="F1" s="120"/>
      <c r="G1" s="120"/>
      <c r="H1" s="120"/>
      <c r="I1" s="126"/>
      <c r="J1" s="126"/>
      <c r="K1" s="127"/>
      <c r="L1" s="128"/>
    </row>
    <row r="2" spans="1:18" s="31" customFormat="1" ht="20.25">
      <c r="A2" s="878" t="str">
        <f>'RFPR cover'!C5</f>
        <v>NGED-SWALES</v>
      </c>
      <c r="B2" s="870"/>
      <c r="C2" s="29"/>
      <c r="D2" s="29"/>
      <c r="E2" s="29"/>
      <c r="F2" s="29"/>
      <c r="G2" s="29"/>
      <c r="H2" s="29"/>
      <c r="I2" s="27"/>
      <c r="J2" s="27"/>
      <c r="K2" s="27"/>
      <c r="L2" s="123"/>
    </row>
    <row r="3" spans="1:18" s="31" customFormat="1" ht="23.25">
      <c r="A3" s="895">
        <f>'RFPR cover'!C7</f>
        <v>2023</v>
      </c>
      <c r="B3" s="887" t="str">
        <f>'R1 - RoRE'!B3</f>
        <v/>
      </c>
      <c r="C3" s="124"/>
      <c r="D3" s="124"/>
      <c r="E3" s="124"/>
      <c r="F3" s="124"/>
      <c r="G3" s="124"/>
      <c r="H3" s="124"/>
      <c r="I3" s="28"/>
      <c r="J3" s="28"/>
      <c r="K3" s="28"/>
      <c r="L3" s="125"/>
    </row>
    <row r="4" spans="1:18" s="2" customFormat="1" ht="12.75" customHeight="1"/>
    <row r="5" spans="1:18" s="2" customFormat="1">
      <c r="B5" s="3"/>
      <c r="C5" s="3"/>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Actuals</v>
      </c>
    </row>
    <row r="6" spans="1:18"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8" s="2" customFormat="1"/>
    <row r="8" spans="1:18">
      <c r="B8" s="14" t="s">
        <v>230</v>
      </c>
      <c r="C8" s="152" t="s">
        <v>128</v>
      </c>
      <c r="D8" s="621">
        <v>43.4</v>
      </c>
      <c r="E8" s="621">
        <v>0</v>
      </c>
      <c r="F8" s="621">
        <v>46.9</v>
      </c>
      <c r="G8" s="621">
        <v>19.399999999999999</v>
      </c>
      <c r="H8" s="621">
        <v>9.3000000000000007</v>
      </c>
      <c r="I8" s="621">
        <v>40</v>
      </c>
      <c r="J8" s="621">
        <v>42.8</v>
      </c>
      <c r="K8" s="623">
        <v>75</v>
      </c>
    </row>
    <row r="9" spans="1:18">
      <c r="B9" s="15" t="s">
        <v>105</v>
      </c>
      <c r="C9" s="14"/>
      <c r="D9" s="727"/>
      <c r="E9" s="727"/>
      <c r="F9" s="727"/>
      <c r="G9" s="727"/>
      <c r="H9" s="727"/>
      <c r="I9" s="727"/>
      <c r="J9" s="727"/>
      <c r="K9" s="727"/>
    </row>
    <row r="10" spans="1:18">
      <c r="B10" s="430" t="s">
        <v>666</v>
      </c>
      <c r="C10" s="152" t="s">
        <v>128</v>
      </c>
      <c r="D10" s="621">
        <v>2.1560517551929284</v>
      </c>
      <c r="E10" s="621">
        <v>0</v>
      </c>
      <c r="F10" s="621">
        <v>2.9728118676841451</v>
      </c>
      <c r="G10" s="621">
        <v>1.7489514988258785</v>
      </c>
      <c r="H10" s="621">
        <v>0.71406990729232855</v>
      </c>
      <c r="I10" s="621">
        <v>0.89560416050999914</v>
      </c>
      <c r="J10" s="621">
        <v>2.409126656344124</v>
      </c>
      <c r="K10" s="603">
        <v>2.6798050265979376</v>
      </c>
      <c r="M10" s="322"/>
    </row>
    <row r="11" spans="1:18">
      <c r="B11" s="430" t="s">
        <v>22</v>
      </c>
      <c r="C11" s="152" t="s">
        <v>128</v>
      </c>
      <c r="D11" s="621">
        <v>0</v>
      </c>
      <c r="E11" s="621">
        <v>0</v>
      </c>
      <c r="F11" s="621">
        <v>0</v>
      </c>
      <c r="G11" s="621">
        <v>0</v>
      </c>
      <c r="H11" s="621">
        <v>0</v>
      </c>
      <c r="I11" s="621">
        <v>0</v>
      </c>
      <c r="J11" s="621">
        <v>0</v>
      </c>
      <c r="K11" s="604">
        <v>0</v>
      </c>
    </row>
    <row r="12" spans="1:18">
      <c r="B12" s="430" t="s">
        <v>20</v>
      </c>
      <c r="C12" s="152" t="s">
        <v>128</v>
      </c>
      <c r="D12" s="621">
        <v>0</v>
      </c>
      <c r="E12" s="621">
        <v>0</v>
      </c>
      <c r="F12" s="621">
        <v>0</v>
      </c>
      <c r="G12" s="621">
        <v>0</v>
      </c>
      <c r="H12" s="621">
        <v>0</v>
      </c>
      <c r="I12" s="621">
        <v>0</v>
      </c>
      <c r="J12" s="621">
        <v>0</v>
      </c>
      <c r="K12" s="606">
        <v>0</v>
      </c>
      <c r="Q12" s="216"/>
    </row>
    <row r="13" spans="1:18">
      <c r="B13" s="14" t="s">
        <v>106</v>
      </c>
      <c r="C13" s="152" t="s">
        <v>128</v>
      </c>
      <c r="D13" s="718">
        <f>D8-SUM(D10:D12)</f>
        <v>41.243948244807072</v>
      </c>
      <c r="E13" s="719">
        <f t="shared" ref="E13:K13" si="1">E8-SUM(E10:E12)</f>
        <v>0</v>
      </c>
      <c r="F13" s="719">
        <f t="shared" si="1"/>
        <v>43.927188132315855</v>
      </c>
      <c r="G13" s="719">
        <f t="shared" si="1"/>
        <v>17.65104850117412</v>
      </c>
      <c r="H13" s="719">
        <f t="shared" si="1"/>
        <v>8.585930092707672</v>
      </c>
      <c r="I13" s="719">
        <f t="shared" ref="I13" si="2">I8-SUM(I10:I12)</f>
        <v>39.104395839490003</v>
      </c>
      <c r="J13" s="719">
        <f t="shared" ref="J13" si="3">J8-SUM(J10:J12)</f>
        <v>40.390873343655876</v>
      </c>
      <c r="K13" s="720">
        <f t="shared" si="1"/>
        <v>72.320194973402067</v>
      </c>
      <c r="R13" s="215"/>
    </row>
    <row r="14" spans="1:18">
      <c r="C14" s="14"/>
      <c r="Q14" s="216"/>
    </row>
    <row r="15" spans="1:18">
      <c r="B15" s="14" t="s">
        <v>495</v>
      </c>
      <c r="C15" s="152" t="s">
        <v>128</v>
      </c>
      <c r="D15" s="621">
        <v>0</v>
      </c>
      <c r="E15" s="621">
        <v>0</v>
      </c>
      <c r="F15" s="621">
        <v>0</v>
      </c>
      <c r="G15" s="621">
        <v>0</v>
      </c>
      <c r="H15" s="621">
        <v>0</v>
      </c>
      <c r="I15" s="621">
        <v>0</v>
      </c>
      <c r="J15" s="621">
        <v>0</v>
      </c>
      <c r="K15" s="603">
        <v>0</v>
      </c>
    </row>
    <row r="18" spans="13:13">
      <c r="M18" s="972"/>
    </row>
    <row r="19" spans="13:13">
      <c r="M19" s="972"/>
    </row>
    <row r="20" spans="13:13">
      <c r="M20" s="972"/>
    </row>
    <row r="21" spans="13:13">
      <c r="M21" s="972"/>
    </row>
    <row r="22" spans="13:13">
      <c r="M22" s="972"/>
    </row>
    <row r="23" spans="13:13">
      <c r="M23" s="972"/>
    </row>
    <row r="24" spans="13:13">
      <c r="M24" s="972"/>
    </row>
    <row r="25" spans="13:13">
      <c r="M25" s="972"/>
    </row>
  </sheetData>
  <conditionalFormatting sqref="D6:K6">
    <cfRule type="expression" dxfId="29" priority="17">
      <formula>AND(D$5="Actuals",E$5="N/A")</formula>
    </cfRule>
  </conditionalFormatting>
  <conditionalFormatting sqref="D5:K5">
    <cfRule type="expression" dxfId="28" priority="10">
      <formula>AND(D$5="Actuals",E$5="N/A")</formula>
    </cfRule>
  </conditionalFormatting>
  <conditionalFormatting sqref="D8 D5:K6 D13:H13 K10:K13 K8">
    <cfRule type="expression" dxfId="27" priority="9">
      <formula>D$5="N/A"</formula>
    </cfRule>
  </conditionalFormatting>
  <conditionalFormatting sqref="K15">
    <cfRule type="expression" dxfId="26" priority="8">
      <formula>K$5="N/A"</formula>
    </cfRule>
  </conditionalFormatting>
  <conditionalFormatting sqref="J13">
    <cfRule type="expression" dxfId="25" priority="7">
      <formula>J$5="N/A"</formula>
    </cfRule>
  </conditionalFormatting>
  <conditionalFormatting sqref="I13">
    <cfRule type="expression" dxfId="24" priority="5">
      <formula>I$5="N/A"</formula>
    </cfRule>
  </conditionalFormatting>
  <conditionalFormatting sqref="E8:J8">
    <cfRule type="expression" dxfId="23" priority="3">
      <formula>E$5="N/A"</formula>
    </cfRule>
  </conditionalFormatting>
  <conditionalFormatting sqref="D10:J12">
    <cfRule type="expression" dxfId="22" priority="2">
      <formula>D$5="N/A"</formula>
    </cfRule>
  </conditionalFormatting>
  <conditionalFormatting sqref="D15:J15">
    <cfRule type="expression" dxfId="21"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13" activePane="bottomLeft" state="frozen"/>
      <selection activeCell="I11" sqref="I11"/>
      <selection pane="bottomLeft" activeCell="J18" sqref="J18:K18"/>
    </sheetView>
  </sheetViews>
  <sheetFormatPr defaultRowHeight="12.75"/>
  <cols>
    <col min="1" max="1" width="8.375" customWidth="1"/>
    <col min="2" max="2" width="82" customWidth="1"/>
    <col min="3" max="3" width="14.125" customWidth="1"/>
    <col min="4" max="11" width="11.125" customWidth="1"/>
    <col min="12" max="12" width="5" customWidth="1"/>
  </cols>
  <sheetData>
    <row r="1" spans="1:12" s="31" customFormat="1" ht="20.25">
      <c r="A1" s="889" t="s">
        <v>255</v>
      </c>
      <c r="B1" s="885"/>
      <c r="C1" s="256"/>
      <c r="D1" s="256"/>
      <c r="E1" s="256"/>
      <c r="F1" s="256"/>
      <c r="G1" s="256"/>
      <c r="H1" s="256"/>
      <c r="I1" s="257"/>
      <c r="J1" s="257"/>
      <c r="K1" s="258"/>
      <c r="L1" s="259"/>
    </row>
    <row r="2" spans="1:12" s="31" customFormat="1" ht="20.25">
      <c r="A2" s="878" t="str">
        <f>'RFPR cover'!C5</f>
        <v>NGED-SWALES</v>
      </c>
      <c r="B2" s="870"/>
      <c r="C2" s="29"/>
      <c r="D2" s="29"/>
      <c r="E2" s="29"/>
      <c r="F2" s="29"/>
      <c r="G2" s="29"/>
      <c r="H2" s="29"/>
      <c r="I2" s="27"/>
      <c r="J2" s="27"/>
      <c r="K2" s="27"/>
      <c r="L2" s="123"/>
    </row>
    <row r="3" spans="1:12" s="31" customFormat="1" ht="20.25">
      <c r="A3" s="881">
        <f>'RFPR cover'!C7</f>
        <v>2023</v>
      </c>
      <c r="B3" s="888"/>
      <c r="C3" s="260"/>
      <c r="D3" s="260"/>
      <c r="E3" s="260"/>
      <c r="F3" s="260"/>
      <c r="G3" s="260"/>
      <c r="H3" s="260"/>
      <c r="I3" s="255"/>
      <c r="J3" s="255"/>
      <c r="K3" s="255"/>
      <c r="L3" s="261"/>
    </row>
    <row r="4" spans="1:12" s="2" customFormat="1" ht="12.75" customHeight="1">
      <c r="A4" s="35"/>
      <c r="B4" s="269"/>
      <c r="C4" s="31"/>
      <c r="D4" s="270"/>
      <c r="E4" s="270"/>
      <c r="F4" s="35"/>
      <c r="G4" s="35"/>
      <c r="H4" s="35"/>
      <c r="I4" s="35"/>
      <c r="J4" s="35"/>
      <c r="K4" s="35"/>
    </row>
    <row r="5" spans="1:12" s="2" customFormat="1" ht="12.75" customHeight="1">
      <c r="A5" s="35"/>
      <c r="B5" s="269"/>
      <c r="C5" s="3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12" s="2" customFormat="1">
      <c r="A6" s="35"/>
      <c r="B6" s="35"/>
      <c r="C6" s="3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A7" s="35"/>
      <c r="B7" s="35"/>
      <c r="C7" s="31"/>
      <c r="D7" s="31"/>
      <c r="E7" s="31"/>
      <c r="F7" s="31"/>
      <c r="G7" s="31"/>
      <c r="H7" s="31"/>
      <c r="I7" s="31"/>
      <c r="J7" s="31"/>
      <c r="K7" s="31"/>
      <c r="L7" s="31"/>
    </row>
    <row r="8" spans="1:12">
      <c r="B8" s="14" t="s">
        <v>384</v>
      </c>
      <c r="C8" s="152" t="s">
        <v>128</v>
      </c>
      <c r="D8" s="728">
        <v>34.086201676005537</v>
      </c>
      <c r="E8" s="728">
        <v>69.707374297607302</v>
      </c>
      <c r="F8" s="728">
        <v>0</v>
      </c>
      <c r="G8" s="728">
        <v>33.404017108190544</v>
      </c>
      <c r="H8" s="728">
        <v>32.966619352577247</v>
      </c>
      <c r="I8" s="728">
        <v>30.03475720731285</v>
      </c>
      <c r="J8" s="728">
        <v>6.7578203716453906</v>
      </c>
      <c r="K8" s="729">
        <v>6.7578203716453906</v>
      </c>
    </row>
    <row r="9" spans="1:12">
      <c r="B9" s="16" t="s">
        <v>24</v>
      </c>
      <c r="D9" s="727"/>
      <c r="E9" s="727"/>
      <c r="F9" s="727"/>
      <c r="G9" s="727"/>
      <c r="H9" s="727"/>
      <c r="I9" s="727"/>
      <c r="J9" s="727"/>
      <c r="K9" s="727"/>
    </row>
    <row r="10" spans="1:12">
      <c r="B10" t="s">
        <v>23</v>
      </c>
      <c r="C10" s="152" t="s">
        <v>128</v>
      </c>
      <c r="D10" s="728">
        <v>27.018399787323251</v>
      </c>
      <c r="E10" s="728">
        <v>55.253497091412314</v>
      </c>
      <c r="F10" s="728">
        <v>0</v>
      </c>
      <c r="G10" s="728">
        <v>26.389292034069662</v>
      </c>
      <c r="H10" s="728">
        <v>26.043746231489052</v>
      </c>
      <c r="I10" s="728">
        <v>25.993931379646664</v>
      </c>
      <c r="J10" s="728">
        <v>5.8486345604204999</v>
      </c>
      <c r="K10" s="660">
        <v>5.8486345604204999</v>
      </c>
    </row>
    <row r="11" spans="1:12">
      <c r="B11" t="s">
        <v>25</v>
      </c>
      <c r="C11" s="152" t="s">
        <v>128</v>
      </c>
      <c r="D11" s="728">
        <v>0.76781756804892043</v>
      </c>
      <c r="E11" s="728">
        <v>1.5702115218646047</v>
      </c>
      <c r="F11" s="728">
        <v>0</v>
      </c>
      <c r="G11" s="728">
        <v>-5.7506164941511707E-2</v>
      </c>
      <c r="H11" s="728">
        <v>-5.6753169653613295E-2</v>
      </c>
      <c r="I11" s="728">
        <v>-2.0151133505054561</v>
      </c>
      <c r="J11" s="728">
        <v>-0.45340050386372754</v>
      </c>
      <c r="K11" s="730">
        <v>-0.45340050386372754</v>
      </c>
    </row>
    <row r="12" spans="1:12">
      <c r="D12" s="727"/>
      <c r="E12" s="727"/>
      <c r="F12" s="727"/>
      <c r="G12" s="727"/>
      <c r="H12" s="727"/>
      <c r="I12" s="727"/>
      <c r="J12" s="727"/>
      <c r="K12" s="727"/>
    </row>
    <row r="13" spans="1:12">
      <c r="D13" s="727"/>
      <c r="E13" s="727"/>
      <c r="F13" s="727"/>
      <c r="G13" s="727"/>
      <c r="H13" s="727"/>
      <c r="I13" s="727"/>
      <c r="J13" s="727"/>
      <c r="K13" s="727"/>
    </row>
    <row r="14" spans="1:12">
      <c r="B14" t="s">
        <v>23</v>
      </c>
      <c r="C14" s="210" t="str">
        <f>'RFPR cover'!$C$14</f>
        <v>£m 12/13</v>
      </c>
      <c r="D14" s="17">
        <f>D10/Data!C$34</f>
        <v>25.481442098589294</v>
      </c>
      <c r="E14" s="17">
        <f>E10/Data!D$34</f>
        <v>51.017198258216496</v>
      </c>
      <c r="F14" s="17">
        <f>F10/Data!E$34</f>
        <v>0</v>
      </c>
      <c r="G14" s="17">
        <f>G10/Data!F$34</f>
        <v>22.790743743332328</v>
      </c>
      <c r="H14" s="17">
        <f>H10/Data!G$34</f>
        <v>21.924751444008724</v>
      </c>
      <c r="I14" s="17">
        <f>I10/Data!H$34</f>
        <v>21.620593609463494</v>
      </c>
      <c r="J14" s="17">
        <f>J10/Data!I$34</f>
        <v>4.5989968474886904</v>
      </c>
      <c r="K14" s="17">
        <f>K10/Data!J$34</f>
        <v>4.0744458869328248</v>
      </c>
    </row>
    <row r="15" spans="1:12">
      <c r="D15" s="727"/>
      <c r="E15" s="727"/>
      <c r="F15" s="727"/>
      <c r="G15" s="727"/>
      <c r="H15" s="727"/>
      <c r="I15" s="727"/>
      <c r="J15" s="727"/>
      <c r="K15" s="727"/>
    </row>
    <row r="16" spans="1:12">
      <c r="D16" s="727"/>
      <c r="E16" s="727"/>
      <c r="F16" s="727"/>
      <c r="G16" s="727"/>
      <c r="H16" s="727"/>
      <c r="I16" s="727"/>
      <c r="J16" s="727"/>
      <c r="K16" s="727"/>
    </row>
    <row r="17" spans="2:11" s="2" customFormat="1">
      <c r="B17" s="14" t="s">
        <v>309</v>
      </c>
      <c r="C17" s="210" t="str">
        <f>'RFPR cover'!$C$14</f>
        <v>£m 12/13</v>
      </c>
      <c r="D17" s="728">
        <v>25.425543387583833</v>
      </c>
      <c r="E17" s="728">
        <v>25.425543387583833</v>
      </c>
      <c r="F17" s="728">
        <v>25.425543387583833</v>
      </c>
      <c r="G17" s="728">
        <v>25.428685775819954</v>
      </c>
      <c r="H17" s="728">
        <v>25.428685775819954</v>
      </c>
      <c r="I17" s="728">
        <v>25.428685775819954</v>
      </c>
      <c r="J17" s="728">
        <v>13.756563951413312</v>
      </c>
      <c r="K17" s="728">
        <v>13.756563951413312</v>
      </c>
    </row>
    <row r="18" spans="2:11" s="2" customFormat="1">
      <c r="B18" s="200" t="s">
        <v>310</v>
      </c>
      <c r="C18" s="210" t="str">
        <f>'RFPR cover'!$C$14</f>
        <v>£m 12/13</v>
      </c>
      <c r="D18" s="728">
        <v>1.4699695944415692</v>
      </c>
      <c r="E18" s="728">
        <v>1.4699695944415692</v>
      </c>
      <c r="F18" s="728">
        <v>1.4731119826776899</v>
      </c>
      <c r="G18" s="728">
        <v>1.4731119826776899</v>
      </c>
      <c r="H18" s="728">
        <v>1.4731119826776899</v>
      </c>
      <c r="I18" s="728">
        <v>1.4731119826776899</v>
      </c>
      <c r="J18" s="851">
        <v>4.8</v>
      </c>
      <c r="K18" s="851">
        <v>4.8</v>
      </c>
    </row>
    <row r="19" spans="2:11" s="2" customFormat="1">
      <c r="B19" s="14" t="s">
        <v>311</v>
      </c>
      <c r="C19" s="210" t="str">
        <f>'RFPR cover'!$C$14</f>
        <v>£m 12/13</v>
      </c>
      <c r="D19" s="17">
        <f>D17-D18</f>
        <v>23.955573793142264</v>
      </c>
      <c r="E19" s="17">
        <f t="shared" ref="E19:K19" si="1">E17-E18</f>
        <v>23.955573793142264</v>
      </c>
      <c r="F19" s="17">
        <f t="shared" si="1"/>
        <v>23.952431404906143</v>
      </c>
      <c r="G19" s="17">
        <f t="shared" si="1"/>
        <v>23.955573793142264</v>
      </c>
      <c r="H19" s="17">
        <f t="shared" si="1"/>
        <v>23.955573793142264</v>
      </c>
      <c r="I19" s="17">
        <f t="shared" si="1"/>
        <v>23.955573793142264</v>
      </c>
      <c r="J19" s="17">
        <f t="shared" si="1"/>
        <v>8.9565639514133117</v>
      </c>
      <c r="K19" s="17">
        <f t="shared" si="1"/>
        <v>8.9565639514133117</v>
      </c>
    </row>
    <row r="20" spans="2:11" s="2" customFormat="1">
      <c r="B20" s="14"/>
      <c r="C20" s="14"/>
      <c r="D20" s="14"/>
      <c r="E20" s="14"/>
      <c r="F20" s="14"/>
      <c r="G20" s="14"/>
      <c r="H20" s="14"/>
      <c r="I20" s="14"/>
      <c r="J20" s="14"/>
      <c r="K20" s="14"/>
    </row>
    <row r="21" spans="2:11" s="2" customFormat="1">
      <c r="B21" s="14"/>
      <c r="C21" s="14"/>
      <c r="D21" s="1019" t="s">
        <v>118</v>
      </c>
      <c r="E21" s="14"/>
      <c r="F21" s="14"/>
      <c r="G21" s="14"/>
      <c r="H21" s="14"/>
      <c r="I21" s="14"/>
      <c r="J21" s="14"/>
      <c r="K21" s="14"/>
    </row>
    <row r="22" spans="2:11" s="2" customFormat="1" ht="12.75" customHeight="1">
      <c r="B22" s="14"/>
      <c r="C22" s="14"/>
      <c r="D22" s="1020"/>
      <c r="E22" s="14"/>
      <c r="F22" s="14"/>
      <c r="G22" s="14"/>
      <c r="H22" s="14"/>
      <c r="I22" s="14"/>
      <c r="J22" s="14"/>
      <c r="K22" s="14"/>
    </row>
    <row r="23" spans="2:11">
      <c r="C23" s="14"/>
      <c r="D23" s="1021"/>
      <c r="E23" s="14"/>
    </row>
    <row r="24" spans="2:11">
      <c r="B24" s="14" t="s">
        <v>117</v>
      </c>
      <c r="C24" s="14"/>
      <c r="D24" s="916">
        <v>43555</v>
      </c>
    </row>
    <row r="25" spans="2:11">
      <c r="B25" s="14"/>
      <c r="C25" s="14"/>
      <c r="D25" s="40"/>
      <c r="E25" s="41"/>
      <c r="F25" s="41"/>
    </row>
    <row r="26" spans="2:11">
      <c r="B26" s="200" t="s">
        <v>308</v>
      </c>
      <c r="C26" s="14"/>
      <c r="D26" s="962" t="s">
        <v>670</v>
      </c>
      <c r="E26" s="41"/>
      <c r="F26" s="41"/>
    </row>
    <row r="27" spans="2:11">
      <c r="B27" s="200"/>
      <c r="C27" s="14"/>
      <c r="D27" s="40"/>
      <c r="E27" s="41"/>
      <c r="F27" s="41"/>
    </row>
    <row r="28" spans="2:11">
      <c r="B28" s="14"/>
      <c r="D28" s="362" t="s">
        <v>278</v>
      </c>
      <c r="E28" s="41"/>
      <c r="F28" s="41"/>
    </row>
    <row r="29" spans="2:11">
      <c r="B29" t="s">
        <v>26</v>
      </c>
      <c r="D29" s="917">
        <v>389.98603000000003</v>
      </c>
    </row>
    <row r="30" spans="2:11">
      <c r="B30" t="s">
        <v>27</v>
      </c>
      <c r="D30" s="917">
        <v>2304.3139700000002</v>
      </c>
    </row>
    <row r="31" spans="2:11">
      <c r="D31" s="727"/>
    </row>
    <row r="32" spans="2:11">
      <c r="B32" t="s">
        <v>28</v>
      </c>
      <c r="D32" s="917">
        <v>410.80000000000007</v>
      </c>
    </row>
    <row r="33" spans="2:4">
      <c r="B33" t="s">
        <v>29</v>
      </c>
      <c r="D33" s="917">
        <v>2011.8000000000002</v>
      </c>
    </row>
    <row r="34" spans="2:4">
      <c r="D34" s="727"/>
    </row>
    <row r="35" spans="2:4">
      <c r="B35" s="43" t="s">
        <v>31</v>
      </c>
      <c r="D35" s="17">
        <f>D29-D32</f>
        <v>-20.81397000000004</v>
      </c>
    </row>
    <row r="36" spans="2:4">
      <c r="B36" s="43" t="s">
        <v>30</v>
      </c>
      <c r="D36" s="17">
        <f>D30-D33</f>
        <v>292.51396999999997</v>
      </c>
    </row>
    <row r="37" spans="2:4">
      <c r="D37" s="727"/>
    </row>
    <row r="38" spans="2:4">
      <c r="B38" t="s">
        <v>32</v>
      </c>
      <c r="D38" s="917">
        <v>110.09710799659561</v>
      </c>
    </row>
    <row r="39" spans="2:4">
      <c r="B39" t="s">
        <v>33</v>
      </c>
      <c r="D39" s="917">
        <v>-8.0915638312593661</v>
      </c>
    </row>
  </sheetData>
  <mergeCells count="1">
    <mergeCell ref="D21:D23"/>
  </mergeCells>
  <conditionalFormatting sqref="D6:J6">
    <cfRule type="expression" dxfId="20" priority="30">
      <formula>AND(D$4="Actuals",E$4="Forecast")</formula>
    </cfRule>
  </conditionalFormatting>
  <conditionalFormatting sqref="K11">
    <cfRule type="expression" dxfId="19" priority="24">
      <formula>K$5="Forecast"</formula>
    </cfRule>
    <cfRule type="expression" dxfId="18" priority="25">
      <formula>K$5="Actuals"</formula>
    </cfRule>
  </conditionalFormatting>
  <conditionalFormatting sqref="D8:K8">
    <cfRule type="expression" dxfId="17" priority="28">
      <formula>D$5="Forecast"</formula>
    </cfRule>
    <cfRule type="expression" dxfId="16" priority="29">
      <formula>D$5="Actuals"</formula>
    </cfRule>
  </conditionalFormatting>
  <conditionalFormatting sqref="K10">
    <cfRule type="expression" dxfId="15" priority="26">
      <formula>K$5="Forecast"</formula>
    </cfRule>
    <cfRule type="expression" dxfId="14" priority="27">
      <formula>K$5="Actuals"</formula>
    </cfRule>
  </conditionalFormatting>
  <conditionalFormatting sqref="D5:K6">
    <cfRule type="expression" dxfId="13" priority="23">
      <formula>AND(D$5="Actuals",E$5="Forecast")</formula>
    </cfRule>
  </conditionalFormatting>
  <conditionalFormatting sqref="D21">
    <cfRule type="expression" dxfId="12" priority="20">
      <formula>AND(E$4="Actuals",F$4="Forecast")</formula>
    </cfRule>
  </conditionalFormatting>
  <conditionalFormatting sqref="K6">
    <cfRule type="expression" dxfId="11" priority="126">
      <formula>AND(K$4="Actuals",#REF!="Forecast")</formula>
    </cfRule>
  </conditionalFormatting>
  <conditionalFormatting sqref="K5">
    <cfRule type="expression" dxfId="10" priority="128">
      <formula>AND(K$5="Actuals",#REF!="Forecast")</formula>
    </cfRule>
  </conditionalFormatting>
  <conditionalFormatting sqref="D10:J10">
    <cfRule type="expression" dxfId="9" priority="7">
      <formula>D$5="Forecast"</formula>
    </cfRule>
    <cfRule type="expression" dxfId="8" priority="8">
      <formula>D$5="Actuals"</formula>
    </cfRule>
  </conditionalFormatting>
  <conditionalFormatting sqref="D11:J11">
    <cfRule type="expression" dxfId="7" priority="5">
      <formula>D$5="Forecast"</formula>
    </cfRule>
    <cfRule type="expression" dxfId="6" priority="6">
      <formula>D$5="Actuals"</formula>
    </cfRule>
  </conditionalFormatting>
  <conditionalFormatting sqref="D17:K17">
    <cfRule type="expression" dxfId="5" priority="3">
      <formula>D$5="Forecast"</formula>
    </cfRule>
    <cfRule type="expression" dxfId="4" priority="4">
      <formula>D$5="Actuals"</formula>
    </cfRule>
  </conditionalFormatting>
  <conditionalFormatting sqref="D18:I18">
    <cfRule type="expression" dxfId="3" priority="1">
      <formula>D$5="Forecast"</formula>
    </cfRule>
    <cfRule type="expression" dxfId="2" priority="2">
      <formula>D$5="Actuals"</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60" zoomScaleNormal="60" workbookViewId="0">
      <pane ySplit="6" topLeftCell="A7" activePane="bottomLeft" state="frozen"/>
      <selection activeCell="I11" sqref="I11"/>
      <selection pane="bottomLeft" activeCell="J53" sqref="J53"/>
    </sheetView>
  </sheetViews>
  <sheetFormatPr defaultRowHeight="12.75"/>
  <cols>
    <col min="1" max="1" width="8.375" customWidth="1"/>
    <col min="2" max="2" width="70.75" customWidth="1"/>
    <col min="3" max="3" width="14.125" customWidth="1"/>
    <col min="4" max="11" width="11.125" customWidth="1"/>
    <col min="12" max="12" width="5" customWidth="1"/>
  </cols>
  <sheetData>
    <row r="1" spans="1:19" s="31" customFormat="1" ht="20.25">
      <c r="A1" s="875" t="s">
        <v>254</v>
      </c>
      <c r="B1" s="885"/>
      <c r="C1" s="256"/>
      <c r="D1" s="256"/>
      <c r="E1" s="256"/>
      <c r="F1" s="256"/>
      <c r="G1" s="256"/>
      <c r="H1" s="256"/>
      <c r="I1" s="257"/>
      <c r="J1" s="257"/>
      <c r="K1" s="258"/>
      <c r="L1" s="363"/>
      <c r="M1" s="33"/>
      <c r="N1" s="33"/>
      <c r="O1" s="32" t="s">
        <v>84</v>
      </c>
      <c r="P1" s="33"/>
      <c r="Q1" s="33"/>
      <c r="R1" s="33"/>
      <c r="S1" s="33"/>
    </row>
    <row r="2" spans="1:19" s="31" customFormat="1" ht="20.25">
      <c r="A2" s="878" t="str">
        <f>'RFPR cover'!C5</f>
        <v>NGED-SWALES</v>
      </c>
      <c r="B2" s="870"/>
      <c r="C2" s="29"/>
      <c r="D2" s="29"/>
      <c r="E2" s="29"/>
      <c r="F2" s="29"/>
      <c r="G2" s="29"/>
      <c r="H2" s="29"/>
      <c r="I2" s="27"/>
      <c r="J2" s="27"/>
      <c r="K2" s="27"/>
      <c r="L2" s="123"/>
      <c r="M2" s="33"/>
      <c r="N2" s="33"/>
      <c r="O2" s="32" t="s">
        <v>84</v>
      </c>
      <c r="P2" s="33"/>
      <c r="Q2" s="33"/>
      <c r="R2" s="33"/>
      <c r="S2" s="33"/>
    </row>
    <row r="3" spans="1:19" s="31" customFormat="1" ht="20.25">
      <c r="A3" s="881">
        <f>'RFPR cover'!C7</f>
        <v>2023</v>
      </c>
      <c r="B3" s="888"/>
      <c r="C3" s="260"/>
      <c r="D3" s="260"/>
      <c r="E3" s="260"/>
      <c r="F3" s="260"/>
      <c r="G3" s="260"/>
      <c r="H3" s="260"/>
      <c r="I3" s="255"/>
      <c r="J3" s="255"/>
      <c r="K3" s="255"/>
      <c r="L3" s="261"/>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M5" s="33"/>
      <c r="N5" s="33"/>
      <c r="O5" s="32" t="s">
        <v>84</v>
      </c>
      <c r="P5" s="33"/>
      <c r="Q5" s="33"/>
      <c r="R5" s="33"/>
      <c r="S5" s="33"/>
    </row>
    <row r="6" spans="1:19" s="2" customFormat="1">
      <c r="C6" s="14"/>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9">
      <c r="D7" s="734"/>
      <c r="E7" s="734"/>
      <c r="F7" s="734"/>
      <c r="G7" s="734"/>
      <c r="H7" s="734"/>
      <c r="I7" s="734"/>
      <c r="J7" s="734"/>
      <c r="K7" s="734"/>
    </row>
    <row r="8" spans="1:19">
      <c r="B8" s="51" t="s">
        <v>458</v>
      </c>
      <c r="C8" s="210" t="str">
        <f>'RFPR cover'!$C$14</f>
        <v>£m 12/13</v>
      </c>
      <c r="D8" s="731">
        <f>(D16+D21)/Data!C34</f>
        <v>4.5269491545021344E-5</v>
      </c>
      <c r="E8" s="731">
        <f>(E16+E21)/Data!D34</f>
        <v>0</v>
      </c>
      <c r="F8" s="731">
        <f>(F16+F21)/Data!E34</f>
        <v>2.162760814527204E-5</v>
      </c>
      <c r="G8" s="731">
        <f>(G16+G21)/Data!F34</f>
        <v>2.0986355838876579E-5</v>
      </c>
      <c r="H8" s="731">
        <f>(H16+H21)/Data!G34</f>
        <v>2.0456790484513596E-5</v>
      </c>
      <c r="I8" s="731">
        <f>(I16+I21)/Data!H34</f>
        <v>3.638098257112457E-3</v>
      </c>
      <c r="J8" s="731">
        <f>(J16+J21)/Data!I34</f>
        <v>2.3846861234525547</v>
      </c>
      <c r="K8" s="731">
        <f>(K16+K21)/Data!J34</f>
        <v>8.8875006406295828E-4</v>
      </c>
    </row>
    <row r="9" spans="1:19">
      <c r="D9" s="734"/>
      <c r="E9" s="734"/>
      <c r="F9" s="734"/>
      <c r="G9" s="734"/>
      <c r="H9" s="734"/>
      <c r="I9" s="734"/>
      <c r="J9" s="734"/>
      <c r="K9" s="734"/>
    </row>
    <row r="10" spans="1:19">
      <c r="B10" s="14" t="s">
        <v>442</v>
      </c>
      <c r="D10" s="734"/>
      <c r="E10" s="734"/>
      <c r="F10" s="734"/>
      <c r="G10" s="734"/>
      <c r="H10" s="734"/>
      <c r="I10" s="734"/>
      <c r="J10" s="734"/>
      <c r="K10" s="734"/>
    </row>
    <row r="11" spans="1:19">
      <c r="B11" s="44" t="s">
        <v>631</v>
      </c>
      <c r="C11" s="152" t="s">
        <v>128</v>
      </c>
      <c r="D11" s="621">
        <v>0</v>
      </c>
      <c r="E11" s="622">
        <v>0</v>
      </c>
      <c r="F11" s="622">
        <v>0</v>
      </c>
      <c r="G11" s="622">
        <v>0</v>
      </c>
      <c r="H11" s="622">
        <v>0</v>
      </c>
      <c r="I11" s="622">
        <v>0</v>
      </c>
      <c r="J11" s="622">
        <f>14.9/4</f>
        <v>3.7250000000000001</v>
      </c>
      <c r="K11" s="623">
        <v>0</v>
      </c>
    </row>
    <row r="12" spans="1:19">
      <c r="B12" s="44" t="s">
        <v>36</v>
      </c>
      <c r="C12" s="152" t="s">
        <v>128</v>
      </c>
      <c r="D12" s="621">
        <v>0</v>
      </c>
      <c r="E12" s="622">
        <v>0</v>
      </c>
      <c r="F12" s="622">
        <v>0</v>
      </c>
      <c r="G12" s="622">
        <v>0</v>
      </c>
      <c r="H12" s="622">
        <v>0</v>
      </c>
      <c r="I12" s="622">
        <v>0</v>
      </c>
      <c r="J12" s="622">
        <v>0</v>
      </c>
      <c r="K12" s="623">
        <v>0</v>
      </c>
    </row>
    <row r="13" spans="1:19">
      <c r="B13" s="44" t="s">
        <v>20</v>
      </c>
      <c r="C13" s="152" t="s">
        <v>128</v>
      </c>
      <c r="D13" s="621">
        <v>0</v>
      </c>
      <c r="E13" s="622">
        <v>0</v>
      </c>
      <c r="F13" s="622">
        <v>0</v>
      </c>
      <c r="G13" s="622">
        <v>0</v>
      </c>
      <c r="H13" s="622">
        <v>0</v>
      </c>
      <c r="I13" s="622">
        <v>0</v>
      </c>
      <c r="J13" s="622">
        <v>0</v>
      </c>
      <c r="K13" s="623">
        <v>0</v>
      </c>
    </row>
    <row r="14" spans="1:19">
      <c r="B14" s="14" t="s">
        <v>455</v>
      </c>
      <c r="C14" s="152" t="s">
        <v>128</v>
      </c>
      <c r="D14" s="731">
        <f>SUM(D11:D13)</f>
        <v>0</v>
      </c>
      <c r="E14" s="732">
        <f t="shared" ref="E14:H14" si="1">SUM(E11:E13)</f>
        <v>0</v>
      </c>
      <c r="F14" s="732">
        <f t="shared" si="1"/>
        <v>0</v>
      </c>
      <c r="G14" s="732">
        <f t="shared" si="1"/>
        <v>0</v>
      </c>
      <c r="H14" s="732">
        <f t="shared" si="1"/>
        <v>0</v>
      </c>
      <c r="I14" s="732">
        <f t="shared" ref="I14:K14" si="2">SUM(I11:I13)</f>
        <v>0</v>
      </c>
      <c r="J14" s="732">
        <f t="shared" si="2"/>
        <v>3.7250000000000001</v>
      </c>
      <c r="K14" s="733">
        <f t="shared" si="2"/>
        <v>0</v>
      </c>
    </row>
    <row r="15" spans="1:19">
      <c r="B15" s="35" t="s">
        <v>449</v>
      </c>
      <c r="C15" s="152" t="s">
        <v>128</v>
      </c>
      <c r="D15" s="621">
        <v>0</v>
      </c>
      <c r="E15" s="622">
        <v>0</v>
      </c>
      <c r="F15" s="622">
        <v>0</v>
      </c>
      <c r="G15" s="622">
        <v>0</v>
      </c>
      <c r="H15" s="622">
        <v>0</v>
      </c>
      <c r="I15" s="622">
        <v>0</v>
      </c>
      <c r="J15" s="622">
        <f>+J14*Data!$G$26</f>
        <v>0.70774999999999999</v>
      </c>
      <c r="K15" s="623">
        <f>+K14*Data!$G$27</f>
        <v>0</v>
      </c>
    </row>
    <row r="16" spans="1:19">
      <c r="B16" s="51" t="s">
        <v>456</v>
      </c>
      <c r="C16" s="152" t="s">
        <v>128</v>
      </c>
      <c r="D16" s="731">
        <f>D14-D15</f>
        <v>0</v>
      </c>
      <c r="E16" s="731">
        <f t="shared" ref="E16:K16" si="3">E14-E15</f>
        <v>0</v>
      </c>
      <c r="F16" s="731">
        <f t="shared" si="3"/>
        <v>0</v>
      </c>
      <c r="G16" s="731">
        <f t="shared" si="3"/>
        <v>0</v>
      </c>
      <c r="H16" s="731">
        <f t="shared" si="3"/>
        <v>0</v>
      </c>
      <c r="I16" s="731">
        <f t="shared" si="3"/>
        <v>0</v>
      </c>
      <c r="J16" s="731">
        <f t="shared" si="3"/>
        <v>3.0172500000000002</v>
      </c>
      <c r="K16" s="731">
        <f t="shared" si="3"/>
        <v>0</v>
      </c>
    </row>
    <row r="18" spans="2:11">
      <c r="B18" s="14" t="s">
        <v>453</v>
      </c>
      <c r="D18" s="734"/>
      <c r="E18" s="734"/>
      <c r="F18" s="734"/>
      <c r="G18" s="734"/>
      <c r="H18" s="734"/>
      <c r="I18" s="734"/>
      <c r="J18" s="734"/>
      <c r="K18" s="734"/>
    </row>
    <row r="19" spans="2:11">
      <c r="B19" s="813" t="s">
        <v>454</v>
      </c>
      <c r="C19" s="152" t="s">
        <v>128</v>
      </c>
      <c r="D19" s="621">
        <v>5.9999999999997555E-5</v>
      </c>
      <c r="E19" s="622">
        <v>0</v>
      </c>
      <c r="F19" s="622">
        <v>3.0000000000002247E-5</v>
      </c>
      <c r="G19" s="622">
        <v>3.0000000000002247E-5</v>
      </c>
      <c r="H19" s="622">
        <v>3.0000000000000001E-5</v>
      </c>
      <c r="I19" s="622">
        <v>5.4000000000000003E-3</v>
      </c>
      <c r="J19" s="622">
        <v>1.9015000000000001E-2</v>
      </c>
      <c r="K19" s="622">
        <v>1.575E-3</v>
      </c>
    </row>
    <row r="20" spans="2:11">
      <c r="B20" s="35" t="s">
        <v>449</v>
      </c>
      <c r="C20" s="152" t="s">
        <v>128</v>
      </c>
      <c r="D20" s="621">
        <v>1.1999999999999512E-5</v>
      </c>
      <c r="E20" s="622">
        <v>0</v>
      </c>
      <c r="F20" s="622">
        <v>5.7000000000004274E-6</v>
      </c>
      <c r="G20" s="622">
        <v>5.7000000000004274E-6</v>
      </c>
      <c r="H20" s="622">
        <v>5.7000000000000005E-6</v>
      </c>
      <c r="I20" s="622">
        <f>+I19*Data!$G$25</f>
        <v>1.026E-3</v>
      </c>
      <c r="J20" s="622">
        <f>+J19*Data!$G$26</f>
        <v>3.6128500000000003E-3</v>
      </c>
      <c r="K20" s="622">
        <f>+K19*Data!$G$27</f>
        <v>2.9924999999999998E-4</v>
      </c>
    </row>
    <row r="21" spans="2:11">
      <c r="B21" s="51" t="s">
        <v>457</v>
      </c>
      <c r="C21" s="152" t="s">
        <v>128</v>
      </c>
      <c r="D21" s="731">
        <f>D19-D20</f>
        <v>4.7999999999998043E-5</v>
      </c>
      <c r="E21" s="731">
        <f t="shared" ref="E21:K21" si="4">E19-E20</f>
        <v>0</v>
      </c>
      <c r="F21" s="731">
        <f t="shared" si="4"/>
        <v>2.4300000000001821E-5</v>
      </c>
      <c r="G21" s="731">
        <f t="shared" si="4"/>
        <v>2.4300000000001821E-5</v>
      </c>
      <c r="H21" s="731">
        <f t="shared" si="4"/>
        <v>2.4300000000000001E-5</v>
      </c>
      <c r="I21" s="731">
        <f t="shared" si="4"/>
        <v>4.3740000000000003E-3</v>
      </c>
      <c r="J21" s="731">
        <f t="shared" si="4"/>
        <v>1.540215E-2</v>
      </c>
      <c r="K21" s="731">
        <f t="shared" si="4"/>
        <v>1.27575E-3</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hyperlinks>
    <hyperlink ref="M12" r:id="rId1" display="\\Chvdcs01\rrp\ED1 RRPs\RRP 2021 22\RFPR\FINANCE BRIEF APRIL 22\RE  PSR investigation fine.msg"/>
  </hyperlinks>
  <pageMargins left="0.70866141732283472" right="0.70866141732283472" top="0.74803149606299213" bottom="0.74803149606299213" header="0.31496062992125984" footer="0.31496062992125984"/>
  <pageSetup paperSize="8" scale="91"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80" zoomScaleNormal="80" workbookViewId="0">
      <pane ySplit="4" topLeftCell="A5" activePane="bottomLeft" state="frozen"/>
      <selection activeCell="I11" sqref="I11"/>
      <selection pane="bottomLeft" activeCell="B129" sqref="B129:B132"/>
    </sheetView>
  </sheetViews>
  <sheetFormatPr defaultRowHeight="12.75"/>
  <cols>
    <col min="1" max="1" width="8.375" customWidth="1"/>
    <col min="2" max="2" width="35.125" customWidth="1"/>
    <col min="8" max="8" width="10.125" bestFit="1" customWidth="1"/>
    <col min="14" max="14" width="9" customWidth="1"/>
  </cols>
  <sheetData>
    <row r="1" spans="1:14" ht="20.25">
      <c r="A1" s="875" t="s">
        <v>367</v>
      </c>
      <c r="B1" s="876"/>
      <c r="C1" s="876"/>
      <c r="D1" s="876"/>
      <c r="E1" s="876"/>
      <c r="F1" s="876"/>
      <c r="G1" s="876"/>
      <c r="H1" s="876"/>
      <c r="I1" s="876"/>
      <c r="J1" s="876"/>
      <c r="K1" s="876"/>
      <c r="L1" s="876"/>
      <c r="M1" s="876"/>
      <c r="N1" s="877"/>
    </row>
    <row r="2" spans="1:14" ht="20.25">
      <c r="A2" s="878" t="str">
        <f>'RFPR cover'!C5</f>
        <v>NGED-SWALES</v>
      </c>
      <c r="B2" s="879"/>
      <c r="C2" s="879"/>
      <c r="D2" s="879"/>
      <c r="E2" s="879"/>
      <c r="F2" s="879"/>
      <c r="G2" s="879"/>
      <c r="H2" s="879"/>
      <c r="I2" s="879"/>
      <c r="J2" s="879"/>
      <c r="K2" s="879"/>
      <c r="L2" s="879"/>
      <c r="M2" s="879"/>
      <c r="N2" s="880"/>
    </row>
    <row r="3" spans="1:14" ht="20.25">
      <c r="A3" s="881">
        <f>'RFPR cover'!C7</f>
        <v>2023</v>
      </c>
      <c r="B3" s="882"/>
      <c r="C3" s="882"/>
      <c r="D3" s="882"/>
      <c r="E3" s="882"/>
      <c r="F3" s="882"/>
      <c r="G3" s="882"/>
      <c r="H3" s="882"/>
      <c r="I3" s="882"/>
      <c r="J3" s="882"/>
      <c r="K3" s="882"/>
      <c r="L3" s="882"/>
      <c r="M3" s="882"/>
      <c r="N3" s="883"/>
    </row>
    <row r="6" spans="1:14">
      <c r="A6" s="30"/>
      <c r="B6" s="21">
        <v>2018</v>
      </c>
      <c r="C6" s="20" t="s">
        <v>63</v>
      </c>
      <c r="D6" s="18"/>
      <c r="E6" s="18"/>
      <c r="F6" s="810"/>
      <c r="G6" s="18"/>
    </row>
    <row r="7" spans="1:14">
      <c r="A7" s="30"/>
      <c r="B7" s="21">
        <v>2019</v>
      </c>
      <c r="C7" s="20" t="s">
        <v>64</v>
      </c>
      <c r="D7" s="18"/>
      <c r="E7" s="18"/>
      <c r="F7" s="18"/>
      <c r="G7" s="18"/>
    </row>
    <row r="8" spans="1:14">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c r="A11" s="30"/>
      <c r="B11" s="21">
        <v>2023</v>
      </c>
      <c r="C11" s="20" t="s">
        <v>68</v>
      </c>
      <c r="D11" s="19"/>
      <c r="E11" s="19"/>
      <c r="F11" s="19"/>
    </row>
    <row r="12" spans="1:14">
      <c r="A12" s="30"/>
      <c r="B12" s="18"/>
      <c r="C12" s="18"/>
      <c r="D12" s="18"/>
      <c r="E12" s="18"/>
      <c r="F12" s="18"/>
    </row>
    <row r="13" spans="1:14" ht="75" customHeight="1">
      <c r="A13" s="30"/>
      <c r="B13" s="549" t="s">
        <v>39</v>
      </c>
      <c r="C13" s="550" t="s">
        <v>40</v>
      </c>
      <c r="D13" s="550" t="s">
        <v>192</v>
      </c>
      <c r="E13" s="550" t="s">
        <v>41</v>
      </c>
      <c r="F13" s="550" t="s">
        <v>42</v>
      </c>
      <c r="G13" s="551" t="s">
        <v>316</v>
      </c>
    </row>
    <row r="14" spans="1:14">
      <c r="A14" s="30"/>
      <c r="B14" s="162" t="s">
        <v>74</v>
      </c>
      <c r="C14" s="169">
        <v>2010</v>
      </c>
      <c r="D14" s="163" t="str">
        <f>IF(VALUE(C14)&lt;='RFPR cover'!$C$7,"Actual","Forecast")</f>
        <v>Actual</v>
      </c>
      <c r="E14" s="373">
        <v>215.767</v>
      </c>
      <c r="F14" s="497">
        <v>221.75</v>
      </c>
      <c r="G14" s="164">
        <v>0.28000000000000003</v>
      </c>
      <c r="H14" s="811"/>
      <c r="J14" s="812"/>
    </row>
    <row r="15" spans="1:14">
      <c r="A15" s="30"/>
      <c r="B15" s="165" t="s">
        <v>75</v>
      </c>
      <c r="C15" s="170">
        <v>2011</v>
      </c>
      <c r="D15" s="166" t="str">
        <f>IF(VALUE(C15)&lt;='RFPR cover'!$C$7,"Actual","Forecast")</f>
        <v>Actual</v>
      </c>
      <c r="E15" s="374">
        <v>226.47499999999999</v>
      </c>
      <c r="F15" s="498">
        <v>233.45</v>
      </c>
      <c r="G15" s="167">
        <v>0.28000000000000003</v>
      </c>
      <c r="H15" s="811"/>
      <c r="J15" s="812"/>
    </row>
    <row r="16" spans="1:14" ht="14.25" customHeight="1">
      <c r="A16" s="30"/>
      <c r="B16" s="165" t="s">
        <v>76</v>
      </c>
      <c r="C16" s="170">
        <v>2012</v>
      </c>
      <c r="D16" s="166" t="str">
        <f>IF(VALUE(C16)&lt;='RFPR cover'!$C$7,"Actual","Forecast")</f>
        <v>Actual</v>
      </c>
      <c r="E16" s="374">
        <v>237.34200000000001</v>
      </c>
      <c r="F16" s="498">
        <v>241.65</v>
      </c>
      <c r="G16" s="167">
        <v>0.26</v>
      </c>
      <c r="H16" s="811"/>
      <c r="J16" s="812"/>
    </row>
    <row r="17" spans="2:15">
      <c r="B17" s="165" t="s">
        <v>77</v>
      </c>
      <c r="C17" s="170">
        <v>2013</v>
      </c>
      <c r="D17" s="166" t="str">
        <f>IF(VALUE(C17)&lt;='RFPR cover'!$C$7,"Actual","Forecast")</f>
        <v>Actual</v>
      </c>
      <c r="E17" s="374">
        <v>244.67500000000001</v>
      </c>
      <c r="F17" s="498">
        <v>249.1</v>
      </c>
      <c r="G17" s="167">
        <v>0.24</v>
      </c>
      <c r="H17" s="811"/>
      <c r="J17" s="812"/>
    </row>
    <row r="18" spans="2:15">
      <c r="B18" s="165" t="s">
        <v>78</v>
      </c>
      <c r="C18" s="170">
        <v>2014</v>
      </c>
      <c r="D18" s="166" t="str">
        <f>IF(VALUE(C18)&lt;='RFPR cover'!$C$7,"Actual","Forecast")</f>
        <v>Actual</v>
      </c>
      <c r="E18" s="374">
        <v>251.733</v>
      </c>
      <c r="F18" s="498">
        <v>255.25</v>
      </c>
      <c r="G18" s="167">
        <v>0.23</v>
      </c>
      <c r="H18" s="811"/>
      <c r="I18" s="516"/>
      <c r="J18" s="812"/>
    </row>
    <row r="19" spans="2:15">
      <c r="B19" s="165" t="s">
        <v>79</v>
      </c>
      <c r="C19" s="170">
        <v>2015</v>
      </c>
      <c r="D19" s="166" t="str">
        <f>IF(VALUE(C19)&lt;='RFPR cover'!$C$7,"Actual","Forecast")</f>
        <v>Actual</v>
      </c>
      <c r="E19" s="374">
        <v>256.66699999999997</v>
      </c>
      <c r="F19" s="498">
        <v>257.55</v>
      </c>
      <c r="G19" s="167">
        <v>0.21</v>
      </c>
      <c r="H19" s="811"/>
      <c r="I19" s="516"/>
      <c r="J19" s="812"/>
    </row>
    <row r="20" spans="2:15">
      <c r="B20" s="165" t="s">
        <v>80</v>
      </c>
      <c r="C20" s="170">
        <v>2016</v>
      </c>
      <c r="D20" s="166" t="str">
        <f>IF(VALUE(C20)&lt;='RFPR cover'!$C$7,"Actual","Forecast")</f>
        <v>Actual</v>
      </c>
      <c r="E20" s="374">
        <v>259.43299999999999</v>
      </c>
      <c r="F20" s="498">
        <v>261.25</v>
      </c>
      <c r="G20" s="167">
        <v>0.2</v>
      </c>
      <c r="H20" s="811"/>
      <c r="I20" s="516"/>
      <c r="J20" s="812"/>
    </row>
    <row r="21" spans="2:15">
      <c r="B21" s="165" t="s">
        <v>81</v>
      </c>
      <c r="C21" s="170">
        <v>2017</v>
      </c>
      <c r="D21" s="166" t="str">
        <f>IF(VALUE(C21)&lt;='RFPR cover'!$C$7,"Actual","Forecast")</f>
        <v>Actual</v>
      </c>
      <c r="E21" s="374">
        <v>264.99200000000002</v>
      </c>
      <c r="F21" s="498">
        <v>269.95000000000005</v>
      </c>
      <c r="G21" s="167">
        <v>0.2</v>
      </c>
      <c r="H21" s="811"/>
      <c r="I21" s="516"/>
      <c r="J21" s="812"/>
    </row>
    <row r="22" spans="2:15">
      <c r="B22" s="165" t="s">
        <v>63</v>
      </c>
      <c r="C22" s="170">
        <v>2018</v>
      </c>
      <c r="D22" s="166" t="str">
        <f>IF(VALUE(C22)&lt;='RFPR cover'!$C$7,"Actual","Forecast")</f>
        <v>Actual</v>
      </c>
      <c r="E22" s="374">
        <v>274.90800000000002</v>
      </c>
      <c r="F22" s="498">
        <v>279</v>
      </c>
      <c r="G22" s="167">
        <v>0.19</v>
      </c>
      <c r="H22" s="811"/>
      <c r="I22" s="516"/>
      <c r="J22" s="812"/>
    </row>
    <row r="23" spans="2:15">
      <c r="B23" s="499" t="s">
        <v>64</v>
      </c>
      <c r="C23" s="500">
        <v>2019</v>
      </c>
      <c r="D23" s="166" t="str">
        <f>IF(VALUE(C23)&lt;='RFPR cover'!$C$7,"Actual","Forecast")</f>
        <v>Actual</v>
      </c>
      <c r="E23" s="374">
        <v>283.30799999999999</v>
      </c>
      <c r="F23" s="498">
        <v>286.64999999999998</v>
      </c>
      <c r="G23" s="167">
        <v>0.19</v>
      </c>
      <c r="H23" s="811"/>
      <c r="J23" s="812"/>
    </row>
    <row r="24" spans="2:15">
      <c r="B24" s="499" t="s">
        <v>65</v>
      </c>
      <c r="C24" s="500">
        <v>2020</v>
      </c>
      <c r="D24" s="166" t="str">
        <f>IF(VALUE(C24)&lt;='RFPR cover'!$C$7,"Actual","Forecast")</f>
        <v>Actual</v>
      </c>
      <c r="E24" s="374">
        <v>290.642</v>
      </c>
      <c r="F24" s="374">
        <v>292.60000000000002</v>
      </c>
      <c r="G24" s="167">
        <v>0.19</v>
      </c>
    </row>
    <row r="25" spans="2:15">
      <c r="B25" s="499" t="s">
        <v>66</v>
      </c>
      <c r="C25" s="500">
        <v>2021</v>
      </c>
      <c r="D25" s="166" t="str">
        <f>IF(VALUE(C25)&lt;='RFPR cover'!$C$7,"Actual","Forecast")</f>
        <v>Actual</v>
      </c>
      <c r="E25" s="374">
        <v>294.16699999999997</v>
      </c>
      <c r="F25" s="374">
        <v>299</v>
      </c>
      <c r="G25" s="167">
        <v>0.19</v>
      </c>
      <c r="J25" s="812"/>
    </row>
    <row r="26" spans="2:15">
      <c r="B26" s="499" t="s">
        <v>67</v>
      </c>
      <c r="C26" s="500">
        <v>2022</v>
      </c>
      <c r="D26" s="166" t="str">
        <f>IF(VALUE(C26)&lt;='RFPR cover'!$C$7,"Actual","Forecast")</f>
        <v>Actual</v>
      </c>
      <c r="E26" s="374">
        <v>311.15800000000002</v>
      </c>
      <c r="F26" s="374">
        <f>+(323.5+334.6)/2</f>
        <v>329.05</v>
      </c>
      <c r="G26" s="918">
        <v>0.19</v>
      </c>
      <c r="I26" s="943"/>
      <c r="J26" s="812"/>
      <c r="O26" s="919"/>
    </row>
    <row r="27" spans="2:15">
      <c r="B27" s="499" t="s">
        <v>68</v>
      </c>
      <c r="C27" s="500">
        <v>2023</v>
      </c>
      <c r="D27" s="166" t="str">
        <f>IF(VALUE(C27)&lt;='RFPR cover'!$C$7,"Actual","Forecast")</f>
        <v>Actual</v>
      </c>
      <c r="E27" s="374">
        <v>351.21699999999998</v>
      </c>
      <c r="F27" s="374">
        <v>369.68599999999998</v>
      </c>
      <c r="G27" s="918">
        <v>0.19</v>
      </c>
      <c r="H27" s="811"/>
      <c r="J27" s="812"/>
    </row>
    <row r="28" spans="2:15">
      <c r="B28" s="499" t="s">
        <v>205</v>
      </c>
      <c r="C28" s="500">
        <v>2024</v>
      </c>
      <c r="D28" s="166" t="str">
        <f>IF(VALUE(C28)&lt;='RFPR cover'!$C$7,"Actual","Forecast")</f>
        <v>Forecast</v>
      </c>
      <c r="E28" s="376"/>
      <c r="F28" s="376"/>
      <c r="G28" s="167">
        <v>0.25</v>
      </c>
    </row>
    <row r="29" spans="2:15">
      <c r="B29" s="499" t="s">
        <v>206</v>
      </c>
      <c r="C29" s="500">
        <v>2025</v>
      </c>
      <c r="D29" s="166" t="str">
        <f>IF(VALUE(C29)&lt;='RFPR cover'!$C$7,"Actual","Forecast")</f>
        <v>Forecast</v>
      </c>
      <c r="E29" s="376"/>
      <c r="F29" s="376"/>
      <c r="G29" s="167">
        <v>0.25</v>
      </c>
    </row>
    <row r="30" spans="2:15">
      <c r="B30" s="501" t="s">
        <v>207</v>
      </c>
      <c r="C30" s="502">
        <v>2026</v>
      </c>
      <c r="D30" s="168" t="str">
        <f>IF(VALUE(C30)&lt;='RFPR cover'!$C$7,"Actual","Forecast")</f>
        <v>Forecast</v>
      </c>
      <c r="E30" s="375"/>
      <c r="F30" s="375"/>
      <c r="G30" s="167">
        <v>0.25</v>
      </c>
    </row>
    <row r="31" spans="2:15">
      <c r="B31" s="88"/>
      <c r="C31" s="67"/>
      <c r="D31" s="67"/>
      <c r="E31" s="67"/>
      <c r="F31" s="67"/>
    </row>
    <row r="32" spans="2:15">
      <c r="B32" s="88"/>
      <c r="C32" s="343" t="str">
        <f>IF(C33&lt;='RFPR cover'!$C$7,"Actuals","Forecast")</f>
        <v>Actuals</v>
      </c>
      <c r="D32" s="344" t="str">
        <f>IF(D33&lt;='RFPR cover'!$C$7,"Actuals","Forecast")</f>
        <v>Actuals</v>
      </c>
      <c r="E32" s="344" t="str">
        <f>IF(E33&lt;='RFPR cover'!$C$7,"Actuals","Forecast")</f>
        <v>Actuals</v>
      </c>
      <c r="F32" s="344" t="str">
        <f>IF(F33&lt;='RFPR cover'!$C$7,"Actuals","Forecast")</f>
        <v>Actuals</v>
      </c>
      <c r="G32" s="344" t="str">
        <f>IF(G33&lt;='RFPR cover'!$C$7,"Actuals","Forecast")</f>
        <v>Actuals</v>
      </c>
      <c r="H32" s="344" t="str">
        <f>IF(H33&lt;='RFPR cover'!$C$7,"Actuals","Forecast")</f>
        <v>Actuals</v>
      </c>
      <c r="I32" s="344" t="str">
        <f>IF(I33&lt;='RFPR cover'!$C$7,"Actuals","Forecast")</f>
        <v>Actuals</v>
      </c>
      <c r="J32" s="345" t="str">
        <f>IF(J33&lt;='RFPR cover'!$C$7,"Actuals","Forecast")</f>
        <v>Actuals</v>
      </c>
    </row>
    <row r="33" spans="2:15" ht="15.75" customHeight="1">
      <c r="B33" s="289"/>
      <c r="C33" s="90">
        <f>'RFPR cover'!$C$13</f>
        <v>2016</v>
      </c>
      <c r="D33" s="91">
        <f t="shared" ref="D33:J33" si="0">C33+1</f>
        <v>2017</v>
      </c>
      <c r="E33" s="91">
        <f t="shared" si="0"/>
        <v>2018</v>
      </c>
      <c r="F33" s="91">
        <f t="shared" si="0"/>
        <v>2019</v>
      </c>
      <c r="G33" s="91">
        <f t="shared" si="0"/>
        <v>2020</v>
      </c>
      <c r="H33" s="91">
        <f t="shared" si="0"/>
        <v>2021</v>
      </c>
      <c r="I33" s="91">
        <f t="shared" si="0"/>
        <v>2022</v>
      </c>
      <c r="J33" s="316">
        <f t="shared" si="0"/>
        <v>2023</v>
      </c>
    </row>
    <row r="34" spans="2:15" ht="15.75" customHeight="1">
      <c r="B34" s="495" t="s">
        <v>368</v>
      </c>
      <c r="C34" s="493">
        <f>INDEX(Data!$E$14:$E$30,MATCH(C$33,Data!$C$14:$C$30,0),0)/IF('RFPR cover'!$C$6="ED1",Data!$E$17,Data!$E$14)</f>
        <v>1.0603167467048125</v>
      </c>
      <c r="D34" s="490">
        <f>INDEX(Data!$E$14:$E$30,MATCH(D$33,Data!$C$14:$C$30,0),0)/IF('RFPR cover'!$C$6="ED1",Data!$E$17,Data!$E$14)</f>
        <v>1.0830366813119445</v>
      </c>
      <c r="E34" s="490">
        <f>INDEX(Data!$E$14:$E$30,MATCH(E$33,Data!$C$14:$C$30,0),0)/IF('RFPR cover'!$C$6="ED1",Data!$E$17,Data!$E$14)</f>
        <v>1.1235639113109226</v>
      </c>
      <c r="F34" s="490">
        <f>INDEX(Data!$E$14:$E$30,MATCH(F$33,Data!$C$14:$C$30,0),0)/IF('RFPR cover'!$C$6="ED1",Data!$E$17,Data!$E$14)</f>
        <v>1.1578951670583426</v>
      </c>
      <c r="G34" s="490">
        <f>INDEX(Data!$E$14:$E$30,MATCH(G$33,Data!$C$14:$C$30,0),0)/IF('RFPR cover'!$C$6="ED1",Data!$E$17,Data!$E$14)</f>
        <v>1.1878696229692449</v>
      </c>
      <c r="H34" s="490">
        <f>INDEX(Data!$E$14:$E$30,MATCH(H$33,Data!$C$14:$C$30,0),0)/IF('RFPR cover'!$C$6="ED1",Data!$E$17,Data!$E$14)</f>
        <v>1.2022764892203943</v>
      </c>
      <c r="I34" s="491">
        <f>INDEX(Data!$E$14:$E$30,MATCH(I$33,Data!$C$14:$C$30,0),0)/IF('RFPR cover'!$C$6="ED1",Data!$E$17,Data!$E$14)</f>
        <v>1.2717196280780627</v>
      </c>
      <c r="J34" s="492">
        <f>INDEX(Data!$E$14:$E$30,MATCH(J$33,Data!$C$14:$C$30,0),0)/IF('RFPR cover'!$C$6="ED1",Data!$E$17,Data!$E$14)</f>
        <v>1.4354429345049555</v>
      </c>
    </row>
    <row r="35" spans="2:15" ht="15.75" customHeight="1">
      <c r="B35" s="496" t="s">
        <v>42</v>
      </c>
      <c r="C35" s="494">
        <f>INDEX(Data!$F$14:$F$30,MATCH(C$33,Data!$C$14:$C$30,0),0)/IF('RFPR cover'!$C$6="ED1",Data!$E$17,Data!$E$14)</f>
        <v>1.0677429242873198</v>
      </c>
      <c r="D35" s="494">
        <f>INDEX(Data!$F$14:$F$30,MATCH(D$33,Data!$C$14:$C$30,0),0)/IF('RFPR cover'!$C$6="ED1",Data!$E$17,Data!$E$14)</f>
        <v>1.1033002963114336</v>
      </c>
      <c r="E35" s="494">
        <f>INDEX(Data!$F$14:$F$30,MATCH(E$33,Data!$C$14:$C$30,0),0)/IF('RFPR cover'!$C$6="ED1",Data!$E$17,Data!$E$14)</f>
        <v>1.1402881373250229</v>
      </c>
      <c r="F35" s="494">
        <f>INDEX(Data!$F$14:$F$30,MATCH(F$33,Data!$C$14:$C$30,0),0)/IF('RFPR cover'!$C$6="ED1",Data!$E$17,Data!$E$14)</f>
        <v>1.171554102380709</v>
      </c>
      <c r="G35" s="494">
        <f>INDEX(Data!$F$14:$F$30,MATCH(G$33,Data!$C$14:$C$30,0),0)/IF('RFPR cover'!$C$6="ED1",Data!$E$17,Data!$E$14)</f>
        <v>1.1958720752017984</v>
      </c>
      <c r="H35" s="494">
        <f>INDEX(Data!$F$14:$F$30,MATCH(H$33,Data!$C$14:$C$30,0),0)/IF('RFPR cover'!$C$6="ED1",Data!$E$17,Data!$E$14)</f>
        <v>1.2220292224379279</v>
      </c>
      <c r="I35" s="494">
        <f>INDEX(Data!$F$14:$F$30,MATCH(I$33,Data!$C$14:$C$30,0),0)/IF('RFPR cover'!$C$6="ED1",Data!$E$17,Data!$E$14)</f>
        <v>1.3448452028200675</v>
      </c>
      <c r="J35" s="494">
        <f>INDEX(Data!$F$14:$F$30,MATCH(J$33,Data!$C$14:$C$30,0),0)/IF('RFPR cover'!$C$6="ED1",Data!$E$17,Data!$E$14)</f>
        <v>1.5109267395524675</v>
      </c>
    </row>
    <row r="36" spans="2:15">
      <c r="B36" s="496" t="s">
        <v>497</v>
      </c>
      <c r="C36" s="494">
        <f>INDEX(Data!$E$14:$E$30,MATCH(C$33,Data!$C$14:$C$30,0))/INDEX(Data!$E$14:$E$30,MATCH(C$33-1,Data!$C$14:$C$30,0))</f>
        <v>1.0107766093810269</v>
      </c>
      <c r="D36" s="494">
        <f>INDEX(Data!$E$14:$E$30,MATCH(D$33,Data!$C$14:$C$30,0))/INDEX(Data!$E$14:$E$30,MATCH(D$33-1,Data!$C$14:$C$30,0))</f>
        <v>1.0214274976583551</v>
      </c>
      <c r="E36" s="494">
        <f>INDEX(Data!$E$14:$E$30,MATCH(E$33,Data!$C$14:$C$30,0))/INDEX(Data!$E$14:$E$30,MATCH(E$33-1,Data!$C$14:$C$30,0))</f>
        <v>1.0374199975848328</v>
      </c>
      <c r="F36" s="494">
        <f>INDEX(Data!$E$14:$E$30,MATCH(F$33,Data!$C$14:$C$30,0))/INDEX(Data!$E$14:$E$30,MATCH(F$33-1,Data!$C$14:$C$30,0))</f>
        <v>1.0305556768082411</v>
      </c>
      <c r="G36" s="494">
        <f>INDEX(Data!$E$14:$E$30,MATCH(G$33,Data!$C$14:$C$30,0))/INDEX(Data!$E$14:$E$30,MATCH(G$33-1,Data!$C$14:$C$30,0))</f>
        <v>1.0258870204865376</v>
      </c>
      <c r="H36" s="494">
        <f>INDEX(Data!$E$14:$E$30,MATCH(H$33,Data!$C$14:$C$30,0))/INDEX(Data!$E$14:$E$30,MATCH(H$33-1,Data!$C$14:$C$30,0))</f>
        <v>1.0121283228163858</v>
      </c>
      <c r="I36" s="494">
        <f>INDEX(Data!$E$14:$E$30,MATCH(I$33,Data!$C$14:$C$30,0))/INDEX(Data!$E$14:$E$30,MATCH(I$33-1,Data!$C$14:$C$30,0))</f>
        <v>1.057759707921011</v>
      </c>
      <c r="J36" s="494">
        <f>INDEX(Data!$E$14:$E$30,MATCH(J$33,Data!$C$14:$C$30,0))/INDEX(Data!$E$14:$E$30,MATCH(J$33-1,Data!$C$14:$C$30,0))</f>
        <v>1.1287416682200038</v>
      </c>
    </row>
    <row r="37" spans="2:15" ht="15.75" customHeight="1">
      <c r="B37" s="14" t="s">
        <v>271</v>
      </c>
      <c r="F37" s="516"/>
    </row>
    <row r="38" spans="2:15">
      <c r="C38" s="509" t="s">
        <v>272</v>
      </c>
      <c r="D38" s="117">
        <v>2017</v>
      </c>
      <c r="E38" s="118">
        <f t="shared" ref="E38:J38" si="1">D38+1</f>
        <v>2018</v>
      </c>
      <c r="F38" s="118">
        <f t="shared" si="1"/>
        <v>2019</v>
      </c>
      <c r="G38" s="118">
        <f t="shared" si="1"/>
        <v>2020</v>
      </c>
      <c r="H38" s="118">
        <f t="shared" si="1"/>
        <v>2021</v>
      </c>
      <c r="I38" s="118">
        <f t="shared" si="1"/>
        <v>2022</v>
      </c>
      <c r="J38" s="195">
        <f t="shared" si="1"/>
        <v>2023</v>
      </c>
    </row>
    <row r="39" spans="2:15">
      <c r="B39" t="s">
        <v>378</v>
      </c>
      <c r="C39" s="200"/>
      <c r="D39" s="735"/>
      <c r="E39" s="735"/>
      <c r="F39" s="735"/>
      <c r="G39" s="735"/>
      <c r="H39" s="735"/>
      <c r="I39" s="735"/>
      <c r="J39" s="735"/>
      <c r="O39" s="322"/>
    </row>
    <row r="41" spans="2:15">
      <c r="B41" s="14" t="s">
        <v>273</v>
      </c>
    </row>
    <row r="42" spans="2:15">
      <c r="C42" s="508" t="s">
        <v>274</v>
      </c>
      <c r="D42" s="117">
        <v>2017</v>
      </c>
      <c r="E42" s="118">
        <f t="shared" ref="E42:J42" si="2">D42+1</f>
        <v>2018</v>
      </c>
      <c r="F42" s="118">
        <f t="shared" si="2"/>
        <v>2019</v>
      </c>
      <c r="G42" s="118">
        <f t="shared" si="2"/>
        <v>2020</v>
      </c>
      <c r="H42" s="118">
        <f t="shared" si="2"/>
        <v>2021</v>
      </c>
      <c r="I42" s="118">
        <f t="shared" si="2"/>
        <v>2022</v>
      </c>
      <c r="J42" s="195">
        <f t="shared" si="2"/>
        <v>2023</v>
      </c>
    </row>
    <row r="43" spans="2:15">
      <c r="B43" t="s">
        <v>275</v>
      </c>
      <c r="D43" s="568"/>
      <c r="E43" s="569"/>
      <c r="F43" s="569"/>
      <c r="G43" s="569"/>
      <c r="H43" s="569"/>
      <c r="I43" s="569"/>
      <c r="J43" s="569"/>
      <c r="O43" s="322"/>
    </row>
    <row r="45" spans="2:15">
      <c r="B45" s="315" t="str">
        <f>"Selected Capitalisation rates for "&amp;'RFPR cover'!C5</f>
        <v>Selected Capitalisation rates for NGED-SWALES</v>
      </c>
      <c r="C45" s="271"/>
      <c r="D45" s="271"/>
      <c r="E45" s="271"/>
      <c r="F45" s="271"/>
      <c r="G45" s="271"/>
      <c r="H45" s="271"/>
      <c r="I45" s="271"/>
      <c r="J45" s="271"/>
      <c r="K45" s="271"/>
      <c r="L45" s="271"/>
      <c r="M45" s="284"/>
    </row>
    <row r="46" spans="2:15">
      <c r="B46" s="201"/>
      <c r="C46" s="42"/>
      <c r="D46" s="42"/>
      <c r="E46" s="42"/>
      <c r="F46" s="42"/>
      <c r="G46" s="42"/>
      <c r="H46" s="42"/>
      <c r="I46" s="42"/>
      <c r="J46" s="42"/>
      <c r="K46" s="42"/>
      <c r="L46" s="42"/>
      <c r="M46" s="202"/>
    </row>
    <row r="47" spans="2:15">
      <c r="B47" s="201"/>
      <c r="C47" s="314" t="s">
        <v>248</v>
      </c>
      <c r="D47" s="42"/>
      <c r="E47" s="42"/>
      <c r="F47" s="42"/>
      <c r="G47" s="42"/>
      <c r="H47" s="42"/>
      <c r="I47" s="42"/>
      <c r="J47" s="42"/>
      <c r="K47" s="42"/>
      <c r="L47" s="42"/>
      <c r="M47" s="202"/>
    </row>
    <row r="48" spans="2:15">
      <c r="B48" s="317" t="str">
        <f>INDEX($G$54:$G$57,MATCH(LEFT('RFPR cover'!$C$6,2),Data!$E$54:$E$57,0),0)</f>
        <v>Totex</v>
      </c>
      <c r="C48" s="313">
        <f>INDEX($F$73:$F$100,MATCH('RFPR cover'!$C$5,Data!$B$73:$B$100,0),0)</f>
        <v>0.8</v>
      </c>
      <c r="D48" s="42"/>
      <c r="E48" s="42"/>
      <c r="F48" s="42"/>
      <c r="G48" s="42"/>
      <c r="H48" s="42"/>
      <c r="I48" s="42"/>
      <c r="J48" s="42"/>
      <c r="K48" s="42"/>
      <c r="L48" s="42"/>
      <c r="M48" s="202"/>
    </row>
    <row r="49" spans="2:20">
      <c r="B49" s="318"/>
      <c r="C49" s="42"/>
      <c r="D49" s="42"/>
      <c r="E49" s="42"/>
      <c r="F49" s="42"/>
      <c r="G49" s="42"/>
      <c r="H49" s="42"/>
      <c r="I49" s="42"/>
      <c r="J49" s="42"/>
      <c r="K49" s="42"/>
      <c r="L49" s="42"/>
      <c r="M49" s="202"/>
    </row>
    <row r="50" spans="2:20">
      <c r="B50" s="318"/>
      <c r="C50" s="90">
        <v>2014</v>
      </c>
      <c r="D50" s="91">
        <f t="shared" ref="D50:J50" si="3">C50+1</f>
        <v>2015</v>
      </c>
      <c r="E50" s="91">
        <f t="shared" si="3"/>
        <v>2016</v>
      </c>
      <c r="F50" s="91">
        <f t="shared" si="3"/>
        <v>2017</v>
      </c>
      <c r="G50" s="91">
        <f t="shared" si="3"/>
        <v>2018</v>
      </c>
      <c r="H50" s="91">
        <f t="shared" si="3"/>
        <v>2019</v>
      </c>
      <c r="I50" s="91">
        <f t="shared" si="3"/>
        <v>2020</v>
      </c>
      <c r="J50" s="91">
        <f t="shared" si="3"/>
        <v>2021</v>
      </c>
      <c r="K50" s="42"/>
      <c r="L50" s="42"/>
      <c r="M50" s="202"/>
    </row>
    <row r="51" spans="2:20">
      <c r="B51" s="317" t="str">
        <f>INDEX($J$54:$J$57,MATCH(LEFT('RFPR cover'!$C$6,2),Data!$E$54:$E$57,0),0)</f>
        <v>n/a</v>
      </c>
      <c r="C51" s="319">
        <f>IFERROR(INDEX(C$106:C$115,MATCH('RFPR cover'!$C$5,Data!$B$106:$B$115,0),0),0)</f>
        <v>0</v>
      </c>
      <c r="D51" s="301">
        <f>IFERROR(INDEX(D$106:D$115,MATCH('RFPR cover'!$C$5,Data!$B$106:$B$115,0),0),0)</f>
        <v>0</v>
      </c>
      <c r="E51" s="301">
        <f>IFERROR(INDEX(E$106:E$115,MATCH('RFPR cover'!$C$5,Data!$B$106:$B$115,0),0),0)</f>
        <v>0</v>
      </c>
      <c r="F51" s="301">
        <f>IFERROR(INDEX(F$106:F$115,MATCH('RFPR cover'!$C$5,Data!$B$106:$B$115,0),0),0)</f>
        <v>0</v>
      </c>
      <c r="G51" s="301">
        <f>IFERROR(INDEX(G$106:G$115,MATCH('RFPR cover'!$C$5,Data!$B$106:$B$115,0),0),0)</f>
        <v>0</v>
      </c>
      <c r="H51" s="301">
        <f>IFERROR(INDEX(H$106:H$115,MATCH('RFPR cover'!$C$5,Data!$B$106:$B$115,0),0),0)</f>
        <v>0</v>
      </c>
      <c r="I51" s="301">
        <f>IFERROR(INDEX(I$106:I$115,MATCH('RFPR cover'!$C$5,Data!$B$106:$B$115,0),0),0)</f>
        <v>0</v>
      </c>
      <c r="J51" s="301">
        <f>IFERROR(INDEX(J$106:J$115,MATCH('RFPR cover'!$C$5,Data!$B$106:$B$115,0),0),0)</f>
        <v>0</v>
      </c>
      <c r="K51" s="42"/>
      <c r="L51" s="42"/>
      <c r="M51" s="202"/>
    </row>
    <row r="52" spans="2:20">
      <c r="B52" s="295"/>
      <c r="C52" s="296"/>
      <c r="D52" s="296"/>
      <c r="E52" s="296"/>
      <c r="F52" s="296"/>
      <c r="G52" s="296"/>
      <c r="H52" s="296"/>
      <c r="I52" s="296"/>
      <c r="J52" s="296"/>
      <c r="K52" s="296"/>
      <c r="L52" s="296"/>
      <c r="M52" s="297"/>
    </row>
    <row r="53" spans="2:20">
      <c r="B53" s="42"/>
      <c r="C53" s="42"/>
      <c r="D53" s="42"/>
      <c r="E53" s="42"/>
      <c r="F53" s="42"/>
      <c r="G53" s="42"/>
      <c r="H53" s="42"/>
      <c r="I53" s="42"/>
      <c r="J53" s="42"/>
      <c r="K53" s="42"/>
    </row>
    <row r="54" spans="2:20">
      <c r="B54" s="305"/>
      <c r="C54" s="305"/>
      <c r="E54" s="302" t="s">
        <v>172</v>
      </c>
      <c r="F54" s="331" t="s">
        <v>159</v>
      </c>
      <c r="G54" s="993" t="s">
        <v>249</v>
      </c>
      <c r="H54" s="994"/>
      <c r="I54" s="995"/>
      <c r="J54" s="1002" t="s">
        <v>251</v>
      </c>
      <c r="K54" s="1003"/>
    </row>
    <row r="55" spans="2:20">
      <c r="B55" s="305"/>
      <c r="C55" s="305"/>
      <c r="E55" s="303" t="s">
        <v>174</v>
      </c>
      <c r="F55" s="332" t="s">
        <v>184</v>
      </c>
      <c r="G55" s="996" t="s">
        <v>249</v>
      </c>
      <c r="H55" s="997"/>
      <c r="I55" s="998"/>
      <c r="J55" s="1004" t="s">
        <v>251</v>
      </c>
      <c r="K55" s="1005"/>
    </row>
    <row r="56" spans="2:20">
      <c r="B56" s="305"/>
      <c r="C56" s="305"/>
      <c r="E56" s="303" t="s">
        <v>173</v>
      </c>
      <c r="F56" s="332" t="s">
        <v>184</v>
      </c>
      <c r="G56" s="996" t="s">
        <v>244</v>
      </c>
      <c r="H56" s="997"/>
      <c r="I56" s="998"/>
      <c r="J56" s="1004" t="s">
        <v>245</v>
      </c>
      <c r="K56" s="1005"/>
    </row>
    <row r="57" spans="2:20">
      <c r="B57" s="305"/>
      <c r="C57" s="305"/>
      <c r="E57" s="304" t="s">
        <v>175</v>
      </c>
      <c r="F57" s="333" t="s">
        <v>184</v>
      </c>
      <c r="G57" s="999" t="s">
        <v>250</v>
      </c>
      <c r="H57" s="1000"/>
      <c r="I57" s="1001"/>
      <c r="J57" s="1006" t="s">
        <v>252</v>
      </c>
      <c r="K57" s="1007"/>
    </row>
    <row r="58" spans="2:20">
      <c r="B58" s="305"/>
      <c r="C58" s="305"/>
      <c r="E58" s="305"/>
      <c r="F58" s="445"/>
      <c r="G58" s="446"/>
      <c r="H58" s="446"/>
      <c r="I58" s="446"/>
      <c r="J58" s="447"/>
      <c r="K58" s="447"/>
    </row>
    <row r="59" spans="2:20">
      <c r="B59" s="448"/>
      <c r="C59" s="448"/>
      <c r="D59" s="217"/>
      <c r="E59" s="448"/>
      <c r="F59" s="449"/>
      <c r="G59" s="450"/>
      <c r="H59" s="450"/>
      <c r="I59" s="450"/>
      <c r="J59" s="451"/>
      <c r="K59" s="451"/>
      <c r="L59" s="217"/>
      <c r="M59" s="217"/>
      <c r="N59" s="217"/>
      <c r="O59" s="217"/>
      <c r="P59" s="217"/>
      <c r="Q59" s="217"/>
      <c r="R59" s="217"/>
      <c r="S59" s="217"/>
      <c r="T59" s="217"/>
    </row>
    <row r="60" spans="2:20" s="31" customFormat="1">
      <c r="B60" s="399"/>
      <c r="C60" s="399"/>
      <c r="E60" s="399"/>
      <c r="F60" s="452"/>
      <c r="G60" s="453"/>
      <c r="H60" s="453"/>
      <c r="I60" s="453"/>
      <c r="J60" s="454"/>
      <c r="K60" s="454"/>
    </row>
    <row r="61" spans="2:20">
      <c r="B61" s="444" t="s">
        <v>345</v>
      </c>
      <c r="C61" s="43"/>
      <c r="I61" s="67"/>
    </row>
    <row r="62" spans="2:20">
      <c r="C62" s="117">
        <v>2014</v>
      </c>
      <c r="D62" s="118">
        <f t="shared" ref="D62:L62" si="4">C62+1</f>
        <v>2015</v>
      </c>
      <c r="E62" s="118">
        <f t="shared" si="4"/>
        <v>2016</v>
      </c>
      <c r="F62" s="118">
        <f t="shared" si="4"/>
        <v>2017</v>
      </c>
      <c r="G62" s="118">
        <f t="shared" si="4"/>
        <v>2018</v>
      </c>
      <c r="H62" s="118">
        <f t="shared" si="4"/>
        <v>2019</v>
      </c>
      <c r="I62" s="118">
        <f t="shared" si="4"/>
        <v>2020</v>
      </c>
      <c r="J62" s="118">
        <f t="shared" si="4"/>
        <v>2021</v>
      </c>
      <c r="K62" s="118">
        <f t="shared" si="4"/>
        <v>2022</v>
      </c>
      <c r="L62" s="195">
        <f t="shared" si="4"/>
        <v>2023</v>
      </c>
    </row>
    <row r="63" spans="2:20">
      <c r="B63" s="441" t="s">
        <v>655</v>
      </c>
      <c r="C63" s="564"/>
      <c r="D63" s="565"/>
      <c r="E63" s="439">
        <v>2.5499999999999998E-2</v>
      </c>
      <c r="F63" s="439">
        <v>2.3799999999999998E-2</v>
      </c>
      <c r="G63" s="439">
        <v>2.2200000000000001E-2</v>
      </c>
      <c r="H63" s="439">
        <v>1.9099999999999999E-2</v>
      </c>
      <c r="I63" s="439">
        <v>1.5800000000000002E-2</v>
      </c>
      <c r="J63" s="439">
        <v>1.09E-2</v>
      </c>
      <c r="K63" s="439">
        <v>7.6E-3</v>
      </c>
      <c r="L63" s="440">
        <v>3.8999999999999998E-3</v>
      </c>
    </row>
    <row r="64" spans="2:20">
      <c r="B64" s="442" t="s">
        <v>656</v>
      </c>
      <c r="C64" s="552"/>
      <c r="D64" s="553"/>
      <c r="E64" s="401">
        <v>2.5499999999999998E-2</v>
      </c>
      <c r="F64" s="401">
        <v>2.4199999999999999E-2</v>
      </c>
      <c r="G64" s="401">
        <v>2.29E-2</v>
      </c>
      <c r="H64" s="401">
        <v>2.0899999999999998E-2</v>
      </c>
      <c r="I64" s="401">
        <v>1.9400000000000001E-2</v>
      </c>
      <c r="J64" s="401">
        <v>1.78E-2</v>
      </c>
      <c r="K64" s="401">
        <v>1.6199999999999999E-2</v>
      </c>
      <c r="L64" s="404">
        <v>1.44E-2</v>
      </c>
    </row>
    <row r="65" spans="1:20">
      <c r="B65" s="442" t="s">
        <v>61</v>
      </c>
      <c r="C65" s="400">
        <v>2.92E-2</v>
      </c>
      <c r="D65" s="401">
        <v>2.5000000000000001E-2</v>
      </c>
      <c r="E65" s="401">
        <v>2.1499999999999998E-2</v>
      </c>
      <c r="F65" s="401">
        <v>1.7899999999999999E-2</v>
      </c>
      <c r="G65" s="401">
        <v>1.5100000000000001E-2</v>
      </c>
      <c r="H65" s="401">
        <v>1.1599999999999999E-2</v>
      </c>
      <c r="I65" s="401">
        <v>1.0200000000000001E-2</v>
      </c>
      <c r="J65" s="401">
        <v>7.6E-3</v>
      </c>
      <c r="K65" s="566"/>
      <c r="L65" s="567"/>
    </row>
    <row r="66" spans="1:20">
      <c r="B66" s="442" t="s">
        <v>344</v>
      </c>
      <c r="C66" s="437">
        <v>2.92E-2</v>
      </c>
      <c r="D66" s="438">
        <v>2.7199999999999998E-2</v>
      </c>
      <c r="E66" s="438">
        <v>2.5499999999999998E-2</v>
      </c>
      <c r="F66" s="438">
        <v>2.3800000000000002E-2</v>
      </c>
      <c r="G66" s="438">
        <v>2.2200000000000001E-2</v>
      </c>
      <c r="H66" s="438">
        <v>1.9099999999999999E-2</v>
      </c>
      <c r="I66" s="438">
        <v>1.5800000000000002E-2</v>
      </c>
      <c r="J66" s="438">
        <v>1.09E-2</v>
      </c>
      <c r="K66" s="553"/>
      <c r="L66" s="554"/>
    </row>
    <row r="67" spans="1:20">
      <c r="B67" s="442" t="s">
        <v>173</v>
      </c>
      <c r="C67" s="400">
        <v>2.92E-2</v>
      </c>
      <c r="D67" s="401">
        <v>2.7199999999999998E-2</v>
      </c>
      <c r="E67" s="401">
        <v>2.5499999999999998E-2</v>
      </c>
      <c r="F67" s="401">
        <v>2.3800000000000002E-2</v>
      </c>
      <c r="G67" s="401">
        <v>2.2200000000000001E-2</v>
      </c>
      <c r="H67" s="438">
        <v>1.9099999999999999E-2</v>
      </c>
      <c r="I67" s="438">
        <v>1.5800000000000002E-2</v>
      </c>
      <c r="J67" s="438">
        <v>1.09E-2</v>
      </c>
      <c r="K67" s="553"/>
      <c r="L67" s="554"/>
    </row>
    <row r="68" spans="1:20">
      <c r="B68" s="443" t="s">
        <v>175</v>
      </c>
      <c r="C68" s="402">
        <v>2.92E-2</v>
      </c>
      <c r="D68" s="403">
        <v>2.7199999999999998E-2</v>
      </c>
      <c r="E68" s="403">
        <v>2.5499999999999998E-2</v>
      </c>
      <c r="F68" s="403">
        <v>2.3800000000000002E-2</v>
      </c>
      <c r="G68" s="403">
        <v>2.2200000000000001E-2</v>
      </c>
      <c r="H68" s="403">
        <v>1.9099999999999999E-2</v>
      </c>
      <c r="I68" s="403">
        <v>1.5800000000000002E-2</v>
      </c>
      <c r="J68" s="403">
        <v>1.09E-2</v>
      </c>
      <c r="K68" s="555"/>
      <c r="L68" s="556"/>
    </row>
    <row r="69" spans="1:20">
      <c r="I69" s="67"/>
    </row>
    <row r="70" spans="1:20">
      <c r="H70" s="67"/>
      <c r="K70" s="42"/>
      <c r="L70" s="42"/>
      <c r="M70" s="42"/>
      <c r="N70" s="42"/>
      <c r="O70" s="42"/>
      <c r="P70" s="42"/>
      <c r="Q70" s="42"/>
      <c r="R70" s="42"/>
      <c r="S70" s="42"/>
      <c r="T70" s="42"/>
    </row>
    <row r="71" spans="1:20" ht="38.25">
      <c r="B71" s="22"/>
      <c r="C71" s="74" t="s">
        <v>247</v>
      </c>
      <c r="D71" s="75" t="s">
        <v>212</v>
      </c>
      <c r="E71" s="75" t="s">
        <v>72</v>
      </c>
      <c r="F71" s="75" t="s">
        <v>270</v>
      </c>
      <c r="G71" s="75" t="s">
        <v>116</v>
      </c>
      <c r="H71" s="76" t="s">
        <v>186</v>
      </c>
      <c r="I71" s="330" t="s">
        <v>265</v>
      </c>
      <c r="J71" s="330" t="s">
        <v>474</v>
      </c>
      <c r="K71" s="990" t="s">
        <v>340</v>
      </c>
      <c r="L71" s="991"/>
      <c r="M71" s="991"/>
      <c r="N71" s="991"/>
      <c r="O71" s="991"/>
      <c r="P71" s="991"/>
      <c r="Q71" s="991"/>
      <c r="R71" s="991"/>
      <c r="S71" s="991"/>
      <c r="T71" s="992"/>
    </row>
    <row r="72" spans="1:20">
      <c r="A72" s="334" t="s">
        <v>189</v>
      </c>
      <c r="B72" s="68" t="s">
        <v>69</v>
      </c>
      <c r="C72" s="306"/>
      <c r="D72" s="70"/>
      <c r="E72" s="69"/>
      <c r="F72" s="69"/>
      <c r="G72" s="70"/>
      <c r="H72" s="71"/>
      <c r="I72" s="71"/>
      <c r="J72" s="424"/>
      <c r="K72" s="425">
        <v>2014</v>
      </c>
      <c r="L72" s="426">
        <f t="shared" ref="L72:T72" si="5">K72+1</f>
        <v>2015</v>
      </c>
      <c r="M72" s="426">
        <f t="shared" si="5"/>
        <v>2016</v>
      </c>
      <c r="N72" s="426">
        <f t="shared" si="5"/>
        <v>2017</v>
      </c>
      <c r="O72" s="426">
        <f t="shared" si="5"/>
        <v>2018</v>
      </c>
      <c r="P72" s="426">
        <f t="shared" si="5"/>
        <v>2019</v>
      </c>
      <c r="Q72" s="426">
        <f t="shared" si="5"/>
        <v>2020</v>
      </c>
      <c r="R72" s="426">
        <f t="shared" si="5"/>
        <v>2021</v>
      </c>
      <c r="S72" s="426">
        <f t="shared" si="5"/>
        <v>2022</v>
      </c>
      <c r="T72" s="427">
        <f t="shared" si="5"/>
        <v>2023</v>
      </c>
    </row>
    <row r="73" spans="1:20">
      <c r="A73" s="60" t="s">
        <v>172</v>
      </c>
      <c r="B73" s="72" t="s">
        <v>43</v>
      </c>
      <c r="C73" s="307">
        <v>0.06</v>
      </c>
      <c r="D73" s="308">
        <v>0.58109999999999995</v>
      </c>
      <c r="E73" s="309">
        <v>0.65</v>
      </c>
      <c r="F73" s="309">
        <v>0.68</v>
      </c>
      <c r="G73" s="340">
        <v>2016</v>
      </c>
      <c r="H73" s="341" t="str">
        <f t="shared" ref="H73:H97" si="6">VLOOKUP($A73,$E$54:$F$57,2,FALSE)</f>
        <v>£m 12/13</v>
      </c>
      <c r="I73" s="341" t="s">
        <v>266</v>
      </c>
      <c r="J73" s="424" t="s">
        <v>475</v>
      </c>
      <c r="K73" s="552"/>
      <c r="L73" s="553"/>
      <c r="M73" s="432">
        <f t="shared" ref="M73:M82" si="7">E$64</f>
        <v>2.5499999999999998E-2</v>
      </c>
      <c r="N73" s="432">
        <f t="shared" ref="N73:N82" si="8">F$64</f>
        <v>2.4199999999999999E-2</v>
      </c>
      <c r="O73" s="432">
        <f t="shared" ref="O73:O82" si="9">G$64</f>
        <v>2.29E-2</v>
      </c>
      <c r="P73" s="432">
        <f t="shared" ref="P73:P82" si="10">H$64</f>
        <v>2.0899999999999998E-2</v>
      </c>
      <c r="Q73" s="432">
        <f t="shared" ref="Q73:Q82" si="11">I$64</f>
        <v>1.9400000000000001E-2</v>
      </c>
      <c r="R73" s="432">
        <f t="shared" ref="R73:R82" si="12">J$64</f>
        <v>1.78E-2</v>
      </c>
      <c r="S73" s="432">
        <f t="shared" ref="S73:S82" si="13">K$64</f>
        <v>1.6199999999999999E-2</v>
      </c>
      <c r="T73" s="436">
        <f t="shared" ref="T73:T82" si="14">L$64</f>
        <v>1.44E-2</v>
      </c>
    </row>
    <row r="74" spans="1:20">
      <c r="A74" s="60" t="s">
        <v>172</v>
      </c>
      <c r="B74" s="72" t="s">
        <v>44</v>
      </c>
      <c r="C74" s="307">
        <v>0.06</v>
      </c>
      <c r="D74" s="308">
        <v>0.55843703457782867</v>
      </c>
      <c r="E74" s="309">
        <v>0.65</v>
      </c>
      <c r="F74" s="309">
        <v>0.7</v>
      </c>
      <c r="G74" s="340">
        <v>2016</v>
      </c>
      <c r="H74" s="341" t="str">
        <f t="shared" si="6"/>
        <v>£m 12/13</v>
      </c>
      <c r="I74" s="341" t="s">
        <v>266</v>
      </c>
      <c r="J74" s="424" t="s">
        <v>475</v>
      </c>
      <c r="K74" s="552"/>
      <c r="L74" s="553"/>
      <c r="M74" s="432">
        <f t="shared" si="7"/>
        <v>2.5499999999999998E-2</v>
      </c>
      <c r="N74" s="432">
        <f t="shared" si="8"/>
        <v>2.4199999999999999E-2</v>
      </c>
      <c r="O74" s="432">
        <f t="shared" si="9"/>
        <v>2.29E-2</v>
      </c>
      <c r="P74" s="432">
        <f t="shared" si="10"/>
        <v>2.0899999999999998E-2</v>
      </c>
      <c r="Q74" s="432">
        <f t="shared" si="11"/>
        <v>1.9400000000000001E-2</v>
      </c>
      <c r="R74" s="432">
        <f t="shared" si="12"/>
        <v>1.78E-2</v>
      </c>
      <c r="S74" s="432">
        <f t="shared" si="13"/>
        <v>1.6199999999999999E-2</v>
      </c>
      <c r="T74" s="436">
        <f t="shared" si="14"/>
        <v>1.44E-2</v>
      </c>
    </row>
    <row r="75" spans="1:20">
      <c r="A75" s="60" t="s">
        <v>172</v>
      </c>
      <c r="B75" s="72" t="s">
        <v>73</v>
      </c>
      <c r="C75" s="307">
        <v>0.06</v>
      </c>
      <c r="D75" s="308">
        <v>0.55843703457782867</v>
      </c>
      <c r="E75" s="309">
        <v>0.65</v>
      </c>
      <c r="F75" s="309">
        <v>0.72</v>
      </c>
      <c r="G75" s="340">
        <v>2016</v>
      </c>
      <c r="H75" s="341" t="str">
        <f t="shared" si="6"/>
        <v>£m 12/13</v>
      </c>
      <c r="I75" s="341" t="s">
        <v>266</v>
      </c>
      <c r="J75" s="424" t="s">
        <v>475</v>
      </c>
      <c r="K75" s="552"/>
      <c r="L75" s="553"/>
      <c r="M75" s="432">
        <f t="shared" si="7"/>
        <v>2.5499999999999998E-2</v>
      </c>
      <c r="N75" s="432">
        <f t="shared" si="8"/>
        <v>2.4199999999999999E-2</v>
      </c>
      <c r="O75" s="432">
        <f t="shared" si="9"/>
        <v>2.29E-2</v>
      </c>
      <c r="P75" s="432">
        <f t="shared" si="10"/>
        <v>2.0899999999999998E-2</v>
      </c>
      <c r="Q75" s="432">
        <f t="shared" si="11"/>
        <v>1.9400000000000001E-2</v>
      </c>
      <c r="R75" s="432">
        <f t="shared" si="12"/>
        <v>1.78E-2</v>
      </c>
      <c r="S75" s="432">
        <f t="shared" si="13"/>
        <v>1.6199999999999999E-2</v>
      </c>
      <c r="T75" s="436">
        <f t="shared" si="14"/>
        <v>1.44E-2</v>
      </c>
    </row>
    <row r="76" spans="1:20">
      <c r="A76" s="60" t="s">
        <v>172</v>
      </c>
      <c r="B76" s="72" t="s">
        <v>59</v>
      </c>
      <c r="C76" s="307">
        <v>0.06</v>
      </c>
      <c r="D76" s="308">
        <v>0.53280000000000005</v>
      </c>
      <c r="E76" s="309">
        <v>0.65</v>
      </c>
      <c r="F76" s="309">
        <v>0.68</v>
      </c>
      <c r="G76" s="340">
        <v>2016</v>
      </c>
      <c r="H76" s="341" t="str">
        <f t="shared" si="6"/>
        <v>£m 12/13</v>
      </c>
      <c r="I76" s="341" t="s">
        <v>266</v>
      </c>
      <c r="J76" s="424" t="s">
        <v>475</v>
      </c>
      <c r="K76" s="552"/>
      <c r="L76" s="553"/>
      <c r="M76" s="432">
        <f t="shared" si="7"/>
        <v>2.5499999999999998E-2</v>
      </c>
      <c r="N76" s="432">
        <f t="shared" si="8"/>
        <v>2.4199999999999999E-2</v>
      </c>
      <c r="O76" s="432">
        <f t="shared" si="9"/>
        <v>2.29E-2</v>
      </c>
      <c r="P76" s="432">
        <f t="shared" si="10"/>
        <v>2.0899999999999998E-2</v>
      </c>
      <c r="Q76" s="432">
        <f t="shared" si="11"/>
        <v>1.9400000000000001E-2</v>
      </c>
      <c r="R76" s="432">
        <f t="shared" si="12"/>
        <v>1.78E-2</v>
      </c>
      <c r="S76" s="432">
        <f t="shared" si="13"/>
        <v>1.6199999999999999E-2</v>
      </c>
      <c r="T76" s="436">
        <f t="shared" si="14"/>
        <v>1.44E-2</v>
      </c>
    </row>
    <row r="77" spans="1:20">
      <c r="A77" s="60" t="s">
        <v>172</v>
      </c>
      <c r="B77" s="72" t="s">
        <v>57</v>
      </c>
      <c r="C77" s="307">
        <v>0.06</v>
      </c>
      <c r="D77" s="308">
        <v>0.53280000000000005</v>
      </c>
      <c r="E77" s="309">
        <v>0.65</v>
      </c>
      <c r="F77" s="309">
        <v>0.68</v>
      </c>
      <c r="G77" s="340">
        <v>2016</v>
      </c>
      <c r="H77" s="341" t="str">
        <f t="shared" si="6"/>
        <v>£m 12/13</v>
      </c>
      <c r="I77" s="341" t="s">
        <v>266</v>
      </c>
      <c r="J77" s="424" t="s">
        <v>475</v>
      </c>
      <c r="K77" s="552"/>
      <c r="L77" s="553"/>
      <c r="M77" s="432">
        <f t="shared" si="7"/>
        <v>2.5499999999999998E-2</v>
      </c>
      <c r="N77" s="432">
        <f t="shared" si="8"/>
        <v>2.4199999999999999E-2</v>
      </c>
      <c r="O77" s="432">
        <f t="shared" si="9"/>
        <v>2.29E-2</v>
      </c>
      <c r="P77" s="432">
        <f t="shared" si="10"/>
        <v>2.0899999999999998E-2</v>
      </c>
      <c r="Q77" s="432">
        <f t="shared" si="11"/>
        <v>1.9400000000000001E-2</v>
      </c>
      <c r="R77" s="432">
        <f t="shared" si="12"/>
        <v>1.78E-2</v>
      </c>
      <c r="S77" s="432">
        <f t="shared" si="13"/>
        <v>1.6199999999999999E-2</v>
      </c>
      <c r="T77" s="436">
        <f t="shared" si="14"/>
        <v>1.44E-2</v>
      </c>
    </row>
    <row r="78" spans="1:20">
      <c r="A78" s="60" t="s">
        <v>172</v>
      </c>
      <c r="B78" s="72" t="s">
        <v>58</v>
      </c>
      <c r="C78" s="307">
        <v>0.06</v>
      </c>
      <c r="D78" s="308">
        <v>0.53280000000000005</v>
      </c>
      <c r="E78" s="309">
        <v>0.65</v>
      </c>
      <c r="F78" s="309">
        <v>0.68</v>
      </c>
      <c r="G78" s="340">
        <v>2016</v>
      </c>
      <c r="H78" s="341" t="str">
        <f t="shared" si="6"/>
        <v>£m 12/13</v>
      </c>
      <c r="I78" s="341" t="s">
        <v>266</v>
      </c>
      <c r="J78" s="424" t="s">
        <v>475</v>
      </c>
      <c r="K78" s="552"/>
      <c r="L78" s="553"/>
      <c r="M78" s="432">
        <f t="shared" si="7"/>
        <v>2.5499999999999998E-2</v>
      </c>
      <c r="N78" s="432">
        <f t="shared" si="8"/>
        <v>2.4199999999999999E-2</v>
      </c>
      <c r="O78" s="432">
        <f t="shared" si="9"/>
        <v>2.29E-2</v>
      </c>
      <c r="P78" s="432">
        <f t="shared" si="10"/>
        <v>2.0899999999999998E-2</v>
      </c>
      <c r="Q78" s="432">
        <f t="shared" si="11"/>
        <v>1.9400000000000001E-2</v>
      </c>
      <c r="R78" s="432">
        <f t="shared" si="12"/>
        <v>1.78E-2</v>
      </c>
      <c r="S78" s="432">
        <f t="shared" si="13"/>
        <v>1.6199999999999999E-2</v>
      </c>
      <c r="T78" s="436">
        <f t="shared" si="14"/>
        <v>1.44E-2</v>
      </c>
    </row>
    <row r="79" spans="1:20">
      <c r="A79" s="60" t="s">
        <v>172</v>
      </c>
      <c r="B79" s="72" t="s">
        <v>45</v>
      </c>
      <c r="C79" s="307">
        <v>0.06</v>
      </c>
      <c r="D79" s="308">
        <v>0.53500000000000003</v>
      </c>
      <c r="E79" s="309">
        <v>0.65</v>
      </c>
      <c r="F79" s="309">
        <v>0.8</v>
      </c>
      <c r="G79" s="340">
        <v>2016</v>
      </c>
      <c r="H79" s="341" t="str">
        <f t="shared" si="6"/>
        <v>£m 12/13</v>
      </c>
      <c r="I79" s="341" t="s">
        <v>266</v>
      </c>
      <c r="J79" s="424" t="s">
        <v>475</v>
      </c>
      <c r="K79" s="552"/>
      <c r="L79" s="553"/>
      <c r="M79" s="432">
        <f t="shared" si="7"/>
        <v>2.5499999999999998E-2</v>
      </c>
      <c r="N79" s="432">
        <f t="shared" si="8"/>
        <v>2.4199999999999999E-2</v>
      </c>
      <c r="O79" s="432">
        <f t="shared" si="9"/>
        <v>2.29E-2</v>
      </c>
      <c r="P79" s="432">
        <f t="shared" si="10"/>
        <v>2.0899999999999998E-2</v>
      </c>
      <c r="Q79" s="432">
        <f t="shared" si="11"/>
        <v>1.9400000000000001E-2</v>
      </c>
      <c r="R79" s="432">
        <f t="shared" si="12"/>
        <v>1.78E-2</v>
      </c>
      <c r="S79" s="432">
        <f t="shared" si="13"/>
        <v>1.6199999999999999E-2</v>
      </c>
      <c r="T79" s="436">
        <f t="shared" si="14"/>
        <v>1.44E-2</v>
      </c>
    </row>
    <row r="80" spans="1:20">
      <c r="A80" s="60" t="s">
        <v>172</v>
      </c>
      <c r="B80" s="72" t="s">
        <v>46</v>
      </c>
      <c r="C80" s="307">
        <v>0.06</v>
      </c>
      <c r="D80" s="308">
        <v>0.53500000000000003</v>
      </c>
      <c r="E80" s="309">
        <v>0.65</v>
      </c>
      <c r="F80" s="309">
        <v>0.8</v>
      </c>
      <c r="G80" s="340">
        <v>2016</v>
      </c>
      <c r="H80" s="341" t="str">
        <f t="shared" si="6"/>
        <v>£m 12/13</v>
      </c>
      <c r="I80" s="341" t="s">
        <v>266</v>
      </c>
      <c r="J80" s="424" t="s">
        <v>475</v>
      </c>
      <c r="K80" s="552"/>
      <c r="L80" s="553"/>
      <c r="M80" s="432">
        <f t="shared" si="7"/>
        <v>2.5499999999999998E-2</v>
      </c>
      <c r="N80" s="432">
        <f t="shared" si="8"/>
        <v>2.4199999999999999E-2</v>
      </c>
      <c r="O80" s="432">
        <f t="shared" si="9"/>
        <v>2.29E-2</v>
      </c>
      <c r="P80" s="432">
        <f t="shared" si="10"/>
        <v>2.0899999999999998E-2</v>
      </c>
      <c r="Q80" s="432">
        <f t="shared" si="11"/>
        <v>1.9400000000000001E-2</v>
      </c>
      <c r="R80" s="432">
        <f t="shared" si="12"/>
        <v>1.78E-2</v>
      </c>
      <c r="S80" s="432">
        <f t="shared" si="13"/>
        <v>1.6199999999999999E-2</v>
      </c>
      <c r="T80" s="436">
        <f t="shared" si="14"/>
        <v>1.44E-2</v>
      </c>
    </row>
    <row r="81" spans="1:20">
      <c r="A81" s="60" t="s">
        <v>172</v>
      </c>
      <c r="B81" s="72" t="s">
        <v>47</v>
      </c>
      <c r="C81" s="307">
        <v>0.06</v>
      </c>
      <c r="D81" s="308">
        <v>0.56469999999999998</v>
      </c>
      <c r="E81" s="309">
        <v>0.65</v>
      </c>
      <c r="F81" s="309">
        <v>0.62</v>
      </c>
      <c r="G81" s="340">
        <v>2016</v>
      </c>
      <c r="H81" s="341" t="str">
        <f t="shared" si="6"/>
        <v>£m 12/13</v>
      </c>
      <c r="I81" s="341" t="s">
        <v>266</v>
      </c>
      <c r="J81" s="424" t="s">
        <v>475</v>
      </c>
      <c r="K81" s="552"/>
      <c r="L81" s="553"/>
      <c r="M81" s="432">
        <f t="shared" si="7"/>
        <v>2.5499999999999998E-2</v>
      </c>
      <c r="N81" s="432">
        <f t="shared" si="8"/>
        <v>2.4199999999999999E-2</v>
      </c>
      <c r="O81" s="432">
        <f t="shared" si="9"/>
        <v>2.29E-2</v>
      </c>
      <c r="P81" s="432">
        <f t="shared" si="10"/>
        <v>2.0899999999999998E-2</v>
      </c>
      <c r="Q81" s="432">
        <f t="shared" si="11"/>
        <v>1.9400000000000001E-2</v>
      </c>
      <c r="R81" s="432">
        <f t="shared" si="12"/>
        <v>1.78E-2</v>
      </c>
      <c r="S81" s="432">
        <f t="shared" si="13"/>
        <v>1.6199999999999999E-2</v>
      </c>
      <c r="T81" s="436">
        <f t="shared" si="14"/>
        <v>1.44E-2</v>
      </c>
    </row>
    <row r="82" spans="1:20">
      <c r="A82" s="60" t="s">
        <v>172</v>
      </c>
      <c r="B82" s="72" t="s">
        <v>48</v>
      </c>
      <c r="C82" s="307">
        <v>0.06</v>
      </c>
      <c r="D82" s="308">
        <v>0.56469999999999998</v>
      </c>
      <c r="E82" s="309">
        <v>0.65</v>
      </c>
      <c r="F82" s="309">
        <v>0.7</v>
      </c>
      <c r="G82" s="340">
        <v>2016</v>
      </c>
      <c r="H82" s="341" t="str">
        <f t="shared" si="6"/>
        <v>£m 12/13</v>
      </c>
      <c r="I82" s="341" t="s">
        <v>266</v>
      </c>
      <c r="J82" s="424" t="s">
        <v>475</v>
      </c>
      <c r="K82" s="552"/>
      <c r="L82" s="553"/>
      <c r="M82" s="432">
        <f t="shared" si="7"/>
        <v>2.5499999999999998E-2</v>
      </c>
      <c r="N82" s="432">
        <f t="shared" si="8"/>
        <v>2.4199999999999999E-2</v>
      </c>
      <c r="O82" s="432">
        <f t="shared" si="9"/>
        <v>2.29E-2</v>
      </c>
      <c r="P82" s="432">
        <f t="shared" si="10"/>
        <v>2.0899999999999998E-2</v>
      </c>
      <c r="Q82" s="432">
        <f t="shared" si="11"/>
        <v>1.9400000000000001E-2</v>
      </c>
      <c r="R82" s="432">
        <f t="shared" si="12"/>
        <v>1.78E-2</v>
      </c>
      <c r="S82" s="432">
        <f t="shared" si="13"/>
        <v>1.6199999999999999E-2</v>
      </c>
      <c r="T82" s="436">
        <f t="shared" si="14"/>
        <v>1.44E-2</v>
      </c>
    </row>
    <row r="83" spans="1:20">
      <c r="A83" s="60" t="s">
        <v>172</v>
      </c>
      <c r="B83" s="72" t="s">
        <v>657</v>
      </c>
      <c r="C83" s="307">
        <v>6.4000000000000001E-2</v>
      </c>
      <c r="D83" s="308">
        <v>0.7</v>
      </c>
      <c r="E83" s="309">
        <v>0.65</v>
      </c>
      <c r="F83" s="309">
        <v>0.8</v>
      </c>
      <c r="G83" s="340">
        <v>2016</v>
      </c>
      <c r="H83" s="341" t="str">
        <f t="shared" si="6"/>
        <v>£m 12/13</v>
      </c>
      <c r="I83" s="341" t="s">
        <v>267</v>
      </c>
      <c r="J83" s="424" t="s">
        <v>476</v>
      </c>
      <c r="K83" s="552"/>
      <c r="L83" s="553"/>
      <c r="M83" s="432">
        <f t="shared" ref="M83:T86" si="15">E$63</f>
        <v>2.5499999999999998E-2</v>
      </c>
      <c r="N83" s="432">
        <f t="shared" si="15"/>
        <v>2.3799999999999998E-2</v>
      </c>
      <c r="O83" s="432">
        <f t="shared" si="15"/>
        <v>2.2200000000000001E-2</v>
      </c>
      <c r="P83" s="432">
        <f t="shared" si="15"/>
        <v>1.9099999999999999E-2</v>
      </c>
      <c r="Q83" s="432">
        <f t="shared" si="15"/>
        <v>1.5800000000000002E-2</v>
      </c>
      <c r="R83" s="432">
        <f t="shared" si="15"/>
        <v>1.09E-2</v>
      </c>
      <c r="S83" s="432">
        <f t="shared" si="15"/>
        <v>7.6E-3</v>
      </c>
      <c r="T83" s="436">
        <f t="shared" si="15"/>
        <v>3.8999999999999998E-3</v>
      </c>
    </row>
    <row r="84" spans="1:20">
      <c r="A84" s="60" t="s">
        <v>172</v>
      </c>
      <c r="B84" s="72" t="s">
        <v>658</v>
      </c>
      <c r="C84" s="307">
        <v>6.4000000000000001E-2</v>
      </c>
      <c r="D84" s="308">
        <v>0.7</v>
      </c>
      <c r="E84" s="309">
        <v>0.65</v>
      </c>
      <c r="F84" s="309">
        <v>0.8</v>
      </c>
      <c r="G84" s="340">
        <v>2016</v>
      </c>
      <c r="H84" s="341" t="str">
        <f t="shared" si="6"/>
        <v>£m 12/13</v>
      </c>
      <c r="I84" s="341" t="s">
        <v>267</v>
      </c>
      <c r="J84" s="424" t="s">
        <v>476</v>
      </c>
      <c r="K84" s="552"/>
      <c r="L84" s="553"/>
      <c r="M84" s="432">
        <f t="shared" si="15"/>
        <v>2.5499999999999998E-2</v>
      </c>
      <c r="N84" s="432">
        <f t="shared" si="15"/>
        <v>2.3799999999999998E-2</v>
      </c>
      <c r="O84" s="432">
        <f t="shared" si="15"/>
        <v>2.2200000000000001E-2</v>
      </c>
      <c r="P84" s="432">
        <f t="shared" si="15"/>
        <v>1.9099999999999999E-2</v>
      </c>
      <c r="Q84" s="432">
        <f t="shared" si="15"/>
        <v>1.5800000000000002E-2</v>
      </c>
      <c r="R84" s="432">
        <f t="shared" si="15"/>
        <v>1.09E-2</v>
      </c>
      <c r="S84" s="432">
        <f t="shared" si="15"/>
        <v>7.6E-3</v>
      </c>
      <c r="T84" s="436">
        <f t="shared" si="15"/>
        <v>3.8999999999999998E-3</v>
      </c>
    </row>
    <row r="85" spans="1:20">
      <c r="A85" s="60" t="s">
        <v>172</v>
      </c>
      <c r="B85" s="72" t="s">
        <v>659</v>
      </c>
      <c r="C85" s="307">
        <v>6.4000000000000001E-2</v>
      </c>
      <c r="D85" s="308">
        <v>0.7</v>
      </c>
      <c r="E85" s="309">
        <v>0.65</v>
      </c>
      <c r="F85" s="309">
        <v>0.8</v>
      </c>
      <c r="G85" s="340">
        <v>2016</v>
      </c>
      <c r="H85" s="341" t="str">
        <f t="shared" si="6"/>
        <v>£m 12/13</v>
      </c>
      <c r="I85" s="341" t="s">
        <v>267</v>
      </c>
      <c r="J85" s="424" t="s">
        <v>476</v>
      </c>
      <c r="K85" s="552"/>
      <c r="L85" s="553"/>
      <c r="M85" s="432">
        <f t="shared" si="15"/>
        <v>2.5499999999999998E-2</v>
      </c>
      <c r="N85" s="432">
        <f t="shared" si="15"/>
        <v>2.3799999999999998E-2</v>
      </c>
      <c r="O85" s="432">
        <f t="shared" si="15"/>
        <v>2.2200000000000001E-2</v>
      </c>
      <c r="P85" s="432">
        <f t="shared" si="15"/>
        <v>1.9099999999999999E-2</v>
      </c>
      <c r="Q85" s="432">
        <f t="shared" si="15"/>
        <v>1.5800000000000002E-2</v>
      </c>
      <c r="R85" s="432">
        <f t="shared" si="15"/>
        <v>1.09E-2</v>
      </c>
      <c r="S85" s="432">
        <f t="shared" si="15"/>
        <v>7.6E-3</v>
      </c>
      <c r="T85" s="436">
        <f t="shared" si="15"/>
        <v>3.8999999999999998E-3</v>
      </c>
    </row>
    <row r="86" spans="1:20">
      <c r="A86" s="60" t="s">
        <v>172</v>
      </c>
      <c r="B86" s="72" t="s">
        <v>660</v>
      </c>
      <c r="C86" s="307">
        <v>6.4000000000000001E-2</v>
      </c>
      <c r="D86" s="308">
        <v>0.7</v>
      </c>
      <c r="E86" s="309">
        <v>0.65</v>
      </c>
      <c r="F86" s="309">
        <v>0.8</v>
      </c>
      <c r="G86" s="340">
        <v>2016</v>
      </c>
      <c r="H86" s="341" t="str">
        <f t="shared" si="6"/>
        <v>£m 12/13</v>
      </c>
      <c r="I86" s="341" t="s">
        <v>267</v>
      </c>
      <c r="J86" s="424" t="s">
        <v>476</v>
      </c>
      <c r="K86" s="552"/>
      <c r="L86" s="553"/>
      <c r="M86" s="432">
        <f t="shared" si="15"/>
        <v>2.5499999999999998E-2</v>
      </c>
      <c r="N86" s="432">
        <f t="shared" si="15"/>
        <v>2.3799999999999998E-2</v>
      </c>
      <c r="O86" s="432">
        <f t="shared" si="15"/>
        <v>2.2200000000000001E-2</v>
      </c>
      <c r="P86" s="432">
        <f t="shared" si="15"/>
        <v>1.9099999999999999E-2</v>
      </c>
      <c r="Q86" s="432">
        <f t="shared" si="15"/>
        <v>1.5800000000000002E-2</v>
      </c>
      <c r="R86" s="432">
        <f t="shared" si="15"/>
        <v>1.09E-2</v>
      </c>
      <c r="S86" s="432">
        <f t="shared" si="15"/>
        <v>7.6E-3</v>
      </c>
      <c r="T86" s="436">
        <f t="shared" si="15"/>
        <v>3.8999999999999998E-3</v>
      </c>
    </row>
    <row r="87" spans="1:20">
      <c r="A87" s="60" t="s">
        <v>173</v>
      </c>
      <c r="B87" s="72" t="s">
        <v>53</v>
      </c>
      <c r="C87" s="307">
        <v>6.7000000000000004E-2</v>
      </c>
      <c r="D87" s="308">
        <v>0.63039999999999996</v>
      </c>
      <c r="E87" s="309">
        <v>0.65</v>
      </c>
      <c r="F87" s="309">
        <v>0.26634501855794862</v>
      </c>
      <c r="G87" s="340">
        <v>2014</v>
      </c>
      <c r="H87" s="341" t="str">
        <f t="shared" si="6"/>
        <v>£m 09/10</v>
      </c>
      <c r="I87" s="341" t="s">
        <v>266</v>
      </c>
      <c r="J87" s="424" t="s">
        <v>476</v>
      </c>
      <c r="K87" s="434">
        <f t="shared" ref="K87:R94" si="16">C$67</f>
        <v>2.92E-2</v>
      </c>
      <c r="L87" s="432">
        <f t="shared" si="16"/>
        <v>2.7199999999999998E-2</v>
      </c>
      <c r="M87" s="432">
        <f t="shared" si="16"/>
        <v>2.5499999999999998E-2</v>
      </c>
      <c r="N87" s="432">
        <f t="shared" si="16"/>
        <v>2.3800000000000002E-2</v>
      </c>
      <c r="O87" s="432">
        <f t="shared" si="16"/>
        <v>2.2200000000000001E-2</v>
      </c>
      <c r="P87" s="432">
        <f t="shared" si="16"/>
        <v>1.9099999999999999E-2</v>
      </c>
      <c r="Q87" s="432">
        <f t="shared" si="16"/>
        <v>1.5800000000000002E-2</v>
      </c>
      <c r="R87" s="432">
        <f t="shared" si="16"/>
        <v>1.09E-2</v>
      </c>
      <c r="S87" s="553"/>
      <c r="T87" s="554"/>
    </row>
    <row r="88" spans="1:20">
      <c r="A88" s="60" t="s">
        <v>173</v>
      </c>
      <c r="B88" s="72" t="s">
        <v>54</v>
      </c>
      <c r="C88" s="307">
        <v>6.7000000000000004E-2</v>
      </c>
      <c r="D88" s="308">
        <v>0.63039999999999996</v>
      </c>
      <c r="E88" s="309">
        <v>0.65</v>
      </c>
      <c r="F88" s="309">
        <v>0.23469337831705597</v>
      </c>
      <c r="G88" s="340">
        <v>2014</v>
      </c>
      <c r="H88" s="341" t="str">
        <f t="shared" si="6"/>
        <v>£m 09/10</v>
      </c>
      <c r="I88" s="341" t="s">
        <v>266</v>
      </c>
      <c r="J88" s="424" t="s">
        <v>476</v>
      </c>
      <c r="K88" s="434">
        <f t="shared" si="16"/>
        <v>2.92E-2</v>
      </c>
      <c r="L88" s="432">
        <f t="shared" si="16"/>
        <v>2.7199999999999998E-2</v>
      </c>
      <c r="M88" s="432">
        <f t="shared" si="16"/>
        <v>2.5499999999999998E-2</v>
      </c>
      <c r="N88" s="432">
        <f t="shared" si="16"/>
        <v>2.3800000000000002E-2</v>
      </c>
      <c r="O88" s="432">
        <f t="shared" si="16"/>
        <v>2.2200000000000001E-2</v>
      </c>
      <c r="P88" s="432">
        <f t="shared" si="16"/>
        <v>1.9099999999999999E-2</v>
      </c>
      <c r="Q88" s="432">
        <f t="shared" si="16"/>
        <v>1.5800000000000002E-2</v>
      </c>
      <c r="R88" s="432">
        <f t="shared" si="16"/>
        <v>1.09E-2</v>
      </c>
      <c r="S88" s="553"/>
      <c r="T88" s="554"/>
    </row>
    <row r="89" spans="1:20">
      <c r="A89" s="60" t="s">
        <v>173</v>
      </c>
      <c r="B89" s="72" t="s">
        <v>55</v>
      </c>
      <c r="C89" s="307">
        <v>6.7000000000000004E-2</v>
      </c>
      <c r="D89" s="308">
        <v>0.63039999999999996</v>
      </c>
      <c r="E89" s="309">
        <v>0.65</v>
      </c>
      <c r="F89" s="309">
        <v>0.24946223864843597</v>
      </c>
      <c r="G89" s="340">
        <v>2014</v>
      </c>
      <c r="H89" s="341" t="str">
        <f t="shared" si="6"/>
        <v>£m 09/10</v>
      </c>
      <c r="I89" s="341" t="s">
        <v>266</v>
      </c>
      <c r="J89" s="424" t="s">
        <v>476</v>
      </c>
      <c r="K89" s="434">
        <f t="shared" si="16"/>
        <v>2.92E-2</v>
      </c>
      <c r="L89" s="432">
        <f t="shared" si="16"/>
        <v>2.7199999999999998E-2</v>
      </c>
      <c r="M89" s="432">
        <f t="shared" si="16"/>
        <v>2.5499999999999998E-2</v>
      </c>
      <c r="N89" s="432">
        <f t="shared" si="16"/>
        <v>2.3800000000000002E-2</v>
      </c>
      <c r="O89" s="432">
        <f t="shared" si="16"/>
        <v>2.2200000000000001E-2</v>
      </c>
      <c r="P89" s="432">
        <f t="shared" si="16"/>
        <v>1.9099999999999999E-2</v>
      </c>
      <c r="Q89" s="432">
        <f t="shared" si="16"/>
        <v>1.5800000000000002E-2</v>
      </c>
      <c r="R89" s="432">
        <f t="shared" si="16"/>
        <v>1.09E-2</v>
      </c>
      <c r="S89" s="553"/>
      <c r="T89" s="554"/>
    </row>
    <row r="90" spans="1:20">
      <c r="A90" s="60" t="s">
        <v>173</v>
      </c>
      <c r="B90" s="72" t="s">
        <v>56</v>
      </c>
      <c r="C90" s="307">
        <v>6.7000000000000004E-2</v>
      </c>
      <c r="D90" s="308">
        <v>0.63039999999999996</v>
      </c>
      <c r="E90" s="309">
        <v>0.65</v>
      </c>
      <c r="F90" s="309">
        <v>0.26095352485819256</v>
      </c>
      <c r="G90" s="340">
        <v>2014</v>
      </c>
      <c r="H90" s="341" t="str">
        <f t="shared" si="6"/>
        <v>£m 09/10</v>
      </c>
      <c r="I90" s="341" t="s">
        <v>266</v>
      </c>
      <c r="J90" s="424" t="s">
        <v>476</v>
      </c>
      <c r="K90" s="434">
        <f t="shared" si="16"/>
        <v>2.92E-2</v>
      </c>
      <c r="L90" s="432">
        <f t="shared" si="16"/>
        <v>2.7199999999999998E-2</v>
      </c>
      <c r="M90" s="432">
        <f t="shared" si="16"/>
        <v>2.5499999999999998E-2</v>
      </c>
      <c r="N90" s="432">
        <f t="shared" si="16"/>
        <v>2.3800000000000002E-2</v>
      </c>
      <c r="O90" s="432">
        <f t="shared" si="16"/>
        <v>2.2200000000000001E-2</v>
      </c>
      <c r="P90" s="432">
        <f t="shared" si="16"/>
        <v>1.9099999999999999E-2</v>
      </c>
      <c r="Q90" s="432">
        <f t="shared" si="16"/>
        <v>1.5800000000000002E-2</v>
      </c>
      <c r="R90" s="432">
        <f t="shared" si="16"/>
        <v>1.09E-2</v>
      </c>
      <c r="S90" s="553"/>
      <c r="T90" s="554"/>
    </row>
    <row r="91" spans="1:20">
      <c r="A91" s="60" t="s">
        <v>173</v>
      </c>
      <c r="B91" s="72" t="s">
        <v>50</v>
      </c>
      <c r="C91" s="307">
        <v>6.7000000000000004E-2</v>
      </c>
      <c r="D91" s="308">
        <v>0.63980000000000004</v>
      </c>
      <c r="E91" s="309">
        <v>0.65</v>
      </c>
      <c r="F91" s="309">
        <v>0.34984411379298247</v>
      </c>
      <c r="G91" s="340">
        <v>2014</v>
      </c>
      <c r="H91" s="341" t="str">
        <f t="shared" si="6"/>
        <v>£m 09/10</v>
      </c>
      <c r="I91" s="341" t="s">
        <v>266</v>
      </c>
      <c r="J91" s="424" t="s">
        <v>476</v>
      </c>
      <c r="K91" s="434">
        <f t="shared" si="16"/>
        <v>2.92E-2</v>
      </c>
      <c r="L91" s="432">
        <f t="shared" si="16"/>
        <v>2.7199999999999998E-2</v>
      </c>
      <c r="M91" s="432">
        <f t="shared" si="16"/>
        <v>2.5499999999999998E-2</v>
      </c>
      <c r="N91" s="432">
        <f t="shared" si="16"/>
        <v>2.3800000000000002E-2</v>
      </c>
      <c r="O91" s="432">
        <f t="shared" si="16"/>
        <v>2.2200000000000001E-2</v>
      </c>
      <c r="P91" s="432">
        <f t="shared" si="16"/>
        <v>1.9099999999999999E-2</v>
      </c>
      <c r="Q91" s="432">
        <f t="shared" si="16"/>
        <v>1.5800000000000002E-2</v>
      </c>
      <c r="R91" s="432">
        <f t="shared" si="16"/>
        <v>1.09E-2</v>
      </c>
      <c r="S91" s="553"/>
      <c r="T91" s="554"/>
    </row>
    <row r="92" spans="1:20">
      <c r="A92" s="60" t="s">
        <v>173</v>
      </c>
      <c r="B92" s="72" t="s">
        <v>52</v>
      </c>
      <c r="C92" s="307">
        <v>6.7000000000000004E-2</v>
      </c>
      <c r="D92" s="308">
        <v>0.63729999999999998</v>
      </c>
      <c r="E92" s="309">
        <v>0.65</v>
      </c>
      <c r="F92" s="309">
        <v>0.35129049661183626</v>
      </c>
      <c r="G92" s="340">
        <v>2014</v>
      </c>
      <c r="H92" s="341" t="str">
        <f t="shared" si="6"/>
        <v>£m 09/10</v>
      </c>
      <c r="I92" s="341" t="s">
        <v>266</v>
      </c>
      <c r="J92" s="424" t="s">
        <v>476</v>
      </c>
      <c r="K92" s="434">
        <f t="shared" si="16"/>
        <v>2.92E-2</v>
      </c>
      <c r="L92" s="432">
        <f t="shared" si="16"/>
        <v>2.7199999999999998E-2</v>
      </c>
      <c r="M92" s="432">
        <f t="shared" si="16"/>
        <v>2.5499999999999998E-2</v>
      </c>
      <c r="N92" s="432">
        <f t="shared" si="16"/>
        <v>2.3800000000000002E-2</v>
      </c>
      <c r="O92" s="432">
        <f t="shared" si="16"/>
        <v>2.2200000000000001E-2</v>
      </c>
      <c r="P92" s="432">
        <f t="shared" si="16"/>
        <v>1.9099999999999999E-2</v>
      </c>
      <c r="Q92" s="432">
        <f t="shared" si="16"/>
        <v>1.5800000000000002E-2</v>
      </c>
      <c r="R92" s="432">
        <f t="shared" si="16"/>
        <v>1.09E-2</v>
      </c>
      <c r="S92" s="553"/>
      <c r="T92" s="554"/>
    </row>
    <row r="93" spans="1:20">
      <c r="A93" s="60" t="s">
        <v>173</v>
      </c>
      <c r="B93" s="72" t="s">
        <v>51</v>
      </c>
      <c r="C93" s="307">
        <v>6.7000000000000004E-2</v>
      </c>
      <c r="D93" s="308">
        <v>0.63729999999999998</v>
      </c>
      <c r="E93" s="309">
        <v>0.65</v>
      </c>
      <c r="F93" s="309">
        <v>0.32230855902021693</v>
      </c>
      <c r="G93" s="340">
        <v>2014</v>
      </c>
      <c r="H93" s="341" t="str">
        <f t="shared" si="6"/>
        <v>£m 09/10</v>
      </c>
      <c r="I93" s="341" t="s">
        <v>266</v>
      </c>
      <c r="J93" s="424" t="s">
        <v>476</v>
      </c>
      <c r="K93" s="434">
        <f t="shared" si="16"/>
        <v>2.92E-2</v>
      </c>
      <c r="L93" s="432">
        <f t="shared" si="16"/>
        <v>2.7199999999999998E-2</v>
      </c>
      <c r="M93" s="432">
        <f t="shared" si="16"/>
        <v>2.5499999999999998E-2</v>
      </c>
      <c r="N93" s="432">
        <f t="shared" si="16"/>
        <v>2.3800000000000002E-2</v>
      </c>
      <c r="O93" s="432">
        <f t="shared" si="16"/>
        <v>2.2200000000000001E-2</v>
      </c>
      <c r="P93" s="432">
        <f t="shared" si="16"/>
        <v>1.9099999999999999E-2</v>
      </c>
      <c r="Q93" s="432">
        <f t="shared" si="16"/>
        <v>1.5800000000000002E-2</v>
      </c>
      <c r="R93" s="432">
        <f t="shared" si="16"/>
        <v>1.09E-2</v>
      </c>
      <c r="S93" s="553"/>
      <c r="T93" s="554"/>
    </row>
    <row r="94" spans="1:20">
      <c r="A94" s="60" t="s">
        <v>173</v>
      </c>
      <c r="B94" s="72" t="s">
        <v>49</v>
      </c>
      <c r="C94" s="307">
        <v>6.7000000000000004E-2</v>
      </c>
      <c r="D94" s="308">
        <v>0.63170000000000004</v>
      </c>
      <c r="E94" s="309">
        <v>0.65</v>
      </c>
      <c r="F94" s="309">
        <v>0.35781904469402892</v>
      </c>
      <c r="G94" s="340">
        <v>2014</v>
      </c>
      <c r="H94" s="341" t="str">
        <f t="shared" si="6"/>
        <v>£m 09/10</v>
      </c>
      <c r="I94" s="341" t="s">
        <v>266</v>
      </c>
      <c r="J94" s="424" t="s">
        <v>476</v>
      </c>
      <c r="K94" s="434">
        <f t="shared" si="16"/>
        <v>2.92E-2</v>
      </c>
      <c r="L94" s="432">
        <f t="shared" si="16"/>
        <v>2.7199999999999998E-2</v>
      </c>
      <c r="M94" s="432">
        <f t="shared" si="16"/>
        <v>2.5499999999999998E-2</v>
      </c>
      <c r="N94" s="432">
        <f t="shared" si="16"/>
        <v>2.3800000000000002E-2</v>
      </c>
      <c r="O94" s="432">
        <f t="shared" si="16"/>
        <v>2.2200000000000001E-2</v>
      </c>
      <c r="P94" s="432">
        <f t="shared" si="16"/>
        <v>1.9099999999999999E-2</v>
      </c>
      <c r="Q94" s="432">
        <f t="shared" si="16"/>
        <v>1.5800000000000002E-2</v>
      </c>
      <c r="R94" s="432">
        <f t="shared" si="16"/>
        <v>1.09E-2</v>
      </c>
      <c r="S94" s="553"/>
      <c r="T94" s="554"/>
    </row>
    <row r="95" spans="1:20">
      <c r="A95" s="60" t="s">
        <v>175</v>
      </c>
      <c r="B95" s="72" t="s">
        <v>113</v>
      </c>
      <c r="C95" s="307">
        <v>6.8000000000000005E-2</v>
      </c>
      <c r="D95" s="308">
        <v>0.44359999999999999</v>
      </c>
      <c r="E95" s="309">
        <v>0.625</v>
      </c>
      <c r="F95" s="309">
        <v>0.64400000000000002</v>
      </c>
      <c r="G95" s="340">
        <v>2014</v>
      </c>
      <c r="H95" s="341" t="str">
        <f t="shared" si="6"/>
        <v>£m 09/10</v>
      </c>
      <c r="I95" s="341" t="s">
        <v>266</v>
      </c>
      <c r="J95" s="424" t="s">
        <v>476</v>
      </c>
      <c r="K95" s="434">
        <f t="shared" ref="K95:R96" si="17">C$68</f>
        <v>2.92E-2</v>
      </c>
      <c r="L95" s="432">
        <f t="shared" si="17"/>
        <v>2.7199999999999998E-2</v>
      </c>
      <c r="M95" s="432">
        <f t="shared" si="17"/>
        <v>2.5499999999999998E-2</v>
      </c>
      <c r="N95" s="432">
        <f t="shared" si="17"/>
        <v>2.3800000000000002E-2</v>
      </c>
      <c r="O95" s="432">
        <f t="shared" si="17"/>
        <v>2.2200000000000001E-2</v>
      </c>
      <c r="P95" s="432">
        <f t="shared" si="17"/>
        <v>1.9099999999999999E-2</v>
      </c>
      <c r="Q95" s="432">
        <f t="shared" si="17"/>
        <v>1.5800000000000002E-2</v>
      </c>
      <c r="R95" s="432">
        <f t="shared" si="17"/>
        <v>1.09E-2</v>
      </c>
      <c r="S95" s="553"/>
      <c r="T95" s="554"/>
    </row>
    <row r="96" spans="1:20">
      <c r="A96" s="60" t="s">
        <v>175</v>
      </c>
      <c r="B96" s="72" t="s">
        <v>114</v>
      </c>
      <c r="C96" s="307">
        <v>6.8000000000000005E-2</v>
      </c>
      <c r="D96" s="308">
        <v>0.44359999999999999</v>
      </c>
      <c r="E96" s="309">
        <v>0.625</v>
      </c>
      <c r="F96" s="309">
        <v>0.374</v>
      </c>
      <c r="G96" s="340">
        <v>2014</v>
      </c>
      <c r="H96" s="341" t="str">
        <f t="shared" si="6"/>
        <v>£m 09/10</v>
      </c>
      <c r="I96" s="341" t="s">
        <v>266</v>
      </c>
      <c r="J96" s="424" t="s">
        <v>476</v>
      </c>
      <c r="K96" s="434">
        <f t="shared" si="17"/>
        <v>2.92E-2</v>
      </c>
      <c r="L96" s="432">
        <f t="shared" si="17"/>
        <v>2.7199999999999998E-2</v>
      </c>
      <c r="M96" s="432">
        <f t="shared" si="17"/>
        <v>2.5499999999999998E-2</v>
      </c>
      <c r="N96" s="432">
        <f t="shared" si="17"/>
        <v>2.3800000000000002E-2</v>
      </c>
      <c r="O96" s="432">
        <f t="shared" si="17"/>
        <v>2.2200000000000001E-2</v>
      </c>
      <c r="P96" s="432">
        <f t="shared" si="17"/>
        <v>1.9099999999999999E-2</v>
      </c>
      <c r="Q96" s="432">
        <f t="shared" si="17"/>
        <v>1.5800000000000002E-2</v>
      </c>
      <c r="R96" s="432">
        <f t="shared" si="17"/>
        <v>1.09E-2</v>
      </c>
      <c r="S96" s="553"/>
      <c r="T96" s="554"/>
    </row>
    <row r="97" spans="1:20">
      <c r="A97" s="60" t="s">
        <v>174</v>
      </c>
      <c r="B97" s="72" t="s">
        <v>111</v>
      </c>
      <c r="C97" s="307">
        <v>7.0000000000000007E-2</v>
      </c>
      <c r="D97" s="308">
        <v>0.46889999999999998</v>
      </c>
      <c r="E97" s="309">
        <v>0.6</v>
      </c>
      <c r="F97" s="309">
        <v>0.85</v>
      </c>
      <c r="G97" s="340">
        <v>2014</v>
      </c>
      <c r="H97" s="341" t="str">
        <f t="shared" si="6"/>
        <v>£m 09/10</v>
      </c>
      <c r="I97" s="341" t="s">
        <v>266</v>
      </c>
      <c r="J97" s="424" t="s">
        <v>476</v>
      </c>
      <c r="K97" s="434">
        <f t="shared" ref="K97:R99" si="18">C$66</f>
        <v>2.92E-2</v>
      </c>
      <c r="L97" s="432">
        <f t="shared" si="18"/>
        <v>2.7199999999999998E-2</v>
      </c>
      <c r="M97" s="432">
        <f t="shared" si="18"/>
        <v>2.5499999999999998E-2</v>
      </c>
      <c r="N97" s="432">
        <f t="shared" si="18"/>
        <v>2.3800000000000002E-2</v>
      </c>
      <c r="O97" s="432">
        <f t="shared" si="18"/>
        <v>2.2200000000000001E-2</v>
      </c>
      <c r="P97" s="432">
        <f t="shared" si="18"/>
        <v>1.9099999999999999E-2</v>
      </c>
      <c r="Q97" s="432">
        <f t="shared" si="18"/>
        <v>1.5800000000000002E-2</v>
      </c>
      <c r="R97" s="432">
        <f t="shared" si="18"/>
        <v>1.09E-2</v>
      </c>
      <c r="S97" s="553"/>
      <c r="T97" s="554"/>
    </row>
    <row r="98" spans="1:20">
      <c r="A98" s="60" t="s">
        <v>174</v>
      </c>
      <c r="B98" s="72" t="s">
        <v>571</v>
      </c>
      <c r="C98" s="307">
        <v>7.0000000000000007E-2</v>
      </c>
      <c r="D98" s="308">
        <v>0.46889999999999998</v>
      </c>
      <c r="E98" s="309">
        <v>0.6</v>
      </c>
      <c r="F98" s="309">
        <v>0.27900000000000003</v>
      </c>
      <c r="G98" s="326">
        <v>2014</v>
      </c>
      <c r="H98" s="327" t="str">
        <f>VLOOKUP($A98,$E$54:$F$57,2,FALSE)</f>
        <v>£m 09/10</v>
      </c>
      <c r="I98" s="324" t="s">
        <v>266</v>
      </c>
      <c r="J98" s="424" t="s">
        <v>476</v>
      </c>
      <c r="K98" s="434">
        <f t="shared" si="18"/>
        <v>2.92E-2</v>
      </c>
      <c r="L98" s="432">
        <f t="shared" si="18"/>
        <v>2.7199999999999998E-2</v>
      </c>
      <c r="M98" s="432">
        <f t="shared" si="18"/>
        <v>2.5499999999999998E-2</v>
      </c>
      <c r="N98" s="432">
        <f t="shared" si="18"/>
        <v>2.3800000000000002E-2</v>
      </c>
      <c r="O98" s="432">
        <f t="shared" si="18"/>
        <v>2.2200000000000001E-2</v>
      </c>
      <c r="P98" s="432">
        <f t="shared" si="18"/>
        <v>1.9099999999999999E-2</v>
      </c>
      <c r="Q98" s="432">
        <f t="shared" si="18"/>
        <v>1.5800000000000002E-2</v>
      </c>
      <c r="R98" s="432">
        <f t="shared" si="18"/>
        <v>1.09E-2</v>
      </c>
      <c r="S98" s="553"/>
      <c r="T98" s="554"/>
    </row>
    <row r="99" spans="1:20">
      <c r="A99" s="60" t="s">
        <v>174</v>
      </c>
      <c r="B99" s="72" t="s">
        <v>60</v>
      </c>
      <c r="C99" s="307">
        <v>7.0000000000000007E-2</v>
      </c>
      <c r="D99" s="308">
        <v>0.5</v>
      </c>
      <c r="E99" s="309">
        <v>0.55000000000000004</v>
      </c>
      <c r="F99" s="309">
        <v>0.9</v>
      </c>
      <c r="G99" s="326">
        <v>2014</v>
      </c>
      <c r="H99" s="327" t="str">
        <f>VLOOKUP($A99,$E$54:$F$57,2,FALSE)</f>
        <v>£m 09/10</v>
      </c>
      <c r="I99" s="324" t="s">
        <v>267</v>
      </c>
      <c r="J99" s="424" t="s">
        <v>476</v>
      </c>
      <c r="K99" s="434">
        <f t="shared" si="18"/>
        <v>2.92E-2</v>
      </c>
      <c r="L99" s="432">
        <f t="shared" si="18"/>
        <v>2.7199999999999998E-2</v>
      </c>
      <c r="M99" s="432">
        <f t="shared" si="18"/>
        <v>2.5499999999999998E-2</v>
      </c>
      <c r="N99" s="432">
        <f t="shared" si="18"/>
        <v>2.3800000000000002E-2</v>
      </c>
      <c r="O99" s="432">
        <f t="shared" si="18"/>
        <v>2.2200000000000001E-2</v>
      </c>
      <c r="P99" s="432">
        <f t="shared" si="18"/>
        <v>1.9099999999999999E-2</v>
      </c>
      <c r="Q99" s="432">
        <f t="shared" si="18"/>
        <v>1.5800000000000002E-2</v>
      </c>
      <c r="R99" s="432">
        <f t="shared" si="18"/>
        <v>1.09E-2</v>
      </c>
      <c r="S99" s="553"/>
      <c r="T99" s="554"/>
    </row>
    <row r="100" spans="1:20">
      <c r="A100" s="60" t="s">
        <v>174</v>
      </c>
      <c r="B100" s="73" t="s">
        <v>61</v>
      </c>
      <c r="C100" s="310">
        <v>7.0000000000000007E-2</v>
      </c>
      <c r="D100" s="311">
        <v>0.5</v>
      </c>
      <c r="E100" s="312">
        <v>0.55000000000000004</v>
      </c>
      <c r="F100" s="312">
        <v>0.9</v>
      </c>
      <c r="G100" s="328">
        <v>2014</v>
      </c>
      <c r="H100" s="329" t="str">
        <f>VLOOKUP($A100,$E$54:$F$57,2,FALSE)</f>
        <v>£m 09/10</v>
      </c>
      <c r="I100" s="325" t="s">
        <v>267</v>
      </c>
      <c r="J100" s="424" t="s">
        <v>476</v>
      </c>
      <c r="K100" s="435">
        <f t="shared" ref="K100:R100" si="19">C$65</f>
        <v>2.92E-2</v>
      </c>
      <c r="L100" s="433">
        <f t="shared" si="19"/>
        <v>2.5000000000000001E-2</v>
      </c>
      <c r="M100" s="433">
        <f t="shared" si="19"/>
        <v>2.1499999999999998E-2</v>
      </c>
      <c r="N100" s="433">
        <f t="shared" si="19"/>
        <v>1.7899999999999999E-2</v>
      </c>
      <c r="O100" s="433">
        <f t="shared" si="19"/>
        <v>1.5100000000000001E-2</v>
      </c>
      <c r="P100" s="433">
        <f t="shared" si="19"/>
        <v>1.1599999999999999E-2</v>
      </c>
      <c r="Q100" s="433">
        <f t="shared" si="19"/>
        <v>1.0200000000000001E-2</v>
      </c>
      <c r="R100" s="433">
        <f t="shared" si="19"/>
        <v>7.6E-3</v>
      </c>
      <c r="S100" s="555"/>
      <c r="T100" s="556"/>
    </row>
    <row r="101" spans="1:20">
      <c r="I101" s="67"/>
    </row>
    <row r="102" spans="1:20">
      <c r="I102" s="67"/>
    </row>
    <row r="103" spans="1:20">
      <c r="I103" s="67"/>
    </row>
    <row r="104" spans="1:20" ht="13.5">
      <c r="B104" s="14" t="s">
        <v>246</v>
      </c>
      <c r="D104" s="298"/>
      <c r="E104" s="298"/>
      <c r="F104" s="298"/>
      <c r="G104" s="298"/>
      <c r="H104" s="298"/>
      <c r="I104" s="298"/>
      <c r="J104" s="298"/>
    </row>
    <row r="105" spans="1:20">
      <c r="B105" s="14"/>
      <c r="C105" s="117">
        <v>2014</v>
      </c>
      <c r="D105" s="118">
        <f>C105+1</f>
        <v>2015</v>
      </c>
      <c r="E105" s="118">
        <f t="shared" ref="E105:J105" si="20">D105+1</f>
        <v>2016</v>
      </c>
      <c r="F105" s="118">
        <f>E105+1</f>
        <v>2017</v>
      </c>
      <c r="G105" s="118">
        <f t="shared" si="20"/>
        <v>2018</v>
      </c>
      <c r="H105" s="118">
        <f t="shared" si="20"/>
        <v>2019</v>
      </c>
      <c r="I105" s="118">
        <f t="shared" si="20"/>
        <v>2020</v>
      </c>
      <c r="J105" s="118">
        <f t="shared" si="20"/>
        <v>2021</v>
      </c>
    </row>
    <row r="106" spans="1:20">
      <c r="B106" s="302" t="s">
        <v>53</v>
      </c>
      <c r="C106" s="299">
        <v>0.5</v>
      </c>
      <c r="D106" s="299">
        <v>0.5714285714285714</v>
      </c>
      <c r="E106" s="299">
        <v>0.64285714285714279</v>
      </c>
      <c r="F106" s="299">
        <v>0.71428571428571419</v>
      </c>
      <c r="G106" s="299">
        <v>0.78571428571428559</v>
      </c>
      <c r="H106" s="299">
        <v>0.85714285714285698</v>
      </c>
      <c r="I106" s="299">
        <v>0.92857142857142838</v>
      </c>
      <c r="J106" s="300">
        <v>1</v>
      </c>
    </row>
    <row r="107" spans="1:20">
      <c r="B107" s="303" t="s">
        <v>54</v>
      </c>
      <c r="C107" s="219">
        <v>0.5</v>
      </c>
      <c r="D107" s="219">
        <v>0.5714285714285714</v>
      </c>
      <c r="E107" s="219">
        <v>0.64285714285714279</v>
      </c>
      <c r="F107" s="219">
        <v>0.71428571428571419</v>
      </c>
      <c r="G107" s="219">
        <v>0.78571428571428559</v>
      </c>
      <c r="H107" s="219">
        <v>0.85714285714285698</v>
      </c>
      <c r="I107" s="219">
        <v>0.92857142857142838</v>
      </c>
      <c r="J107" s="220">
        <v>1</v>
      </c>
    </row>
    <row r="108" spans="1:20">
      <c r="B108" s="303" t="s">
        <v>55</v>
      </c>
      <c r="C108" s="219">
        <v>0.5</v>
      </c>
      <c r="D108" s="219">
        <v>0.5714285714285714</v>
      </c>
      <c r="E108" s="219">
        <v>0.64285714285714279</v>
      </c>
      <c r="F108" s="219">
        <v>0.71428571428571419</v>
      </c>
      <c r="G108" s="219">
        <v>0.78571428571428559</v>
      </c>
      <c r="H108" s="219">
        <v>0.85714285714285698</v>
      </c>
      <c r="I108" s="219">
        <v>0.92857142857142838</v>
      </c>
      <c r="J108" s="220">
        <v>1</v>
      </c>
    </row>
    <row r="109" spans="1:20">
      <c r="B109" s="303" t="s">
        <v>56</v>
      </c>
      <c r="C109" s="219">
        <v>0.5</v>
      </c>
      <c r="D109" s="219">
        <v>0.5714285714285714</v>
      </c>
      <c r="E109" s="219">
        <v>0.64285714285714279</v>
      </c>
      <c r="F109" s="219">
        <v>0.71428571428571419</v>
      </c>
      <c r="G109" s="219">
        <v>0.78571428571428559</v>
      </c>
      <c r="H109" s="219">
        <v>0.85714285714285698</v>
      </c>
      <c r="I109" s="219">
        <v>0.92857142857142838</v>
      </c>
      <c r="J109" s="220">
        <v>1</v>
      </c>
    </row>
    <row r="110" spans="1:20">
      <c r="B110" s="303" t="s">
        <v>50</v>
      </c>
      <c r="C110" s="219">
        <v>0.5</v>
      </c>
      <c r="D110" s="219">
        <v>0.5714285714285714</v>
      </c>
      <c r="E110" s="219">
        <v>0.64285714285714279</v>
      </c>
      <c r="F110" s="219">
        <v>0.71428571428571419</v>
      </c>
      <c r="G110" s="219">
        <v>0.78571428571428559</v>
      </c>
      <c r="H110" s="219">
        <v>0.85714285714285698</v>
      </c>
      <c r="I110" s="219">
        <v>0.92857142857142838</v>
      </c>
      <c r="J110" s="220">
        <v>1</v>
      </c>
    </row>
    <row r="111" spans="1:20">
      <c r="B111" s="303" t="s">
        <v>52</v>
      </c>
      <c r="C111" s="219">
        <v>0.5</v>
      </c>
      <c r="D111" s="219">
        <v>0.5714285714285714</v>
      </c>
      <c r="E111" s="219">
        <v>0.64285714285714279</v>
      </c>
      <c r="F111" s="219">
        <v>0.71428571428571419</v>
      </c>
      <c r="G111" s="219">
        <v>0.78571428571428559</v>
      </c>
      <c r="H111" s="219">
        <v>0.85714285714285698</v>
      </c>
      <c r="I111" s="219">
        <v>0.92857142857142838</v>
      </c>
      <c r="J111" s="220">
        <v>1</v>
      </c>
    </row>
    <row r="112" spans="1:20">
      <c r="B112" s="303" t="s">
        <v>51</v>
      </c>
      <c r="C112" s="219">
        <v>0.5</v>
      </c>
      <c r="D112" s="219">
        <v>0.5714285714285714</v>
      </c>
      <c r="E112" s="219">
        <v>0.64285714285714279</v>
      </c>
      <c r="F112" s="219">
        <v>0.71428571428571419</v>
      </c>
      <c r="G112" s="219">
        <v>0.78571428571428559</v>
      </c>
      <c r="H112" s="219">
        <v>0.85714285714285698</v>
      </c>
      <c r="I112" s="219">
        <v>0.92857142857142838</v>
      </c>
      <c r="J112" s="220">
        <v>1</v>
      </c>
    </row>
    <row r="113" spans="2:15">
      <c r="B113" s="417" t="s">
        <v>49</v>
      </c>
      <c r="C113" s="418">
        <v>0.5</v>
      </c>
      <c r="D113" s="418">
        <v>0.5714285714285714</v>
      </c>
      <c r="E113" s="418">
        <v>0.64285714285714279</v>
      </c>
      <c r="F113" s="418">
        <v>0.71428571428571419</v>
      </c>
      <c r="G113" s="418">
        <v>0.78571428571428559</v>
      </c>
      <c r="H113" s="418">
        <v>0.85714285714285698</v>
      </c>
      <c r="I113" s="418">
        <v>0.92857142857142838</v>
      </c>
      <c r="J113" s="419">
        <v>1</v>
      </c>
    </row>
    <row r="114" spans="2:15">
      <c r="B114" s="303" t="s">
        <v>113</v>
      </c>
      <c r="C114" s="219">
        <v>0.9</v>
      </c>
      <c r="D114" s="219">
        <v>0.9</v>
      </c>
      <c r="E114" s="219">
        <v>0.9</v>
      </c>
      <c r="F114" s="219">
        <v>0.9</v>
      </c>
      <c r="G114" s="219">
        <v>0.9</v>
      </c>
      <c r="H114" s="219">
        <v>0.9</v>
      </c>
      <c r="I114" s="219">
        <v>0.9</v>
      </c>
      <c r="J114" s="220">
        <v>0.9</v>
      </c>
    </row>
    <row r="115" spans="2:15">
      <c r="B115" s="304" t="s">
        <v>114</v>
      </c>
      <c r="C115" s="560"/>
      <c r="D115" s="560"/>
      <c r="E115" s="560"/>
      <c r="F115" s="560"/>
      <c r="G115" s="560"/>
      <c r="H115" s="560"/>
      <c r="I115" s="560"/>
      <c r="J115" s="560"/>
    </row>
    <row r="116" spans="2:15">
      <c r="B116" s="399"/>
      <c r="C116" s="458"/>
      <c r="D116" s="458"/>
      <c r="E116" s="458"/>
      <c r="F116" s="458"/>
      <c r="G116" s="458"/>
      <c r="H116" s="458"/>
      <c r="I116" s="458"/>
      <c r="J116" s="458"/>
      <c r="M116" s="31"/>
      <c r="N116" s="31"/>
      <c r="O116" s="31"/>
    </row>
    <row r="117" spans="2:15">
      <c r="B117" s="399"/>
      <c r="C117" s="458"/>
      <c r="D117" s="458"/>
      <c r="E117" s="458"/>
      <c r="F117" s="458"/>
      <c r="G117" s="458"/>
      <c r="H117" s="458"/>
      <c r="I117" s="458"/>
      <c r="J117" s="458"/>
      <c r="K117" s="365"/>
      <c r="L117" s="365"/>
      <c r="M117" s="31"/>
      <c r="N117" s="31"/>
      <c r="O117" s="31"/>
    </row>
    <row r="118" spans="2:15">
      <c r="B118" s="468" t="s">
        <v>214</v>
      </c>
      <c r="C118" s="117">
        <v>2014</v>
      </c>
      <c r="D118" s="118">
        <f t="shared" ref="D118:L118" si="21">C118+1</f>
        <v>2015</v>
      </c>
      <c r="E118" s="118">
        <f t="shared" si="21"/>
        <v>2016</v>
      </c>
      <c r="F118" s="118">
        <f t="shared" si="21"/>
        <v>2017</v>
      </c>
      <c r="G118" s="118">
        <f t="shared" si="21"/>
        <v>2018</v>
      </c>
      <c r="H118" s="118">
        <f t="shared" si="21"/>
        <v>2019</v>
      </c>
      <c r="I118" s="118">
        <f t="shared" si="21"/>
        <v>2020</v>
      </c>
      <c r="J118" s="118">
        <f t="shared" si="21"/>
        <v>2021</v>
      </c>
      <c r="K118" s="118">
        <f t="shared" si="21"/>
        <v>2022</v>
      </c>
      <c r="L118" s="195">
        <f t="shared" si="21"/>
        <v>2023</v>
      </c>
      <c r="M118" s="31"/>
      <c r="N118" s="31"/>
      <c r="O118" s="31"/>
    </row>
    <row r="119" spans="2:15">
      <c r="B119" s="459" t="s">
        <v>43</v>
      </c>
      <c r="C119" s="557"/>
      <c r="D119" s="558"/>
      <c r="E119" s="461">
        <v>1.5575632164737283</v>
      </c>
      <c r="F119" s="461">
        <v>1.4734141240658321</v>
      </c>
      <c r="G119" s="461">
        <v>1.4689588897025405</v>
      </c>
      <c r="H119" s="461">
        <v>1.4707200530126929</v>
      </c>
      <c r="I119" s="461">
        <v>1.4674716260161711</v>
      </c>
      <c r="J119" s="461">
        <v>1.4486206224386007</v>
      </c>
      <c r="K119" s="461">
        <v>1.4956798325868756</v>
      </c>
      <c r="L119" s="462">
        <v>1.4397148718051931</v>
      </c>
      <c r="M119" s="31"/>
      <c r="N119" s="31"/>
      <c r="O119" s="31"/>
    </row>
    <row r="120" spans="2:15">
      <c r="B120" s="459" t="s">
        <v>44</v>
      </c>
      <c r="C120" s="559"/>
      <c r="D120" s="560"/>
      <c r="E120" s="463">
        <v>-0.65871781800535345</v>
      </c>
      <c r="F120" s="463">
        <v>-0.63543772576063684</v>
      </c>
      <c r="G120" s="463">
        <v>-0.58907862874233818</v>
      </c>
      <c r="H120" s="463">
        <v>-0.58178188190178026</v>
      </c>
      <c r="I120" s="463">
        <v>-0.56823918867341305</v>
      </c>
      <c r="J120" s="463">
        <v>-0.51933170333654122</v>
      </c>
      <c r="K120" s="463">
        <v>-0.47962665852661612</v>
      </c>
      <c r="L120" s="464">
        <v>-0.4656874701170608</v>
      </c>
      <c r="M120" s="31"/>
      <c r="N120" s="31"/>
      <c r="O120" s="31"/>
    </row>
    <row r="121" spans="2:15">
      <c r="B121" s="459" t="s">
        <v>73</v>
      </c>
      <c r="C121" s="559"/>
      <c r="D121" s="560"/>
      <c r="E121" s="463">
        <v>-0.86626036283610952</v>
      </c>
      <c r="F121" s="463">
        <v>-0.81019773780890636</v>
      </c>
      <c r="G121" s="463">
        <v>-0.78919084241395188</v>
      </c>
      <c r="H121" s="463">
        <v>-0.79061873066036981</v>
      </c>
      <c r="I121" s="463">
        <v>-0.74432653414361061</v>
      </c>
      <c r="J121" s="463">
        <v>-0.70697274816976396</v>
      </c>
      <c r="K121" s="463">
        <v>-0.65350946162011747</v>
      </c>
      <c r="L121" s="464">
        <v>-0.66429758885743451</v>
      </c>
      <c r="M121" s="31"/>
      <c r="N121" s="31"/>
      <c r="O121" s="31"/>
    </row>
    <row r="122" spans="2:15">
      <c r="B122" s="459" t="s">
        <v>59</v>
      </c>
      <c r="C122" s="559"/>
      <c r="D122" s="560"/>
      <c r="E122" s="463">
        <v>-3.2612134183503572</v>
      </c>
      <c r="F122" s="463">
        <v>-3.3462554451402173</v>
      </c>
      <c r="G122" s="463">
        <v>-3.1732919768141143</v>
      </c>
      <c r="H122" s="463">
        <v>-3.1232404745251841</v>
      </c>
      <c r="I122" s="463">
        <v>-3.0767551306224106</v>
      </c>
      <c r="J122" s="463">
        <v>-2.9342177182087767</v>
      </c>
      <c r="K122" s="463">
        <v>-2.8825938479182072</v>
      </c>
      <c r="L122" s="464">
        <v>-2.7237011003750218</v>
      </c>
      <c r="M122" s="31"/>
      <c r="N122" s="31"/>
      <c r="O122" s="31"/>
    </row>
    <row r="123" spans="2:15">
      <c r="B123" s="459" t="s">
        <v>57</v>
      </c>
      <c r="C123" s="559"/>
      <c r="D123" s="560"/>
      <c r="E123" s="463">
        <v>-2.4260972367898193</v>
      </c>
      <c r="F123" s="463">
        <v>-2.3690383662844163</v>
      </c>
      <c r="G123" s="463">
        <v>-2.2433276600060932</v>
      </c>
      <c r="H123" s="463">
        <v>-2.1466020621213828</v>
      </c>
      <c r="I123" s="463">
        <v>-2.174009678716605</v>
      </c>
      <c r="J123" s="463">
        <v>-2.0538927838998693</v>
      </c>
      <c r="K123" s="463">
        <v>-1.9044581231060691</v>
      </c>
      <c r="L123" s="464">
        <v>-1.8008611131009082</v>
      </c>
      <c r="M123" s="31"/>
      <c r="N123" s="31"/>
      <c r="O123" s="31"/>
    </row>
    <row r="124" spans="2:15">
      <c r="B124" s="459" t="s">
        <v>58</v>
      </c>
      <c r="C124" s="559"/>
      <c r="D124" s="560"/>
      <c r="E124" s="463">
        <v>-2.1861012409352765</v>
      </c>
      <c r="F124" s="463">
        <v>-2.3820447425774849</v>
      </c>
      <c r="G124" s="463">
        <v>-2.2418672366929897</v>
      </c>
      <c r="H124" s="463">
        <v>-2.1147812646907029</v>
      </c>
      <c r="I124" s="463">
        <v>-2.0146177086326591</v>
      </c>
      <c r="J124" s="463">
        <v>-1.9421313262105093</v>
      </c>
      <c r="K124" s="463">
        <v>-1.9248856430948595</v>
      </c>
      <c r="L124" s="464">
        <v>-1.8464451304225615</v>
      </c>
      <c r="M124" s="31"/>
      <c r="N124" s="31"/>
      <c r="O124" s="31"/>
    </row>
    <row r="125" spans="2:15">
      <c r="B125" s="459" t="s">
        <v>45</v>
      </c>
      <c r="C125" s="559"/>
      <c r="D125" s="560"/>
      <c r="E125" s="463">
        <v>-1.8633532543800757</v>
      </c>
      <c r="F125" s="463">
        <v>-1.8182980405067262</v>
      </c>
      <c r="G125" s="463">
        <v>-1.83946756302578</v>
      </c>
      <c r="H125" s="463">
        <v>-1.7415973428180247</v>
      </c>
      <c r="I125" s="463">
        <v>-1.6798002111470465</v>
      </c>
      <c r="J125" s="463">
        <v>-1.5974456358596774</v>
      </c>
      <c r="K125" s="463">
        <v>-1.5016396120831343</v>
      </c>
      <c r="L125" s="464">
        <v>-1.4453638876860204</v>
      </c>
      <c r="M125" s="31"/>
      <c r="N125" s="31"/>
      <c r="O125" s="31"/>
    </row>
    <row r="126" spans="2:15">
      <c r="B126" s="459" t="s">
        <v>46</v>
      </c>
      <c r="C126" s="559"/>
      <c r="D126" s="560"/>
      <c r="E126" s="463">
        <v>-2.1317145269512103</v>
      </c>
      <c r="F126" s="463">
        <v>-2.193973633026753</v>
      </c>
      <c r="G126" s="463">
        <v>-1.9869010217130036</v>
      </c>
      <c r="H126" s="463">
        <v>-1.8037552784318813</v>
      </c>
      <c r="I126" s="463">
        <v>-1.7767942495618843</v>
      </c>
      <c r="J126" s="463">
        <v>-1.7901472583807538</v>
      </c>
      <c r="K126" s="463">
        <v>-1.6444113686346382</v>
      </c>
      <c r="L126" s="464">
        <v>-1.467384504290556</v>
      </c>
      <c r="M126" s="31"/>
      <c r="N126" s="31"/>
      <c r="O126" s="31"/>
    </row>
    <row r="127" spans="2:15">
      <c r="B127" s="459" t="s">
        <v>47</v>
      </c>
      <c r="C127" s="559"/>
      <c r="D127" s="560"/>
      <c r="E127" s="463">
        <v>0.16599721814464838</v>
      </c>
      <c r="F127" s="463">
        <v>0.16631900606776751</v>
      </c>
      <c r="G127" s="463">
        <v>0.16554337895881124</v>
      </c>
      <c r="H127" s="463">
        <v>0.16569741136821181</v>
      </c>
      <c r="I127" s="463">
        <v>0.16622630759870036</v>
      </c>
      <c r="J127" s="463">
        <v>0.16380302414374548</v>
      </c>
      <c r="K127" s="463">
        <v>0.16593344617950709</v>
      </c>
      <c r="L127" s="464">
        <v>0.16036688822048883</v>
      </c>
      <c r="M127" s="31"/>
      <c r="N127" s="31"/>
      <c r="O127" s="31"/>
    </row>
    <row r="128" spans="2:15">
      <c r="B128" s="459" t="s">
        <v>48</v>
      </c>
      <c r="C128" s="559"/>
      <c r="D128" s="560"/>
      <c r="E128" s="463">
        <v>0.3648271976377423</v>
      </c>
      <c r="F128" s="463">
        <v>0.37109083837102003</v>
      </c>
      <c r="G128" s="463">
        <v>0.36071859106606846</v>
      </c>
      <c r="H128" s="463">
        <v>0.35927814835295946</v>
      </c>
      <c r="I128" s="463">
        <v>0.3227419487574148</v>
      </c>
      <c r="J128" s="463">
        <v>0.32139075529498529</v>
      </c>
      <c r="K128" s="463">
        <v>0.32876178406363676</v>
      </c>
      <c r="L128" s="464">
        <v>0.31920430794598709</v>
      </c>
      <c r="M128" s="31"/>
      <c r="N128" s="31"/>
      <c r="O128" s="31"/>
    </row>
    <row r="129" spans="2:15">
      <c r="B129" s="459" t="s">
        <v>657</v>
      </c>
      <c r="C129" s="559"/>
      <c r="D129" s="560"/>
      <c r="E129" s="463">
        <v>7.1281196754416492</v>
      </c>
      <c r="F129" s="463">
        <v>6.9674138399666772</v>
      </c>
      <c r="G129" s="463">
        <v>6.2034025893135132</v>
      </c>
      <c r="H129" s="463">
        <v>6.3085978915797085</v>
      </c>
      <c r="I129" s="463">
        <v>6.2376648400128394</v>
      </c>
      <c r="J129" s="463">
        <v>6.4865819943041139</v>
      </c>
      <c r="K129" s="463">
        <v>6.8152516624832584</v>
      </c>
      <c r="L129" s="464">
        <v>6.6271056201039169</v>
      </c>
      <c r="M129" s="31"/>
      <c r="N129" s="31"/>
      <c r="O129" s="31"/>
    </row>
    <row r="130" spans="2:15">
      <c r="B130" s="459" t="s">
        <v>658</v>
      </c>
      <c r="C130" s="559"/>
      <c r="D130" s="560"/>
      <c r="E130" s="463">
        <v>6.5079014730517413</v>
      </c>
      <c r="F130" s="463">
        <v>6.5166167406950333</v>
      </c>
      <c r="G130" s="463">
        <v>6.3292456496722922</v>
      </c>
      <c r="H130" s="463">
        <v>6.4407397408462082</v>
      </c>
      <c r="I130" s="463">
        <v>6.6367331985058957</v>
      </c>
      <c r="J130" s="463">
        <v>6.7568163761394304</v>
      </c>
      <c r="K130" s="463">
        <v>6.6961234445143969</v>
      </c>
      <c r="L130" s="464">
        <v>6.7647427548792596</v>
      </c>
      <c r="M130" s="31"/>
      <c r="N130" s="31"/>
      <c r="O130" s="31"/>
    </row>
    <row r="131" spans="2:15">
      <c r="B131" s="459" t="s">
        <v>659</v>
      </c>
      <c r="C131" s="559"/>
      <c r="D131" s="560"/>
      <c r="E131" s="463">
        <v>3.6763138465229663</v>
      </c>
      <c r="F131" s="463">
        <v>3.6748350873956013</v>
      </c>
      <c r="G131" s="463">
        <v>3.4998529635433906</v>
      </c>
      <c r="H131" s="463">
        <v>3.724685546648324</v>
      </c>
      <c r="I131" s="463">
        <v>3.4121739487309477</v>
      </c>
      <c r="J131" s="463">
        <v>3.4202241027689042</v>
      </c>
      <c r="K131" s="463">
        <v>3.3053549439575329</v>
      </c>
      <c r="L131" s="464">
        <v>3.3633285641010966</v>
      </c>
      <c r="M131" s="31"/>
      <c r="N131" s="31"/>
      <c r="O131" s="31"/>
    </row>
    <row r="132" spans="2:15">
      <c r="B132" s="459" t="s">
        <v>660</v>
      </c>
      <c r="C132" s="559"/>
      <c r="D132" s="560"/>
      <c r="E132" s="463">
        <v>5.3762701961708466</v>
      </c>
      <c r="F132" s="463">
        <v>5.3775969760840585</v>
      </c>
      <c r="G132" s="463">
        <v>5.2618102801807671</v>
      </c>
      <c r="H132" s="463">
        <v>5.360849180672294</v>
      </c>
      <c r="I132" s="463">
        <v>5.2665238228731912</v>
      </c>
      <c r="J132" s="463">
        <v>5.3271179030285305</v>
      </c>
      <c r="K132" s="463">
        <v>5.3223294006601192</v>
      </c>
      <c r="L132" s="464">
        <v>5.5699880746272257</v>
      </c>
      <c r="M132" s="31"/>
      <c r="N132" s="31"/>
      <c r="O132" s="31"/>
    </row>
    <row r="133" spans="2:15">
      <c r="B133" s="459" t="s">
        <v>53</v>
      </c>
      <c r="C133" s="465">
        <v>1.4371556068940596</v>
      </c>
      <c r="D133" s="463">
        <v>1.3718015630879741</v>
      </c>
      <c r="E133" s="463">
        <v>1.3507660107019517</v>
      </c>
      <c r="F133" s="463">
        <v>1.356812198977974</v>
      </c>
      <c r="G133" s="463">
        <v>1.3598136386487443</v>
      </c>
      <c r="H133" s="463">
        <v>1.3501475065962032</v>
      </c>
      <c r="I133" s="463">
        <v>1.3298433305384654</v>
      </c>
      <c r="J133" s="463">
        <v>1.3174540960763355</v>
      </c>
      <c r="K133" s="560"/>
      <c r="L133" s="561"/>
      <c r="M133" s="31"/>
      <c r="N133" s="31"/>
      <c r="O133" s="31"/>
    </row>
    <row r="134" spans="2:15">
      <c r="B134" s="459" t="s">
        <v>54</v>
      </c>
      <c r="C134" s="465">
        <v>1.2224510767557433</v>
      </c>
      <c r="D134" s="463">
        <v>1.2198157429394254</v>
      </c>
      <c r="E134" s="463">
        <v>1.2942164825881293</v>
      </c>
      <c r="F134" s="463">
        <v>1.2596396269108345</v>
      </c>
      <c r="G134" s="463">
        <v>1.2840112184368913</v>
      </c>
      <c r="H134" s="463">
        <v>1.2678511857965422</v>
      </c>
      <c r="I134" s="463">
        <v>1.2592019055105816</v>
      </c>
      <c r="J134" s="463">
        <v>1.257376658609527</v>
      </c>
      <c r="K134" s="560"/>
      <c r="L134" s="561"/>
      <c r="M134" s="31"/>
      <c r="N134" s="31"/>
      <c r="O134" s="31"/>
    </row>
    <row r="135" spans="2:15">
      <c r="B135" s="459" t="s">
        <v>55</v>
      </c>
      <c r="C135" s="465">
        <v>0.82325002294811445</v>
      </c>
      <c r="D135" s="463">
        <v>0.82663571281128501</v>
      </c>
      <c r="E135" s="463">
        <v>0.79640504595610451</v>
      </c>
      <c r="F135" s="463">
        <v>0.78757021450124798</v>
      </c>
      <c r="G135" s="463">
        <v>0.81133252861207505</v>
      </c>
      <c r="H135" s="463">
        <v>0.81064228783969072</v>
      </c>
      <c r="I135" s="463">
        <v>0.80900368952296353</v>
      </c>
      <c r="J135" s="463">
        <v>0.78043276967968189</v>
      </c>
      <c r="K135" s="560"/>
      <c r="L135" s="561"/>
      <c r="M135" s="31"/>
      <c r="N135" s="31"/>
      <c r="O135" s="31"/>
    </row>
    <row r="136" spans="2:15">
      <c r="B136" s="459" t="s">
        <v>56</v>
      </c>
      <c r="C136" s="465">
        <v>1.0893959849781105</v>
      </c>
      <c r="D136" s="463">
        <v>1.027913194554035</v>
      </c>
      <c r="E136" s="463">
        <v>1.0066987144123654</v>
      </c>
      <c r="F136" s="463">
        <v>1.0192350900597893</v>
      </c>
      <c r="G136" s="463">
        <v>1.0341480780318344</v>
      </c>
      <c r="H136" s="463">
        <v>1.0204240792759967</v>
      </c>
      <c r="I136" s="463">
        <v>1.0137739549704501</v>
      </c>
      <c r="J136" s="463">
        <v>0.9898055017218621</v>
      </c>
      <c r="K136" s="560"/>
      <c r="L136" s="561"/>
      <c r="M136" s="31"/>
      <c r="N136" s="31"/>
      <c r="O136" s="31"/>
    </row>
    <row r="137" spans="2:15">
      <c r="B137" s="459" t="s">
        <v>50</v>
      </c>
      <c r="C137" s="465">
        <v>3.0675250143183739</v>
      </c>
      <c r="D137" s="463">
        <v>3.1629219417602221</v>
      </c>
      <c r="E137" s="463">
        <v>3.2156604222069194</v>
      </c>
      <c r="F137" s="463">
        <v>3.1773534622131239</v>
      </c>
      <c r="G137" s="463">
        <v>2.9925267771957293</v>
      </c>
      <c r="H137" s="463">
        <v>2.9953978987575276</v>
      </c>
      <c r="I137" s="463">
        <v>3.008780645638939</v>
      </c>
      <c r="J137" s="463">
        <v>3.0035530345258876</v>
      </c>
      <c r="K137" s="560"/>
      <c r="L137" s="561"/>
      <c r="M137" s="31"/>
      <c r="N137" s="31"/>
      <c r="O137" s="31"/>
    </row>
    <row r="138" spans="2:15">
      <c r="B138" s="459" t="s">
        <v>52</v>
      </c>
      <c r="C138" s="465">
        <v>2.1240897362733717</v>
      </c>
      <c r="D138" s="463">
        <v>2.0350723340362249</v>
      </c>
      <c r="E138" s="463">
        <v>1.9686998072928457</v>
      </c>
      <c r="F138" s="463">
        <v>2.0858456765056492</v>
      </c>
      <c r="G138" s="463">
        <v>2.1150393198028121</v>
      </c>
      <c r="H138" s="463">
        <v>2.0960407823683633</v>
      </c>
      <c r="I138" s="463">
        <v>1.9709648894580449</v>
      </c>
      <c r="J138" s="463">
        <v>1.9558237270696361</v>
      </c>
      <c r="K138" s="560"/>
      <c r="L138" s="561"/>
      <c r="M138" s="31"/>
      <c r="N138" s="31"/>
      <c r="O138" s="31"/>
    </row>
    <row r="139" spans="2:15">
      <c r="B139" s="459" t="s">
        <v>51</v>
      </c>
      <c r="C139" s="465">
        <v>4.3724011747736116</v>
      </c>
      <c r="D139" s="463">
        <v>4.1057641662653896</v>
      </c>
      <c r="E139" s="463">
        <v>4.0545669929819539</v>
      </c>
      <c r="F139" s="463">
        <v>4.1740927460581894</v>
      </c>
      <c r="G139" s="463">
        <v>4.2397101975440528</v>
      </c>
      <c r="H139" s="463">
        <v>4.2461477210751069</v>
      </c>
      <c r="I139" s="463">
        <v>4.1078523076276792</v>
      </c>
      <c r="J139" s="463">
        <v>4.0575944965475035</v>
      </c>
      <c r="K139" s="560"/>
      <c r="L139" s="561"/>
      <c r="M139" s="31"/>
      <c r="N139" s="31"/>
      <c r="O139" s="31"/>
    </row>
    <row r="140" spans="2:15">
      <c r="B140" s="459" t="s">
        <v>49</v>
      </c>
      <c r="C140" s="465">
        <v>1.3982776671905828</v>
      </c>
      <c r="D140" s="463">
        <v>1.3864649866746799</v>
      </c>
      <c r="E140" s="463">
        <v>1.3673040530931269</v>
      </c>
      <c r="F140" s="463">
        <v>1.3493453776780693</v>
      </c>
      <c r="G140" s="463">
        <v>1.3347777856873293</v>
      </c>
      <c r="H140" s="463">
        <v>1.3354887108693174</v>
      </c>
      <c r="I140" s="463">
        <v>1.3597799661606067</v>
      </c>
      <c r="J140" s="463">
        <v>1.3515240072037848</v>
      </c>
      <c r="K140" s="560"/>
      <c r="L140" s="561"/>
      <c r="M140" s="31"/>
      <c r="N140" s="31"/>
      <c r="O140" s="31"/>
    </row>
    <row r="141" spans="2:15">
      <c r="B141" s="459" t="s">
        <v>113</v>
      </c>
      <c r="C141" s="465">
        <v>-1.1295718210052885</v>
      </c>
      <c r="D141" s="463">
        <v>-1.1444007312827333</v>
      </c>
      <c r="E141" s="463">
        <v>-1.1763817360750841</v>
      </c>
      <c r="F141" s="463">
        <v>-1.5927557463957547</v>
      </c>
      <c r="G141" s="463">
        <v>-1.8565667598967899</v>
      </c>
      <c r="H141" s="463">
        <v>-1.2720416735170972</v>
      </c>
      <c r="I141" s="463">
        <v>-1.1039739947823479</v>
      </c>
      <c r="J141" s="463">
        <v>-1.018311326547777</v>
      </c>
      <c r="K141" s="560"/>
      <c r="L141" s="561"/>
      <c r="M141" s="31"/>
      <c r="N141" s="31"/>
      <c r="O141" s="31"/>
    </row>
    <row r="142" spans="2:15">
      <c r="B142" s="459" t="s">
        <v>114</v>
      </c>
      <c r="C142" s="465">
        <v>-0.43181154987245485</v>
      </c>
      <c r="D142" s="463">
        <v>-0.39947195996305995</v>
      </c>
      <c r="E142" s="463">
        <v>-0.34734317043598018</v>
      </c>
      <c r="F142" s="463">
        <v>-0.3193206524905472</v>
      </c>
      <c r="G142" s="463">
        <v>-0.31265626882301373</v>
      </c>
      <c r="H142" s="463">
        <v>-0.30799379948941219</v>
      </c>
      <c r="I142" s="463">
        <v>-0.32570922921081308</v>
      </c>
      <c r="J142" s="463">
        <v>-0.31552026220892354</v>
      </c>
      <c r="K142" s="560"/>
      <c r="L142" s="561"/>
      <c r="M142" s="31"/>
      <c r="N142" s="31"/>
      <c r="O142" s="31"/>
    </row>
    <row r="143" spans="2:15">
      <c r="B143" s="459" t="s">
        <v>111</v>
      </c>
      <c r="C143" s="465">
        <v>15.168246288518162</v>
      </c>
      <c r="D143" s="463">
        <v>16.275110005972994</v>
      </c>
      <c r="E143" s="463">
        <v>15.614702904478012</v>
      </c>
      <c r="F143" s="463">
        <v>14.911674359737152</v>
      </c>
      <c r="G143" s="463">
        <v>13.033415757853545</v>
      </c>
      <c r="H143" s="463">
        <v>12.556067765830047</v>
      </c>
      <c r="I143" s="463">
        <v>11.285100906339711</v>
      </c>
      <c r="J143" s="463">
        <v>9.8268179419485548</v>
      </c>
      <c r="K143" s="560"/>
      <c r="L143" s="561"/>
      <c r="M143" s="31"/>
      <c r="N143" s="31"/>
      <c r="O143" s="31"/>
    </row>
    <row r="144" spans="2:15">
      <c r="B144" s="459" t="s">
        <v>112</v>
      </c>
      <c r="C144" s="465">
        <v>0.93219394583370063</v>
      </c>
      <c r="D144" s="463">
        <v>0.89969793099769957</v>
      </c>
      <c r="E144" s="463">
        <v>0.87783267686821997</v>
      </c>
      <c r="F144" s="463">
        <v>0.87232109317784756</v>
      </c>
      <c r="G144" s="463">
        <v>0.89875958568159287</v>
      </c>
      <c r="H144" s="463">
        <v>0.82801710222961222</v>
      </c>
      <c r="I144" s="463">
        <v>0.88417658562860901</v>
      </c>
      <c r="J144" s="463">
        <v>0.89982415652833247</v>
      </c>
      <c r="K144" s="560"/>
      <c r="L144" s="561"/>
      <c r="M144" s="31"/>
      <c r="N144" s="31"/>
      <c r="O144" s="31"/>
    </row>
    <row r="145" spans="1:15">
      <c r="B145" s="459" t="s">
        <v>60</v>
      </c>
      <c r="C145" s="465">
        <v>10.952751093909903</v>
      </c>
      <c r="D145" s="463">
        <v>1.3412683602121493</v>
      </c>
      <c r="E145" s="463">
        <v>22.190179414419269</v>
      </c>
      <c r="F145" s="463">
        <v>7.0488483253947072</v>
      </c>
      <c r="G145" s="463">
        <v>6.9020695692988534</v>
      </c>
      <c r="H145" s="463">
        <v>6.9425238085580094</v>
      </c>
      <c r="I145" s="463">
        <v>7.0785069781779111</v>
      </c>
      <c r="J145" s="463">
        <v>5.2688524500291916</v>
      </c>
      <c r="K145" s="560"/>
      <c r="L145" s="561"/>
      <c r="M145" s="31"/>
      <c r="N145" s="31"/>
      <c r="O145" s="31"/>
    </row>
    <row r="146" spans="1:15">
      <c r="B146" s="460" t="s">
        <v>61</v>
      </c>
      <c r="C146" s="466">
        <v>4.7850556060781999</v>
      </c>
      <c r="D146" s="467">
        <v>4.9736597194598335</v>
      </c>
      <c r="E146" s="467">
        <v>5.6988662496343032</v>
      </c>
      <c r="F146" s="467">
        <v>3.7921077312788807</v>
      </c>
      <c r="G146" s="467">
        <v>2.8512563802087829</v>
      </c>
      <c r="H146" s="467">
        <v>2.8799765245720623</v>
      </c>
      <c r="I146" s="467">
        <v>2.9074703511454074</v>
      </c>
      <c r="J146" s="467">
        <v>2.8191074376225309</v>
      </c>
      <c r="K146" s="562"/>
      <c r="L146" s="563"/>
      <c r="M146" s="31"/>
      <c r="N146" s="31"/>
      <c r="O146" s="31"/>
    </row>
    <row r="147" spans="1:15">
      <c r="B147" s="31"/>
      <c r="C147" s="31"/>
      <c r="D147" s="31"/>
      <c r="E147" s="31"/>
      <c r="F147" s="31"/>
      <c r="G147" s="31"/>
      <c r="H147" s="31"/>
      <c r="I147" s="31"/>
      <c r="J147" s="31"/>
      <c r="K147" s="31"/>
      <c r="L147" s="31"/>
      <c r="M147" s="31"/>
      <c r="N147" s="31"/>
      <c r="O147" s="31"/>
    </row>
    <row r="148" spans="1:15">
      <c r="B148" s="399"/>
      <c r="C148" s="365"/>
      <c r="D148" s="365"/>
      <c r="E148" s="365"/>
      <c r="F148" s="365"/>
      <c r="G148" s="365"/>
      <c r="H148" s="365"/>
      <c r="I148" s="365"/>
      <c r="J148" s="365"/>
      <c r="K148" s="31"/>
      <c r="L148" s="31"/>
      <c r="M148" s="31"/>
    </row>
    <row r="149" spans="1:15">
      <c r="B149" s="422" t="str">
        <f>LEFT('RFPR cover'!C6,2)</f>
        <v>ED</v>
      </c>
      <c r="C149" s="420"/>
      <c r="D149" s="420"/>
      <c r="E149" s="420"/>
      <c r="F149" s="420"/>
      <c r="G149" s="420"/>
      <c r="H149" s="420"/>
      <c r="I149" s="420"/>
      <c r="J149" s="420"/>
      <c r="K149" s="420"/>
      <c r="L149" s="421"/>
    </row>
    <row r="150" spans="1:15" ht="14.25" customHeight="1">
      <c r="A150" s="205"/>
      <c r="B150" s="456" t="s">
        <v>397</v>
      </c>
      <c r="C150" s="457"/>
      <c r="D150" s="457"/>
      <c r="E150" s="457"/>
      <c r="F150" s="455"/>
      <c r="G150" s="455"/>
      <c r="H150" s="455"/>
      <c r="I150" s="455"/>
      <c r="J150" s="455"/>
      <c r="K150" s="455"/>
      <c r="L150" s="455"/>
      <c r="M150" s="455"/>
      <c r="N150" s="455"/>
    </row>
    <row r="151" spans="1:15" s="31" customFormat="1" ht="14.25" customHeight="1">
      <c r="A151" s="765"/>
      <c r="B151" s="766"/>
      <c r="C151" s="767"/>
      <c r="D151" s="767"/>
      <c r="E151" s="767"/>
      <c r="F151" s="768"/>
      <c r="G151" s="768"/>
      <c r="H151" s="768"/>
      <c r="I151" s="768"/>
      <c r="J151" s="768"/>
      <c r="K151" s="768"/>
      <c r="L151" s="768"/>
      <c r="M151" s="768"/>
      <c r="N151" s="768"/>
    </row>
    <row r="152" spans="1:15">
      <c r="A152" s="203"/>
      <c r="B152" s="769" t="s">
        <v>403</v>
      </c>
      <c r="C152" s="206"/>
      <c r="D152" s="206"/>
      <c r="E152" s="770" t="b">
        <f>OR((LEFT('RFPR cover'!$C$6,2)=Data!F152),'RFPR cover'!$C$5=Data!F152)</f>
        <v>1</v>
      </c>
      <c r="F152" s="364" t="str">
        <f>B162</f>
        <v>ED</v>
      </c>
      <c r="G152" s="771"/>
    </row>
    <row r="153" spans="1:15">
      <c r="A153" s="203"/>
      <c r="B153" s="786" t="str">
        <f>CHOOSE(MATCH(TRUE,$E$152:$E$159,0),B163,B173,B183,E183,B193,E193,B203,E203)&amp;""</f>
        <v>Broad measure of customer service</v>
      </c>
      <c r="C153" s="206"/>
      <c r="D153" s="206"/>
      <c r="E153" s="772" t="b">
        <f>OR((LEFT('RFPR cover'!$C$6,2)=Data!F153),'RFPR cover'!$C$5=Data!F153)</f>
        <v>0</v>
      </c>
      <c r="F153" s="365" t="str">
        <f>B172</f>
        <v>GD</v>
      </c>
      <c r="G153" s="202"/>
    </row>
    <row r="154" spans="1:15" ht="25.5">
      <c r="A154" s="203"/>
      <c r="B154" s="787" t="str">
        <f t="shared" ref="B154:B160" si="22">CHOOSE(MATCH(TRUE,$E$152:$E$159,0),B164,B174,B184,E184,B194,E194,B204,E204)&amp;""</f>
        <v>Interruptions-related quality of service</v>
      </c>
      <c r="C154" s="206"/>
      <c r="D154" s="206"/>
      <c r="E154" s="772" t="b">
        <f>OR((LEFT('RFPR cover'!$C$6,2)=Data!F154),'RFPR cover'!$C$5=Data!F154)</f>
        <v>0</v>
      </c>
      <c r="F154" s="785" t="str">
        <f>B182</f>
        <v>NGGT (TO)</v>
      </c>
      <c r="G154" s="202"/>
    </row>
    <row r="155" spans="1:15">
      <c r="A155" s="203"/>
      <c r="B155" s="787" t="str">
        <f t="shared" si="22"/>
        <v>Incentive on connections engagement</v>
      </c>
      <c r="C155" s="206"/>
      <c r="D155" s="206"/>
      <c r="E155" s="772" t="b">
        <f>OR((LEFT('RFPR cover'!$C$6,2)=Data!F155),'RFPR cover'!$C$5=Data!F155)</f>
        <v>0</v>
      </c>
      <c r="F155" s="773" t="str">
        <f>E182</f>
        <v>NGGT (SO)</v>
      </c>
      <c r="G155" s="202"/>
    </row>
    <row r="156" spans="1:15">
      <c r="A156" s="203"/>
      <c r="B156" s="787" t="str">
        <f t="shared" si="22"/>
        <v>Time to Connect Incentive</v>
      </c>
      <c r="C156" s="206"/>
      <c r="D156" s="206"/>
      <c r="E156" s="772" t="b">
        <f>OR((LEFT('RFPR cover'!$C$6,2)=Data!F156),'RFPR cover'!$C$5=Data!F156)</f>
        <v>0</v>
      </c>
      <c r="F156" s="773" t="str">
        <f>B192</f>
        <v>NGET (TO)</v>
      </c>
      <c r="G156" s="202"/>
    </row>
    <row r="157" spans="1:15">
      <c r="A157" s="203"/>
      <c r="B157" s="788" t="str">
        <f t="shared" si="22"/>
        <v>Losses discretionary reward scheme</v>
      </c>
      <c r="C157" s="206"/>
      <c r="D157" s="206"/>
      <c r="E157" s="772" t="b">
        <f>OR((LEFT('RFPR cover'!$C$6,2)=Data!F157),'RFPR cover'!$C$5=Data!F157)</f>
        <v>0</v>
      </c>
      <c r="F157" s="773" t="str">
        <f>E192</f>
        <v>NGESO</v>
      </c>
      <c r="G157" s="202"/>
    </row>
    <row r="158" spans="1:15">
      <c r="A158" s="203"/>
      <c r="B158" s="788" t="str">
        <f t="shared" si="22"/>
        <v/>
      </c>
      <c r="C158" s="206"/>
      <c r="D158" s="206"/>
      <c r="E158" s="772" t="b">
        <f>OR((LEFT('RFPR cover'!$C$6,2)=Data!F158),'RFPR cover'!$C$5=Data!F158)</f>
        <v>0</v>
      </c>
      <c r="F158" s="773" t="str">
        <f>B202</f>
        <v>SPT</v>
      </c>
      <c r="G158" s="202"/>
    </row>
    <row r="159" spans="1:15">
      <c r="A159" s="203"/>
      <c r="B159" s="788" t="str">
        <f t="shared" si="22"/>
        <v/>
      </c>
      <c r="C159" s="206"/>
      <c r="D159" s="206"/>
      <c r="E159" s="774" t="b">
        <f>OR((LEFT('RFPR cover'!$C$6,2)=Data!F159),'RFPR cover'!$C$5=Data!F159)</f>
        <v>0</v>
      </c>
      <c r="F159" s="775" t="str">
        <f>E202</f>
        <v>SHET</v>
      </c>
      <c r="G159" s="297"/>
    </row>
    <row r="160" spans="1:15">
      <c r="A160" s="203"/>
      <c r="B160" s="206" t="str">
        <f t="shared" si="22"/>
        <v/>
      </c>
      <c r="C160" s="206"/>
      <c r="D160" s="206"/>
      <c r="E160" s="59"/>
      <c r="F160" s="773"/>
      <c r="G160" s="42"/>
    </row>
    <row r="161" spans="1:7">
      <c r="A161" s="203"/>
      <c r="B161" s="206"/>
      <c r="C161" s="206"/>
      <c r="D161" s="206"/>
      <c r="E161" s="59"/>
      <c r="F161" s="773"/>
      <c r="G161" s="42"/>
    </row>
    <row r="162" spans="1:7" ht="12" customHeight="1">
      <c r="A162" s="203"/>
      <c r="B162" s="988" t="s">
        <v>172</v>
      </c>
      <c r="C162" s="989"/>
      <c r="D162" s="206"/>
      <c r="E162" s="206"/>
    </row>
    <row r="163" spans="1:7">
      <c r="A163" s="203"/>
      <c r="B163" s="1009" t="s">
        <v>398</v>
      </c>
      <c r="C163" s="1010"/>
      <c r="D163" s="206"/>
      <c r="E163" s="206"/>
    </row>
    <row r="164" spans="1:7">
      <c r="A164" s="203"/>
      <c r="B164" s="1009" t="s">
        <v>399</v>
      </c>
      <c r="C164" s="1010"/>
      <c r="D164" s="206"/>
      <c r="E164" s="206"/>
    </row>
    <row r="165" spans="1:7">
      <c r="A165" s="203"/>
      <c r="B165" s="975" t="s">
        <v>400</v>
      </c>
      <c r="C165" s="976"/>
      <c r="D165" s="206"/>
      <c r="E165" s="206"/>
    </row>
    <row r="166" spans="1:7">
      <c r="A166" s="203"/>
      <c r="B166" s="975" t="s">
        <v>401</v>
      </c>
      <c r="C166" s="976"/>
      <c r="D166" s="206"/>
      <c r="E166" s="206"/>
    </row>
    <row r="167" spans="1:7">
      <c r="A167" s="203"/>
      <c r="B167" s="975" t="s">
        <v>402</v>
      </c>
      <c r="C167" s="976"/>
      <c r="D167" s="206"/>
      <c r="E167" s="206"/>
    </row>
    <row r="168" spans="1:7">
      <c r="A168" s="203"/>
      <c r="B168" s="975"/>
      <c r="C168" s="976"/>
      <c r="D168" s="206"/>
      <c r="E168" s="206"/>
    </row>
    <row r="169" spans="1:7">
      <c r="A169" s="203"/>
      <c r="B169" s="975"/>
      <c r="C169" s="976"/>
      <c r="D169" s="206"/>
      <c r="E169" s="206"/>
    </row>
    <row r="170" spans="1:7">
      <c r="A170" s="203"/>
      <c r="B170" s="206"/>
      <c r="C170" s="206"/>
      <c r="D170" s="206"/>
      <c r="E170" s="206"/>
    </row>
    <row r="171" spans="1:7">
      <c r="A171" s="203"/>
      <c r="B171" s="206"/>
      <c r="C171" s="206"/>
      <c r="D171" s="206"/>
      <c r="E171" s="206"/>
    </row>
    <row r="172" spans="1:7">
      <c r="A172" s="203"/>
      <c r="B172" s="988" t="s">
        <v>173</v>
      </c>
      <c r="C172" s="989"/>
      <c r="D172" s="206"/>
      <c r="E172" s="206"/>
    </row>
    <row r="173" spans="1:7" ht="12.75" customHeight="1">
      <c r="A173" s="203"/>
      <c r="B173" s="983" t="s">
        <v>223</v>
      </c>
      <c r="C173" s="984"/>
      <c r="D173" s="206"/>
      <c r="E173" s="206"/>
    </row>
    <row r="174" spans="1:7" ht="12.75" customHeight="1">
      <c r="A174" s="203"/>
      <c r="B174" s="980" t="s">
        <v>224</v>
      </c>
      <c r="C174" s="982"/>
      <c r="D174" s="206"/>
      <c r="E174" s="206"/>
    </row>
    <row r="175" spans="1:7" ht="12.75" customHeight="1">
      <c r="A175" s="203"/>
      <c r="B175" s="980" t="s">
        <v>225</v>
      </c>
      <c r="C175" s="982"/>
      <c r="D175" s="206"/>
      <c r="E175" s="206"/>
    </row>
    <row r="176" spans="1:7" ht="12.75" customHeight="1">
      <c r="A176" s="203"/>
      <c r="B176" s="980" t="s">
        <v>226</v>
      </c>
      <c r="C176" s="982"/>
      <c r="D176" s="206"/>
      <c r="E176" s="206"/>
    </row>
    <row r="177" spans="1:9" ht="12.75" customHeight="1">
      <c r="A177" s="203"/>
      <c r="B177" s="977" t="s">
        <v>304</v>
      </c>
      <c r="C177" s="979"/>
      <c r="D177" s="206"/>
      <c r="E177" s="206"/>
    </row>
    <row r="178" spans="1:9" ht="12.75" customHeight="1">
      <c r="A178" s="203"/>
      <c r="B178" s="977"/>
      <c r="C178" s="979"/>
      <c r="D178" s="206"/>
      <c r="E178" s="206"/>
    </row>
    <row r="179" spans="1:9" ht="12.75" customHeight="1">
      <c r="A179" s="203"/>
      <c r="B179" s="977"/>
      <c r="C179" s="979"/>
      <c r="D179" s="206"/>
      <c r="E179" s="206"/>
    </row>
    <row r="180" spans="1:9">
      <c r="A180" s="203"/>
      <c r="B180" s="206"/>
      <c r="C180" s="206"/>
      <c r="D180" s="206"/>
      <c r="E180" s="206"/>
    </row>
    <row r="181" spans="1:9">
      <c r="A181" s="203"/>
      <c r="B181" s="206"/>
      <c r="C181" s="206"/>
      <c r="D181" s="206"/>
      <c r="E181" s="206"/>
    </row>
    <row r="182" spans="1:9">
      <c r="A182" s="203"/>
      <c r="B182" s="985" t="str">
        <f>B95</f>
        <v>NGGT (TO)</v>
      </c>
      <c r="C182" s="986"/>
      <c r="D182" s="206"/>
      <c r="E182" s="985" t="str">
        <f>B96</f>
        <v>NGGT (SO)</v>
      </c>
      <c r="F182" s="1008"/>
      <c r="G182" s="1008"/>
      <c r="H182" s="1008"/>
      <c r="I182" s="989"/>
    </row>
    <row r="183" spans="1:9" ht="12.4" customHeight="1">
      <c r="A183" s="203"/>
      <c r="B183" s="983" t="s">
        <v>219</v>
      </c>
      <c r="C183" s="984"/>
      <c r="D183" s="206"/>
      <c r="E183" s="980" t="s">
        <v>550</v>
      </c>
      <c r="F183" s="981" t="s">
        <v>550</v>
      </c>
      <c r="G183" s="981" t="s">
        <v>550</v>
      </c>
      <c r="H183" s="981" t="s">
        <v>550</v>
      </c>
      <c r="I183" s="982" t="s">
        <v>550</v>
      </c>
    </row>
    <row r="184" spans="1:9" ht="12.4" customHeight="1">
      <c r="A184" s="203"/>
      <c r="B184" s="980" t="s">
        <v>227</v>
      </c>
      <c r="C184" s="982"/>
      <c r="D184" s="206"/>
      <c r="E184" s="980" t="s">
        <v>551</v>
      </c>
      <c r="F184" s="981" t="s">
        <v>551</v>
      </c>
      <c r="G184" s="981" t="s">
        <v>551</v>
      </c>
      <c r="H184" s="981" t="s">
        <v>551</v>
      </c>
      <c r="I184" s="982" t="s">
        <v>551</v>
      </c>
    </row>
    <row r="185" spans="1:9" ht="12.4" customHeight="1">
      <c r="A185" s="203"/>
      <c r="B185" s="980"/>
      <c r="C185" s="982"/>
      <c r="D185" s="206"/>
      <c r="E185" s="980" t="s">
        <v>552</v>
      </c>
      <c r="F185" s="981" t="s">
        <v>552</v>
      </c>
      <c r="G185" s="981" t="s">
        <v>552</v>
      </c>
      <c r="H185" s="981" t="s">
        <v>552</v>
      </c>
      <c r="I185" s="982" t="s">
        <v>552</v>
      </c>
    </row>
    <row r="186" spans="1:9" ht="12.4" customHeight="1">
      <c r="A186" s="203"/>
      <c r="B186" s="980"/>
      <c r="C186" s="982"/>
      <c r="D186" s="206"/>
      <c r="E186" s="980" t="s">
        <v>553</v>
      </c>
      <c r="F186" s="981" t="s">
        <v>553</v>
      </c>
      <c r="G186" s="981" t="s">
        <v>553</v>
      </c>
      <c r="H186" s="981" t="s">
        <v>553</v>
      </c>
      <c r="I186" s="982" t="s">
        <v>553</v>
      </c>
    </row>
    <row r="187" spans="1:9" ht="12.4" customHeight="1">
      <c r="A187" s="203"/>
      <c r="B187" s="977"/>
      <c r="C187" s="979"/>
      <c r="D187" s="206"/>
      <c r="E187" s="980" t="s">
        <v>554</v>
      </c>
      <c r="F187" s="981" t="s">
        <v>554</v>
      </c>
      <c r="G187" s="981" t="s">
        <v>554</v>
      </c>
      <c r="H187" s="981" t="s">
        <v>554</v>
      </c>
      <c r="I187" s="982" t="s">
        <v>554</v>
      </c>
    </row>
    <row r="188" spans="1:9" ht="12.4" customHeight="1">
      <c r="A188" s="203"/>
      <c r="B188" s="977"/>
      <c r="C188" s="979"/>
      <c r="D188" s="206"/>
      <c r="E188" s="980" t="s">
        <v>555</v>
      </c>
      <c r="F188" s="981" t="s">
        <v>555</v>
      </c>
      <c r="G188" s="981" t="s">
        <v>555</v>
      </c>
      <c r="H188" s="981" t="s">
        <v>555</v>
      </c>
      <c r="I188" s="982" t="s">
        <v>555</v>
      </c>
    </row>
    <row r="189" spans="1:9" ht="12.4" customHeight="1">
      <c r="A189" s="203"/>
      <c r="B189" s="977"/>
      <c r="C189" s="979"/>
      <c r="D189" s="206"/>
      <c r="E189" s="980" t="s">
        <v>556</v>
      </c>
      <c r="F189" s="981" t="s">
        <v>556</v>
      </c>
      <c r="G189" s="981" t="s">
        <v>556</v>
      </c>
      <c r="H189" s="981" t="s">
        <v>556</v>
      </c>
      <c r="I189" s="982" t="s">
        <v>556</v>
      </c>
    </row>
    <row r="190" spans="1:9">
      <c r="A190" s="203"/>
      <c r="B190" s="206"/>
      <c r="C190" s="206"/>
      <c r="D190" s="206"/>
      <c r="E190" s="206"/>
    </row>
    <row r="191" spans="1:9">
      <c r="A191" s="203"/>
      <c r="B191" s="206"/>
      <c r="C191" s="206"/>
      <c r="D191" s="206"/>
      <c r="E191" s="206"/>
    </row>
    <row r="192" spans="1:9">
      <c r="A192" s="203"/>
      <c r="B192" s="985" t="str">
        <f>B97</f>
        <v>NGET (TO)</v>
      </c>
      <c r="C192" s="986"/>
      <c r="D192" s="206"/>
      <c r="E192" s="985" t="str">
        <f>B98</f>
        <v>NGESO</v>
      </c>
      <c r="F192" s="1008"/>
      <c r="G192" s="1008"/>
      <c r="H192" s="1008"/>
      <c r="I192" s="989"/>
    </row>
    <row r="193" spans="1:9" ht="12.75" customHeight="1">
      <c r="A193" s="203"/>
      <c r="B193" s="983" t="s">
        <v>218</v>
      </c>
      <c r="C193" s="984"/>
      <c r="D193" s="206"/>
      <c r="E193" s="980" t="s">
        <v>557</v>
      </c>
      <c r="F193" s="981" t="s">
        <v>557</v>
      </c>
      <c r="G193" s="981" t="s">
        <v>557</v>
      </c>
      <c r="H193" s="981" t="s">
        <v>557</v>
      </c>
      <c r="I193" s="982" t="s">
        <v>557</v>
      </c>
    </row>
    <row r="194" spans="1:9" ht="12.75" customHeight="1">
      <c r="A194" s="203"/>
      <c r="B194" s="980" t="s">
        <v>219</v>
      </c>
      <c r="C194" s="982"/>
      <c r="D194" s="206"/>
      <c r="E194" s="980" t="s">
        <v>558</v>
      </c>
      <c r="F194" s="981" t="s">
        <v>558</v>
      </c>
      <c r="G194" s="981" t="s">
        <v>558</v>
      </c>
      <c r="H194" s="981" t="s">
        <v>558</v>
      </c>
      <c r="I194" s="982" t="s">
        <v>558</v>
      </c>
    </row>
    <row r="195" spans="1:9" ht="12.75" customHeight="1">
      <c r="A195" s="203"/>
      <c r="B195" s="980" t="s">
        <v>220</v>
      </c>
      <c r="C195" s="982"/>
      <c r="D195" s="206"/>
      <c r="E195" s="980" t="s">
        <v>559</v>
      </c>
      <c r="F195" s="981" t="s">
        <v>559</v>
      </c>
      <c r="G195" s="981" t="s">
        <v>559</v>
      </c>
      <c r="H195" s="981" t="s">
        <v>559</v>
      </c>
      <c r="I195" s="982" t="s">
        <v>559</v>
      </c>
    </row>
    <row r="196" spans="1:9" ht="12.75" customHeight="1">
      <c r="A196" s="203"/>
      <c r="B196" s="980" t="s">
        <v>221</v>
      </c>
      <c r="C196" s="982"/>
      <c r="D196" s="206"/>
      <c r="E196" s="980" t="s">
        <v>572</v>
      </c>
      <c r="F196" s="981"/>
      <c r="G196" s="981"/>
      <c r="H196" s="981"/>
      <c r="I196" s="982"/>
    </row>
    <row r="197" spans="1:9" ht="12.75" customHeight="1">
      <c r="A197" s="203"/>
      <c r="B197" s="977"/>
      <c r="C197" s="979"/>
      <c r="D197" s="206"/>
      <c r="E197" s="977"/>
      <c r="F197" s="978"/>
      <c r="G197" s="978"/>
      <c r="H197" s="978"/>
      <c r="I197" s="979"/>
    </row>
    <row r="198" spans="1:9" ht="12.75" customHeight="1">
      <c r="A198" s="203"/>
      <c r="B198" s="977"/>
      <c r="C198" s="979"/>
      <c r="D198" s="206"/>
      <c r="E198" s="977"/>
      <c r="F198" s="978"/>
      <c r="G198" s="978"/>
      <c r="H198" s="978"/>
      <c r="I198" s="979"/>
    </row>
    <row r="199" spans="1:9" ht="12.75" customHeight="1">
      <c r="A199" s="203"/>
      <c r="B199" s="977"/>
      <c r="C199" s="979"/>
      <c r="D199" s="206"/>
      <c r="E199" s="977"/>
      <c r="F199" s="978"/>
      <c r="G199" s="978"/>
      <c r="H199" s="978"/>
      <c r="I199" s="979"/>
    </row>
    <row r="200" spans="1:9" s="31" customFormat="1" ht="12.75" customHeight="1">
      <c r="A200" s="762"/>
      <c r="B200" s="762"/>
      <c r="C200" s="762"/>
      <c r="D200" s="763"/>
      <c r="E200" s="764"/>
      <c r="F200" s="764"/>
      <c r="G200" s="764"/>
      <c r="H200" s="764"/>
      <c r="I200" s="764"/>
    </row>
    <row r="201" spans="1:9" s="31" customFormat="1" ht="12.75" customHeight="1">
      <c r="A201" s="762"/>
      <c r="B201" s="762"/>
      <c r="C201" s="762"/>
      <c r="D201" s="763"/>
      <c r="E201" s="764"/>
      <c r="F201" s="764"/>
      <c r="G201" s="764"/>
      <c r="H201" s="764"/>
      <c r="I201" s="764"/>
    </row>
    <row r="202" spans="1:9">
      <c r="A202" s="203"/>
      <c r="B202" s="985" t="str">
        <f>B145</f>
        <v>SPT</v>
      </c>
      <c r="C202" s="986"/>
      <c r="D202" s="206"/>
      <c r="E202" s="985" t="str">
        <f>B100</f>
        <v>SHET</v>
      </c>
      <c r="F202" s="1008"/>
      <c r="G202" s="1008"/>
      <c r="H202" s="1008"/>
      <c r="I202" s="989"/>
    </row>
    <row r="203" spans="1:9" ht="12.75" customHeight="1">
      <c r="A203" s="203"/>
      <c r="B203" s="983" t="s">
        <v>218</v>
      </c>
      <c r="C203" s="984"/>
      <c r="D203" s="206"/>
      <c r="E203" s="983" t="s">
        <v>218</v>
      </c>
      <c r="F203" s="1011"/>
      <c r="G203" s="1011"/>
      <c r="H203" s="1011"/>
      <c r="I203" s="984"/>
    </row>
    <row r="204" spans="1:9" ht="12.75" customHeight="1">
      <c r="A204" s="203"/>
      <c r="B204" s="980" t="s">
        <v>219</v>
      </c>
      <c r="C204" s="982"/>
      <c r="D204" s="206"/>
      <c r="E204" s="980" t="s">
        <v>219</v>
      </c>
      <c r="F204" s="981"/>
      <c r="G204" s="981"/>
      <c r="H204" s="981"/>
      <c r="I204" s="982"/>
    </row>
    <row r="205" spans="1:9" ht="12.75" customHeight="1">
      <c r="A205" s="203"/>
      <c r="B205" s="980" t="s">
        <v>220</v>
      </c>
      <c r="C205" s="982"/>
      <c r="D205" s="206"/>
      <c r="E205" s="980" t="s">
        <v>220</v>
      </c>
      <c r="F205" s="981"/>
      <c r="G205" s="981"/>
      <c r="H205" s="981"/>
      <c r="I205" s="982"/>
    </row>
    <row r="206" spans="1:9" ht="12.75" customHeight="1">
      <c r="A206" s="203"/>
      <c r="B206" s="980" t="s">
        <v>221</v>
      </c>
      <c r="C206" s="982"/>
      <c r="D206" s="206"/>
      <c r="E206" s="980" t="s">
        <v>221</v>
      </c>
      <c r="F206" s="981"/>
      <c r="G206" s="981"/>
      <c r="H206" s="981"/>
      <c r="I206" s="982"/>
    </row>
    <row r="207" spans="1:9" ht="12.75" customHeight="1">
      <c r="A207" s="203"/>
      <c r="B207" s="977" t="s">
        <v>222</v>
      </c>
      <c r="C207" s="979"/>
      <c r="D207" s="206"/>
      <c r="E207" s="977" t="s">
        <v>222</v>
      </c>
      <c r="F207" s="978"/>
      <c r="G207" s="978"/>
      <c r="H207" s="978"/>
      <c r="I207" s="979"/>
    </row>
    <row r="208" spans="1:9" ht="12.75" customHeight="1">
      <c r="A208" s="203"/>
      <c r="B208" s="977"/>
      <c r="C208" s="979"/>
      <c r="D208" s="206"/>
      <c r="E208" s="977"/>
      <c r="F208" s="978"/>
      <c r="G208" s="978"/>
      <c r="H208" s="978"/>
      <c r="I208" s="979"/>
    </row>
    <row r="209" spans="1:14" ht="12.75" customHeight="1">
      <c r="A209" s="203"/>
      <c r="B209" s="977"/>
      <c r="C209" s="979"/>
      <c r="D209" s="206"/>
      <c r="E209" s="977"/>
      <c r="F209" s="978"/>
      <c r="G209" s="978"/>
      <c r="H209" s="978"/>
      <c r="I209" s="979"/>
    </row>
    <row r="210" spans="1:14">
      <c r="A210" s="203"/>
      <c r="D210" s="206"/>
      <c r="E210" s="206"/>
    </row>
    <row r="211" spans="1:14">
      <c r="A211" s="203"/>
      <c r="D211" s="206"/>
      <c r="E211" s="206"/>
    </row>
    <row r="212" spans="1:14" ht="12.75" customHeight="1">
      <c r="A212" s="203"/>
      <c r="B212" s="987" t="s">
        <v>240</v>
      </c>
      <c r="C212" s="987"/>
      <c r="D212" s="987"/>
      <c r="E212" s="285"/>
      <c r="F212" s="217"/>
      <c r="G212" s="217"/>
      <c r="H212" s="217"/>
      <c r="I212" s="217"/>
      <c r="J212" s="217"/>
      <c r="K212" s="217"/>
      <c r="L212" s="217"/>
      <c r="M212" s="217"/>
      <c r="N212" s="217"/>
    </row>
    <row r="213" spans="1:14">
      <c r="A213" s="203"/>
      <c r="B213" s="206"/>
      <c r="C213" s="206"/>
      <c r="D213" s="206"/>
      <c r="E213" s="206"/>
    </row>
    <row r="214" spans="1:14" ht="25.5">
      <c r="A214" s="203"/>
      <c r="B214" s="208" t="s">
        <v>129</v>
      </c>
      <c r="C214" s="207" t="s">
        <v>208</v>
      </c>
      <c r="D214" s="206"/>
      <c r="E214" s="206"/>
    </row>
    <row r="215" spans="1:14" ht="25.5">
      <c r="A215" s="203"/>
      <c r="B215" s="209" t="s">
        <v>130</v>
      </c>
      <c r="C215" s="290" t="s">
        <v>209</v>
      </c>
      <c r="D215" s="206"/>
      <c r="E215" s="206"/>
    </row>
    <row r="216" spans="1:14">
      <c r="B216" s="305"/>
      <c r="C216" s="42"/>
      <c r="D216" s="42"/>
      <c r="E216" s="42"/>
      <c r="F216" s="42"/>
      <c r="G216" s="42"/>
      <c r="H216" s="42"/>
      <c r="I216" s="42"/>
      <c r="J216" s="42"/>
    </row>
    <row r="217" spans="1:14">
      <c r="B217" s="204"/>
      <c r="I217" s="67"/>
    </row>
    <row r="218" spans="1:14">
      <c r="B218" s="778" t="s">
        <v>405</v>
      </c>
      <c r="I218" s="67"/>
    </row>
    <row r="219" spans="1:14">
      <c r="B219" s="780" t="s">
        <v>286</v>
      </c>
    </row>
    <row r="220" spans="1:14">
      <c r="B220" s="781" t="s">
        <v>285</v>
      </c>
    </row>
    <row r="221" spans="1:14">
      <c r="B221" s="784" t="s">
        <v>283</v>
      </c>
    </row>
    <row r="222" spans="1:14">
      <c r="B222" s="782"/>
    </row>
    <row r="223" spans="1:14">
      <c r="B223" s="213"/>
    </row>
    <row r="224" spans="1:14">
      <c r="B224" s="779" t="s">
        <v>281</v>
      </c>
    </row>
    <row r="225" spans="2:2">
      <c r="B225" s="783" t="s">
        <v>406</v>
      </c>
    </row>
    <row r="226" spans="2:2">
      <c r="B226" s="781" t="s">
        <v>407</v>
      </c>
    </row>
    <row r="227" spans="2:2">
      <c r="B227" s="781" t="s">
        <v>292</v>
      </c>
    </row>
    <row r="228" spans="2:2">
      <c r="B228" s="781" t="s">
        <v>408</v>
      </c>
    </row>
    <row r="229" spans="2:2">
      <c r="B229" s="781" t="s">
        <v>409</v>
      </c>
    </row>
    <row r="230" spans="2:2">
      <c r="B230" s="781" t="s">
        <v>284</v>
      </c>
    </row>
    <row r="231" spans="2:2">
      <c r="B231" s="781" t="s">
        <v>410</v>
      </c>
    </row>
    <row r="232" spans="2:2">
      <c r="B232" s="781" t="s">
        <v>635</v>
      </c>
    </row>
    <row r="233" spans="2:2">
      <c r="B233" s="782"/>
    </row>
    <row r="234" spans="2:2">
      <c r="B234" s="213"/>
    </row>
    <row r="235" spans="2:2">
      <c r="B235" s="779" t="s">
        <v>291</v>
      </c>
    </row>
    <row r="236" spans="2:2">
      <c r="B236" s="783" t="s">
        <v>411</v>
      </c>
    </row>
    <row r="237" spans="2:2">
      <c r="B237" s="781" t="s">
        <v>412</v>
      </c>
    </row>
    <row r="238" spans="2:2">
      <c r="B238" s="781" t="s">
        <v>413</v>
      </c>
    </row>
    <row r="239" spans="2:2">
      <c r="B239" s="781" t="s">
        <v>414</v>
      </c>
    </row>
    <row r="240" spans="2:2">
      <c r="B240" s="781" t="s">
        <v>415</v>
      </c>
    </row>
    <row r="241" spans="2:2">
      <c r="B241" s="782"/>
    </row>
    <row r="242" spans="2:2">
      <c r="B242" s="213"/>
    </row>
    <row r="243" spans="2:2">
      <c r="B243" s="779" t="s">
        <v>416</v>
      </c>
    </row>
    <row r="244" spans="2:2">
      <c r="B244" s="783" t="s">
        <v>417</v>
      </c>
    </row>
    <row r="245" spans="2:2">
      <c r="B245" s="781" t="s">
        <v>418</v>
      </c>
    </row>
    <row r="246" spans="2:2">
      <c r="B246" s="782"/>
    </row>
    <row r="247" spans="2:2">
      <c r="B247" s="213"/>
    </row>
    <row r="248" spans="2:2">
      <c r="B248" s="779" t="s">
        <v>419</v>
      </c>
    </row>
    <row r="249" spans="2:2">
      <c r="B249" s="783" t="s">
        <v>460</v>
      </c>
    </row>
    <row r="250" spans="2:2">
      <c r="B250" s="781" t="s">
        <v>459</v>
      </c>
    </row>
    <row r="251" spans="2:2">
      <c r="B251" s="782" t="s">
        <v>266</v>
      </c>
    </row>
    <row r="252" spans="2:2">
      <c r="B252" s="213"/>
    </row>
    <row r="253" spans="2:2">
      <c r="B253" s="779" t="s">
        <v>282</v>
      </c>
    </row>
    <row r="254" spans="2:2">
      <c r="B254" s="783" t="s">
        <v>420</v>
      </c>
    </row>
    <row r="255" spans="2:2">
      <c r="B255" s="781" t="s">
        <v>464</v>
      </c>
    </row>
    <row r="256" spans="2:2">
      <c r="B256" s="781"/>
    </row>
    <row r="257" spans="2:2">
      <c r="B257" s="782"/>
    </row>
    <row r="258" spans="2:2">
      <c r="B258" s="213"/>
    </row>
    <row r="259" spans="2:2">
      <c r="B259" s="779" t="s">
        <v>287</v>
      </c>
    </row>
    <row r="260" spans="2:2">
      <c r="B260" s="783" t="s">
        <v>288</v>
      </c>
    </row>
    <row r="261" spans="2:2">
      <c r="B261" s="781" t="s">
        <v>293</v>
      </c>
    </row>
    <row r="262" spans="2:2">
      <c r="B262" s="781"/>
    </row>
    <row r="263" spans="2:2">
      <c r="B263" s="782"/>
    </row>
    <row r="264" spans="2:2">
      <c r="B264" s="213"/>
    </row>
    <row r="265" spans="2:2">
      <c r="B265" s="779" t="s">
        <v>421</v>
      </c>
    </row>
    <row r="266" spans="2:2">
      <c r="B266" s="783" t="s">
        <v>286</v>
      </c>
    </row>
    <row r="267" spans="2:2">
      <c r="B267" s="781" t="s">
        <v>285</v>
      </c>
    </row>
    <row r="268" spans="2:2">
      <c r="B268" s="782"/>
    </row>
  </sheetData>
  <mergeCells count="7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111" priority="24">
      <formula>AND(#REF!="Actuals",#REF!="Forecast")</formula>
    </cfRule>
  </conditionalFormatting>
  <conditionalFormatting sqref="C47">
    <cfRule type="expression" dxfId="110" priority="22">
      <formula>AND(#REF!="Actuals",#REF!="Forecast")</formula>
    </cfRule>
  </conditionalFormatting>
  <conditionalFormatting sqref="C50:J50">
    <cfRule type="expression" dxfId="109" priority="21">
      <formula>AND(#REF!="Actuals",#REF!="Forecast")</formula>
    </cfRule>
  </conditionalFormatting>
  <conditionalFormatting sqref="B14:D30">
    <cfRule type="cellIs" dxfId="108" priority="18" operator="equal">
      <formula>"Forecast"</formula>
    </cfRule>
  </conditionalFormatting>
  <conditionalFormatting sqref="B23:C30">
    <cfRule type="expression" dxfId="107" priority="115">
      <formula>$D13="Forecast"</formula>
    </cfRule>
  </conditionalFormatting>
  <conditionalFormatting sqref="K71">
    <cfRule type="expression" dxfId="106" priority="9">
      <formula>AND(#REF!="Actuals",#REF!="Forecast")</formula>
    </cfRule>
  </conditionalFormatting>
  <conditionalFormatting sqref="K72:T72">
    <cfRule type="expression" dxfId="105" priority="8">
      <formula>AND(#REF!="Actuals",#REF!="Forecast")</formula>
    </cfRule>
  </conditionalFormatting>
  <conditionalFormatting sqref="C62:L62">
    <cfRule type="expression" dxfId="104" priority="7">
      <formula>AND(#REF!="Actuals",#REF!="Forecast")</formula>
    </cfRule>
  </conditionalFormatting>
  <conditionalFormatting sqref="C118:L118">
    <cfRule type="expression" dxfId="103" priority="5">
      <formula>AND(#REF!="Actuals",#REF!="Forecast")</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4" id="{2A5A570B-F7E2-4B5A-BC2C-834C824FCD40}">
            <xm:f>AND('RFPR cover'!C$5="Actuals",'RFPR cover'!D$5="Forecast")</xm:f>
            <x14:dxf>
              <border>
                <right style="thin">
                  <color auto="1"/>
                </right>
                <vertical/>
                <horizontal/>
              </border>
            </x14:dxf>
          </x14:cfRule>
          <xm:sqref>D42:J42 D38:G38</xm:sqref>
        </x14:conditionalFormatting>
        <x14:conditionalFormatting xmlns:xm="http://schemas.microsoft.com/office/excel/2006/main">
          <x14:cfRule type="expression" priority="12" id="{FAB975EA-77B5-47ED-B7AC-B8CAF74E8714}">
            <xm:f>AND('RFPR cover'!C$5="Actuals",'RFPR cover'!D$5="Forecast")</xm:f>
            <x14:dxf>
              <border>
                <right style="thin">
                  <color auto="1"/>
                </right>
                <vertical/>
                <horizontal/>
              </border>
            </x14:dxf>
          </x14:cfRule>
          <xm:sqref>C32:J33</xm:sqref>
        </x14:conditionalFormatting>
        <x14:conditionalFormatting xmlns:xm="http://schemas.microsoft.com/office/excel/2006/main">
          <x14:cfRule type="expression" priority="1" id="{EB09C14E-90FD-4212-B6AA-FE96100B4203}">
            <xm:f>AND('C:\Users\KBartlam\Documents\WORKINGS\FINANCE BRIEF APRIL 22\[ED1 - WPD SWEST submission 2022.xlsx]RFPR cover'!#REF!="Actuals",'C:\Users\KBartlam\Documents\WORKINGS\FINANCE BRIEF APRIL 22\[ED1 - WPD SWEST submission 2022.xlsx]RFPR cover'!#REF!="Forecast")</xm:f>
            <x14:dxf>
              <border>
                <right style="thin">
                  <color auto="1"/>
                </right>
                <vertical/>
                <horizontal/>
              </border>
            </x14:dxf>
          </x14:cfRule>
          <xm:sqref>H38:J38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workbookViewId="0">
      <pane ySplit="3" topLeftCell="A4" activePane="bottomLeft" state="frozen"/>
      <selection activeCell="I11" sqref="I11"/>
      <selection pane="bottomLeft" activeCell="P5" sqref="P5"/>
    </sheetView>
  </sheetViews>
  <sheetFormatPr defaultRowHeight="12.75"/>
  <cols>
    <col min="1" max="1" width="8.375" customWidth="1"/>
    <col min="2" max="2" width="23.75" customWidth="1"/>
    <col min="3" max="3" width="25.75" customWidth="1"/>
    <col min="4" max="4" width="9.75" customWidth="1"/>
  </cols>
  <sheetData>
    <row r="1" spans="1:14" s="31" customFormat="1" ht="20.25">
      <c r="A1" s="870" t="s">
        <v>83</v>
      </c>
      <c r="B1" s="870"/>
      <c r="C1" s="870"/>
      <c r="D1" s="870"/>
      <c r="E1" s="870"/>
      <c r="F1" s="870"/>
      <c r="G1" s="870"/>
      <c r="H1" s="870"/>
      <c r="I1" s="32" t="s">
        <v>84</v>
      </c>
      <c r="J1" s="33"/>
      <c r="K1" s="33"/>
      <c r="L1" s="33"/>
      <c r="M1" s="33"/>
    </row>
    <row r="2" spans="1:14" s="31" customFormat="1" ht="20.25">
      <c r="A2" s="870" t="str">
        <f>'RFPR cover'!C5</f>
        <v>NGED-SWALES</v>
      </c>
      <c r="B2" s="870"/>
      <c r="C2" s="870"/>
      <c r="D2" s="870"/>
      <c r="E2" s="870"/>
      <c r="F2" s="870"/>
      <c r="G2" s="870"/>
      <c r="H2" s="870"/>
      <c r="I2" s="33"/>
      <c r="J2" s="33"/>
      <c r="K2" s="33"/>
      <c r="L2" s="33"/>
      <c r="M2" s="33"/>
      <c r="N2" s="365"/>
    </row>
    <row r="3" spans="1:14" s="31" customFormat="1" ht="20.25">
      <c r="A3" s="870">
        <f>'RFPR cover'!C7</f>
        <v>2023</v>
      </c>
      <c r="B3" s="870"/>
      <c r="C3" s="870"/>
      <c r="D3" s="870"/>
      <c r="E3" s="870"/>
      <c r="F3" s="870"/>
      <c r="G3" s="870"/>
      <c r="H3" s="870"/>
      <c r="I3" s="33"/>
      <c r="J3" s="33"/>
      <c r="K3" s="33"/>
      <c r="L3" s="33"/>
      <c r="M3" s="33"/>
      <c r="N3" s="365"/>
    </row>
    <row r="4" spans="1:14">
      <c r="A4" s="24"/>
      <c r="B4" s="24"/>
      <c r="C4" s="24"/>
      <c r="D4" s="24"/>
      <c r="E4" s="24"/>
      <c r="F4" s="24"/>
      <c r="G4" s="24"/>
      <c r="H4" s="24"/>
      <c r="I4" s="545"/>
      <c r="J4" s="545"/>
      <c r="K4" s="545"/>
      <c r="L4" s="545"/>
      <c r="M4" s="545"/>
      <c r="N4" s="42"/>
    </row>
    <row r="5" spans="1:14">
      <c r="A5" s="24"/>
      <c r="B5" s="24"/>
      <c r="C5" s="24"/>
      <c r="D5" s="24"/>
      <c r="E5" s="24"/>
      <c r="F5" s="24"/>
      <c r="G5" s="24"/>
      <c r="H5" s="24"/>
      <c r="I5" s="545"/>
      <c r="J5" s="545"/>
      <c r="K5" s="545"/>
      <c r="L5" s="545"/>
      <c r="M5" s="545"/>
      <c r="N5" s="42"/>
    </row>
    <row r="6" spans="1:14">
      <c r="A6" s="24"/>
      <c r="B6" s="25" t="s">
        <v>85</v>
      </c>
      <c r="C6" s="24"/>
      <c r="D6" s="24"/>
      <c r="E6" s="24"/>
      <c r="F6" s="24"/>
      <c r="G6" s="24"/>
      <c r="H6" s="24"/>
      <c r="I6" s="545"/>
      <c r="J6" s="545"/>
      <c r="K6" s="545"/>
      <c r="L6" s="545"/>
      <c r="M6" s="545"/>
      <c r="N6" s="42"/>
    </row>
    <row r="7" spans="1:14">
      <c r="A7" s="24"/>
      <c r="B7" s="24"/>
      <c r="C7" s="24"/>
      <c r="D7" s="24"/>
      <c r="E7" s="24"/>
      <c r="F7" s="24"/>
      <c r="G7" s="24"/>
      <c r="H7" s="24"/>
      <c r="I7" s="545"/>
      <c r="J7" s="545"/>
      <c r="K7" s="545"/>
      <c r="L7" s="545"/>
      <c r="M7" s="545"/>
      <c r="N7" s="42"/>
    </row>
    <row r="8" spans="1:14">
      <c r="A8" s="24"/>
      <c r="B8" s="47" t="s">
        <v>86</v>
      </c>
      <c r="C8" s="47" t="s">
        <v>87</v>
      </c>
      <c r="D8" s="1014" t="s">
        <v>88</v>
      </c>
      <c r="E8" s="1015"/>
      <c r="F8" s="1015"/>
      <c r="G8" s="1015"/>
      <c r="H8" s="1015"/>
      <c r="I8" s="545"/>
      <c r="J8" s="545"/>
      <c r="K8" s="545"/>
      <c r="L8" s="545"/>
      <c r="M8" s="545"/>
      <c r="N8" s="42"/>
    </row>
    <row r="9" spans="1:14">
      <c r="A9" s="24"/>
      <c r="B9" s="26" t="s">
        <v>89</v>
      </c>
      <c r="C9" s="941">
        <v>45138</v>
      </c>
      <c r="D9" s="1012"/>
      <c r="E9" s="1013"/>
      <c r="F9" s="1013"/>
      <c r="G9" s="1013"/>
      <c r="H9" s="1013"/>
      <c r="I9" s="24"/>
      <c r="J9" s="24"/>
      <c r="K9" s="24"/>
      <c r="L9" s="24"/>
      <c r="M9" s="24"/>
    </row>
    <row r="10" spans="1:14">
      <c r="A10" s="24"/>
      <c r="B10" s="26" t="s">
        <v>90</v>
      </c>
      <c r="C10" s="46"/>
      <c r="D10" s="1012"/>
      <c r="E10" s="1013"/>
      <c r="F10" s="1013"/>
      <c r="G10" s="1013"/>
      <c r="H10" s="1013"/>
      <c r="I10" s="24"/>
      <c r="J10" s="24"/>
      <c r="K10" s="24"/>
      <c r="L10" s="24"/>
      <c r="M10" s="24"/>
    </row>
    <row r="11" spans="1:14">
      <c r="A11" s="24"/>
      <c r="B11" s="26" t="s">
        <v>91</v>
      </c>
      <c r="C11" s="46"/>
      <c r="D11" s="1012"/>
      <c r="E11" s="1013"/>
      <c r="F11" s="1013"/>
      <c r="G11" s="1013"/>
      <c r="H11" s="1013"/>
      <c r="I11" s="24"/>
      <c r="J11" s="24"/>
      <c r="K11" s="24"/>
      <c r="L11" s="24"/>
      <c r="M11" s="24"/>
    </row>
    <row r="12" spans="1:14">
      <c r="A12" s="24"/>
      <c r="B12" s="26" t="s">
        <v>92</v>
      </c>
      <c r="C12" s="46"/>
      <c r="D12" s="1012"/>
      <c r="E12" s="1013"/>
      <c r="F12" s="1013"/>
      <c r="G12" s="1013"/>
      <c r="H12" s="1013"/>
      <c r="I12" s="24"/>
      <c r="J12" s="24"/>
      <c r="K12" s="24"/>
      <c r="L12" s="24"/>
      <c r="M12" s="24"/>
    </row>
    <row r="13" spans="1:14">
      <c r="A13" s="24"/>
      <c r="B13" s="26" t="s">
        <v>93</v>
      </c>
      <c r="C13" s="46"/>
      <c r="D13" s="1012"/>
      <c r="E13" s="1013"/>
      <c r="F13" s="1013"/>
      <c r="G13" s="1013"/>
      <c r="H13" s="1013"/>
      <c r="I13" s="24"/>
      <c r="J13" s="24"/>
      <c r="K13" s="24"/>
      <c r="L13" s="24"/>
      <c r="M13" s="24"/>
    </row>
    <row r="14" spans="1:14">
      <c r="A14" s="24"/>
      <c r="B14" s="26" t="s">
        <v>94</v>
      </c>
      <c r="C14" s="46"/>
      <c r="D14" s="1012"/>
      <c r="E14" s="1013"/>
      <c r="F14" s="1013"/>
      <c r="G14" s="1013"/>
      <c r="H14" s="1013"/>
      <c r="I14" s="24"/>
      <c r="J14" s="24"/>
      <c r="K14" s="24"/>
      <c r="L14" s="24"/>
      <c r="M14" s="24"/>
    </row>
    <row r="15" spans="1:14">
      <c r="A15" s="24"/>
      <c r="B15" s="26" t="s">
        <v>95</v>
      </c>
      <c r="C15" s="46"/>
      <c r="D15" s="1012"/>
      <c r="E15" s="1013"/>
      <c r="F15" s="1013"/>
      <c r="G15" s="1013"/>
      <c r="H15" s="1013"/>
      <c r="I15" s="24"/>
      <c r="J15" s="24"/>
      <c r="K15" s="24"/>
      <c r="L15" s="24"/>
      <c r="M15" s="24"/>
    </row>
    <row r="16" spans="1:14">
      <c r="A16" s="24"/>
      <c r="B16" s="26" t="s">
        <v>96</v>
      </c>
      <c r="C16" s="46"/>
      <c r="D16" s="1012"/>
      <c r="E16" s="1013"/>
      <c r="F16" s="1013"/>
      <c r="G16" s="1013"/>
      <c r="H16" s="1013"/>
      <c r="I16" s="24"/>
      <c r="J16" s="24"/>
      <c r="K16" s="24"/>
      <c r="L16" s="24"/>
      <c r="M16" s="24"/>
    </row>
    <row r="17" spans="1:13">
      <c r="A17" s="24"/>
      <c r="B17" s="26" t="s">
        <v>97</v>
      </c>
      <c r="C17" s="46"/>
      <c r="D17" s="1012"/>
      <c r="E17" s="1013"/>
      <c r="F17" s="1013"/>
      <c r="G17" s="1013"/>
      <c r="H17" s="1013"/>
      <c r="I17" s="24"/>
      <c r="J17" s="24"/>
      <c r="K17" s="24"/>
      <c r="L17" s="24"/>
      <c r="M17" s="24"/>
    </row>
    <row r="18" spans="1:13">
      <c r="A18" s="24"/>
      <c r="B18" s="26" t="s">
        <v>98</v>
      </c>
      <c r="C18" s="46"/>
      <c r="D18" s="1012"/>
      <c r="E18" s="1013"/>
      <c r="F18" s="1013"/>
      <c r="G18" s="1013"/>
      <c r="H18" s="1013"/>
      <c r="I18" s="24"/>
      <c r="J18" s="24"/>
      <c r="K18" s="24"/>
      <c r="L18" s="24"/>
      <c r="M18" s="24"/>
    </row>
    <row r="19" spans="1:13">
      <c r="A19" s="24"/>
      <c r="B19" s="24"/>
      <c r="C19" s="24"/>
      <c r="D19" s="24"/>
      <c r="E19" s="24"/>
      <c r="F19" s="24"/>
      <c r="G19" s="24"/>
      <c r="H19" s="24"/>
      <c r="I19" s="24"/>
      <c r="J19" s="24"/>
      <c r="K19" s="24"/>
      <c r="L19" s="24"/>
      <c r="M19" s="24"/>
    </row>
    <row r="20" spans="1:13">
      <c r="A20" s="24"/>
      <c r="B20" s="213"/>
      <c r="C20" s="24"/>
      <c r="D20" s="24"/>
      <c r="E20" s="24"/>
      <c r="F20" s="24"/>
      <c r="G20" s="24"/>
      <c r="H20" s="24"/>
      <c r="I20" s="24"/>
      <c r="J20" s="24"/>
      <c r="K20" s="24"/>
      <c r="L20" s="24"/>
    </row>
    <row r="21" spans="1:13">
      <c r="A21" s="24"/>
      <c r="B21" s="286" t="s">
        <v>259</v>
      </c>
      <c r="C21" s="24"/>
      <c r="D21" s="24"/>
      <c r="E21" s="24"/>
      <c r="F21" s="24"/>
      <c r="G21" s="24"/>
      <c r="H21" s="24"/>
      <c r="I21" s="24"/>
      <c r="J21" s="24"/>
      <c r="K21" s="24"/>
      <c r="L21" s="24"/>
    </row>
    <row r="22" spans="1:13">
      <c r="A22" s="24"/>
      <c r="B22" s="286" t="s">
        <v>119</v>
      </c>
      <c r="C22" s="24"/>
      <c r="D22" s="24"/>
      <c r="E22" s="24"/>
      <c r="F22" s="24"/>
      <c r="G22" s="24"/>
      <c r="H22" s="24"/>
      <c r="I22" s="24"/>
      <c r="J22" s="24"/>
      <c r="K22" s="24"/>
      <c r="L22" s="24"/>
    </row>
    <row r="23" spans="1:13">
      <c r="A23" s="24"/>
      <c r="B23" s="286" t="s">
        <v>260</v>
      </c>
      <c r="C23" s="24"/>
      <c r="D23" s="24"/>
      <c r="E23" s="24"/>
      <c r="F23" s="24"/>
      <c r="G23" s="24"/>
      <c r="H23" s="24"/>
      <c r="I23" s="24"/>
      <c r="J23" s="24"/>
      <c r="K23" s="24"/>
      <c r="L23" s="24"/>
    </row>
    <row r="24" spans="1:13">
      <c r="B24" s="286" t="s">
        <v>99</v>
      </c>
    </row>
    <row r="25" spans="1:13">
      <c r="B25" s="286" t="s">
        <v>258</v>
      </c>
    </row>
    <row r="26" spans="1:13">
      <c r="B26" s="286" t="s">
        <v>100</v>
      </c>
    </row>
    <row r="27" spans="1:13">
      <c r="B27" s="286" t="s">
        <v>261</v>
      </c>
    </row>
    <row r="28" spans="1:13">
      <c r="B28" s="286" t="s">
        <v>277</v>
      </c>
      <c r="C28" t="s">
        <v>672</v>
      </c>
    </row>
    <row r="29" spans="1:13">
      <c r="B29" s="286" t="s">
        <v>237</v>
      </c>
    </row>
    <row r="30" spans="1:13">
      <c r="B30" s="286" t="s">
        <v>280</v>
      </c>
      <c r="C30" t="s">
        <v>672</v>
      </c>
    </row>
    <row r="31" spans="1:13">
      <c r="B31" s="286" t="s">
        <v>101</v>
      </c>
    </row>
    <row r="32" spans="1:13">
      <c r="B32" s="286" t="s">
        <v>257</v>
      </c>
    </row>
    <row r="33" spans="2:2">
      <c r="B33" s="286" t="s">
        <v>262</v>
      </c>
    </row>
    <row r="34" spans="2:2">
      <c r="B34" s="286" t="s">
        <v>255</v>
      </c>
    </row>
    <row r="35" spans="2:2">
      <c r="B35" s="286" t="s">
        <v>263</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8"/>
  <sheetViews>
    <sheetView showGridLines="0" zoomScale="60" zoomScaleNormal="60" workbookViewId="0">
      <pane ySplit="5" topLeftCell="A45" activePane="bottomLeft" state="frozen"/>
      <selection activeCell="I11" sqref="I11"/>
      <selection pane="bottomLeft" activeCell="A74" sqref="A74"/>
    </sheetView>
  </sheetViews>
  <sheetFormatPr defaultRowHeight="12.75"/>
  <cols>
    <col min="1" max="1" width="19.125" bestFit="1" customWidth="1"/>
    <col min="2" max="2" width="12.125" bestFit="1" customWidth="1"/>
    <col min="3" max="3" width="104.125" customWidth="1"/>
    <col min="4" max="4" width="35.5" customWidth="1"/>
  </cols>
  <sheetData>
    <row r="1" spans="1:4" s="31" customFormat="1" ht="20.25">
      <c r="A1" s="29" t="s">
        <v>121</v>
      </c>
      <c r="B1" s="29"/>
      <c r="C1" s="29"/>
      <c r="D1" s="29"/>
    </row>
    <row r="2" spans="1:4" s="31" customFormat="1" ht="20.25">
      <c r="A2" s="29" t="str">
        <f>'RFPR cover'!C5</f>
        <v>NGED-SWALES</v>
      </c>
      <c r="B2" s="29"/>
      <c r="C2" s="29"/>
      <c r="D2" s="29"/>
    </row>
    <row r="3" spans="1:4" s="31" customFormat="1" ht="20.25">
      <c r="A3" s="29">
        <f>'RFPR cover'!C7</f>
        <v>2023</v>
      </c>
      <c r="B3" s="29"/>
      <c r="C3" s="29"/>
      <c r="D3" s="29"/>
    </row>
    <row r="4" spans="1:4" s="31" customFormat="1" ht="20.25">
      <c r="A4" s="809"/>
      <c r="B4" s="809"/>
      <c r="C4" s="809"/>
      <c r="D4" s="809"/>
    </row>
    <row r="5" spans="1:4" ht="30">
      <c r="A5" s="806" t="s">
        <v>443</v>
      </c>
      <c r="B5" s="807" t="s">
        <v>444</v>
      </c>
      <c r="C5" s="808" t="s">
        <v>445</v>
      </c>
    </row>
    <row r="6" spans="1:4">
      <c r="A6" s="335">
        <v>1.1000000000000001</v>
      </c>
      <c r="B6" s="817" t="s">
        <v>527</v>
      </c>
      <c r="C6" s="823" t="s">
        <v>528</v>
      </c>
    </row>
    <row r="7" spans="1:4">
      <c r="A7" s="335">
        <v>1.1000000000000001</v>
      </c>
      <c r="B7" s="817" t="s">
        <v>527</v>
      </c>
      <c r="C7" s="823" t="s">
        <v>529</v>
      </c>
    </row>
    <row r="8" spans="1:4">
      <c r="A8" s="335">
        <v>1.1000000000000001</v>
      </c>
      <c r="B8" s="815" t="s">
        <v>530</v>
      </c>
      <c r="C8" s="822" t="s">
        <v>531</v>
      </c>
    </row>
    <row r="9" spans="1:4" ht="25.5">
      <c r="A9" s="335">
        <v>1.1000000000000001</v>
      </c>
      <c r="B9" s="815" t="s">
        <v>533</v>
      </c>
      <c r="C9" s="822" t="s">
        <v>534</v>
      </c>
    </row>
    <row r="10" spans="1:4">
      <c r="A10" s="335">
        <v>1.1000000000000001</v>
      </c>
      <c r="B10" s="815" t="s">
        <v>533</v>
      </c>
      <c r="C10" s="822" t="s">
        <v>536</v>
      </c>
    </row>
    <row r="11" spans="1:4">
      <c r="A11" s="335">
        <v>1.1000000000000001</v>
      </c>
      <c r="B11" s="815" t="s">
        <v>538</v>
      </c>
      <c r="C11" s="822" t="s">
        <v>537</v>
      </c>
    </row>
    <row r="12" spans="1:4" ht="25.5">
      <c r="A12" s="335">
        <v>1.1000000000000001</v>
      </c>
      <c r="B12" s="815" t="s">
        <v>533</v>
      </c>
      <c r="C12" s="822" t="s">
        <v>539</v>
      </c>
    </row>
    <row r="13" spans="1:4" ht="51">
      <c r="A13" s="335">
        <v>1.1000000000000001</v>
      </c>
      <c r="B13" s="815" t="s">
        <v>533</v>
      </c>
      <c r="C13" s="822" t="s">
        <v>540</v>
      </c>
    </row>
    <row r="14" spans="1:4">
      <c r="A14" s="336">
        <v>1.1000000000000001</v>
      </c>
      <c r="B14" s="815" t="s">
        <v>541</v>
      </c>
      <c r="C14" s="822" t="s">
        <v>542</v>
      </c>
    </row>
    <row r="15" spans="1:4">
      <c r="A15" s="336">
        <v>1.1000000000000001</v>
      </c>
      <c r="B15" s="815" t="s">
        <v>530</v>
      </c>
      <c r="C15" s="822" t="s">
        <v>543</v>
      </c>
    </row>
    <row r="16" spans="1:4" ht="38.25">
      <c r="A16" s="336">
        <v>1.1000000000000001</v>
      </c>
      <c r="B16" s="815" t="s">
        <v>544</v>
      </c>
      <c r="C16" s="822" t="s">
        <v>545</v>
      </c>
    </row>
    <row r="17" spans="1:3">
      <c r="A17" s="336">
        <v>1.1000000000000001</v>
      </c>
      <c r="B17" s="815" t="s">
        <v>538</v>
      </c>
      <c r="C17" s="287" t="s">
        <v>546</v>
      </c>
    </row>
    <row r="18" spans="1:3" ht="25.5">
      <c r="A18" s="336">
        <v>1.1000000000000001</v>
      </c>
      <c r="B18" s="815" t="s">
        <v>538</v>
      </c>
      <c r="C18" s="287" t="s">
        <v>547</v>
      </c>
    </row>
    <row r="19" spans="1:3">
      <c r="A19" s="336">
        <v>1.1000000000000001</v>
      </c>
      <c r="B19" s="815" t="s">
        <v>548</v>
      </c>
      <c r="C19" s="287" t="s">
        <v>549</v>
      </c>
    </row>
    <row r="20" spans="1:3" ht="25.5">
      <c r="A20" s="336">
        <v>1.1000000000000001</v>
      </c>
      <c r="B20" s="815" t="s">
        <v>548</v>
      </c>
      <c r="C20" s="287" t="s">
        <v>560</v>
      </c>
    </row>
    <row r="21" spans="1:3">
      <c r="A21" s="336">
        <v>1.1000000000000001</v>
      </c>
      <c r="B21" s="815" t="s">
        <v>561</v>
      </c>
      <c r="C21" s="287" t="s">
        <v>562</v>
      </c>
    </row>
    <row r="22" spans="1:3">
      <c r="A22" s="336">
        <v>1.1000000000000001</v>
      </c>
      <c r="B22" s="336" t="s">
        <v>541</v>
      </c>
      <c r="C22" s="287" t="s">
        <v>563</v>
      </c>
    </row>
    <row r="23" spans="1:3" ht="25.5">
      <c r="A23" s="336">
        <v>1.1000000000000001</v>
      </c>
      <c r="B23" s="815" t="s">
        <v>541</v>
      </c>
      <c r="C23" s="287" t="s">
        <v>564</v>
      </c>
    </row>
    <row r="24" spans="1:3" ht="25.5">
      <c r="A24" s="336">
        <v>1.1000000000000001</v>
      </c>
      <c r="B24" s="815" t="s">
        <v>544</v>
      </c>
      <c r="C24" s="287" t="s">
        <v>565</v>
      </c>
    </row>
    <row r="25" spans="1:3" ht="26.25" thickBot="1">
      <c r="A25" s="908">
        <v>1.1000000000000001</v>
      </c>
      <c r="B25" s="909" t="s">
        <v>548</v>
      </c>
      <c r="C25" s="910" t="s">
        <v>567</v>
      </c>
    </row>
    <row r="26" spans="1:3">
      <c r="A26" s="905">
        <v>1.1000000000000001</v>
      </c>
      <c r="B26" s="906" t="s">
        <v>541</v>
      </c>
      <c r="C26" s="907" t="s">
        <v>568</v>
      </c>
    </row>
    <row r="27" spans="1:3">
      <c r="A27" s="905">
        <v>1.1000000000000001</v>
      </c>
      <c r="B27" s="815" t="s">
        <v>548</v>
      </c>
      <c r="C27" s="287" t="s">
        <v>569</v>
      </c>
    </row>
    <row r="28" spans="1:3" ht="25.5">
      <c r="A28" s="336">
        <v>1.1000000000000001</v>
      </c>
      <c r="B28" s="815" t="s">
        <v>548</v>
      </c>
      <c r="C28" s="287" t="s">
        <v>570</v>
      </c>
    </row>
    <row r="29" spans="1:3">
      <c r="A29" s="911">
        <v>2</v>
      </c>
      <c r="B29" s="815" t="s">
        <v>548</v>
      </c>
      <c r="C29" s="287" t="s">
        <v>573</v>
      </c>
    </row>
    <row r="30" spans="1:3">
      <c r="A30" s="911">
        <v>2</v>
      </c>
      <c r="B30" s="815" t="s">
        <v>548</v>
      </c>
      <c r="C30" s="287" t="s">
        <v>574</v>
      </c>
    </row>
    <row r="31" spans="1:3">
      <c r="A31" s="911">
        <v>2</v>
      </c>
      <c r="B31" s="815" t="s">
        <v>548</v>
      </c>
      <c r="C31" s="287" t="s">
        <v>578</v>
      </c>
    </row>
    <row r="32" spans="1:3" ht="25.5">
      <c r="A32" s="911">
        <v>2</v>
      </c>
      <c r="B32" s="815" t="s">
        <v>261</v>
      </c>
      <c r="C32" s="836" t="s">
        <v>575</v>
      </c>
    </row>
    <row r="33" spans="1:3" ht="27.75" customHeight="1">
      <c r="A33" s="911">
        <v>2</v>
      </c>
      <c r="B33" s="815" t="s">
        <v>576</v>
      </c>
      <c r="C33" s="287" t="s">
        <v>577</v>
      </c>
    </row>
    <row r="34" spans="1:3">
      <c r="A34" s="336">
        <v>2.1</v>
      </c>
      <c r="B34" s="815" t="s">
        <v>257</v>
      </c>
      <c r="C34" s="287" t="s">
        <v>621</v>
      </c>
    </row>
    <row r="35" spans="1:3" ht="25.5">
      <c r="A35" s="336">
        <v>2.1</v>
      </c>
      <c r="B35" s="815" t="s">
        <v>261</v>
      </c>
      <c r="C35" s="287" t="s">
        <v>622</v>
      </c>
    </row>
    <row r="36" spans="1:3" ht="38.25">
      <c r="A36" s="337"/>
      <c r="B36" s="839" t="s">
        <v>629</v>
      </c>
      <c r="C36" s="947" t="s">
        <v>643</v>
      </c>
    </row>
    <row r="37" spans="1:3" ht="114.75">
      <c r="A37" s="337"/>
      <c r="B37" s="945" t="s">
        <v>548</v>
      </c>
      <c r="C37" s="948" t="s">
        <v>642</v>
      </c>
    </row>
    <row r="38" spans="1:3" ht="25.5">
      <c r="A38" s="337"/>
      <c r="B38" s="839" t="s">
        <v>255</v>
      </c>
      <c r="C38" s="950" t="s">
        <v>636</v>
      </c>
    </row>
    <row r="39" spans="1:3" ht="42.6" customHeight="1">
      <c r="A39" s="337"/>
      <c r="B39" s="949" t="s">
        <v>637</v>
      </c>
      <c r="C39" s="952" t="s">
        <v>638</v>
      </c>
    </row>
    <row r="40" spans="1:3" ht="38.450000000000003" customHeight="1">
      <c r="A40" s="336"/>
      <c r="B40" s="945" t="s">
        <v>629</v>
      </c>
      <c r="C40" s="951" t="s">
        <v>644</v>
      </c>
    </row>
    <row r="41" spans="1:3" ht="51">
      <c r="A41" s="337"/>
      <c r="B41" s="839" t="s">
        <v>639</v>
      </c>
      <c r="C41" s="947" t="s">
        <v>640</v>
      </c>
    </row>
    <row r="42" spans="1:3" ht="35.450000000000003" customHeight="1">
      <c r="A42" s="337"/>
      <c r="B42" s="839" t="s">
        <v>645</v>
      </c>
      <c r="C42" s="942" t="s">
        <v>646</v>
      </c>
    </row>
    <row r="43" spans="1:3" ht="25.5">
      <c r="A43" s="337" t="s">
        <v>649</v>
      </c>
    </row>
    <row r="44" spans="1:3" ht="114.75">
      <c r="A44" s="337"/>
      <c r="B44" s="815" t="s">
        <v>548</v>
      </c>
      <c r="C44" s="287" t="s">
        <v>648</v>
      </c>
    </row>
    <row r="45" spans="1:3" ht="102">
      <c r="A45" s="337"/>
      <c r="B45" s="815" t="s">
        <v>548</v>
      </c>
      <c r="C45" s="287" t="s">
        <v>654</v>
      </c>
    </row>
    <row r="46" spans="1:3" ht="51">
      <c r="A46" s="337"/>
      <c r="B46" s="839" t="s">
        <v>639</v>
      </c>
      <c r="C46" s="965" t="s">
        <v>664</v>
      </c>
    </row>
    <row r="47" spans="1:3" ht="38.25">
      <c r="A47" s="337"/>
      <c r="B47" s="945" t="s">
        <v>629</v>
      </c>
      <c r="C47" s="965" t="s">
        <v>665</v>
      </c>
    </row>
    <row r="48" spans="1:3" ht="25.5">
      <c r="A48" s="337"/>
      <c r="B48" s="945" t="s">
        <v>629</v>
      </c>
      <c r="C48" s="965" t="s">
        <v>653</v>
      </c>
    </row>
    <row r="49" spans="1:3" ht="25.5">
      <c r="A49" s="337"/>
      <c r="B49" s="839" t="s">
        <v>645</v>
      </c>
      <c r="C49" s="942" t="s">
        <v>661</v>
      </c>
    </row>
    <row r="50" spans="1:3" ht="25.5">
      <c r="A50" s="337"/>
      <c r="B50" s="815" t="s">
        <v>255</v>
      </c>
      <c r="C50" s="287" t="s">
        <v>650</v>
      </c>
    </row>
    <row r="51" spans="1:3" ht="38.25">
      <c r="A51" s="337"/>
      <c r="B51" s="945" t="s">
        <v>637</v>
      </c>
      <c r="C51" s="966" t="s">
        <v>651</v>
      </c>
    </row>
    <row r="52" spans="1:3">
      <c r="A52" s="337"/>
      <c r="B52" s="815"/>
      <c r="C52" s="287"/>
    </row>
    <row r="53" spans="1:3">
      <c r="A53" s="337"/>
      <c r="B53" s="815"/>
      <c r="C53" s="287"/>
    </row>
    <row r="54" spans="1:3">
      <c r="A54" s="337"/>
      <c r="B54" s="815"/>
      <c r="C54" s="287"/>
    </row>
    <row r="55" spans="1:3">
      <c r="A55" s="337"/>
      <c r="B55" s="847"/>
      <c r="C55" s="848"/>
    </row>
    <row r="56" spans="1:3">
      <c r="A56" s="337"/>
      <c r="B56" s="815"/>
      <c r="C56" s="287"/>
    </row>
    <row r="57" spans="1:3">
      <c r="A57" s="337"/>
      <c r="B57" s="815"/>
      <c r="C57" s="287"/>
    </row>
    <row r="58" spans="1:3">
      <c r="A58" s="337"/>
      <c r="B58" s="815"/>
      <c r="C58" s="287"/>
    </row>
    <row r="59" spans="1:3">
      <c r="A59" s="337"/>
      <c r="B59" s="815"/>
      <c r="C59" s="287"/>
    </row>
    <row r="60" spans="1:3">
      <c r="A60" s="337"/>
      <c r="B60" s="815"/>
      <c r="C60" s="836"/>
    </row>
    <row r="61" spans="1:3">
      <c r="A61" s="338"/>
      <c r="B61" s="816"/>
      <c r="C61" s="288"/>
    </row>
    <row r="62" spans="1:3">
      <c r="A62" s="338"/>
      <c r="B62" s="816"/>
      <c r="C62" s="288"/>
    </row>
    <row r="63" spans="1:3">
      <c r="A63" s="338"/>
      <c r="B63" s="816"/>
      <c r="C63" s="288"/>
    </row>
    <row r="64" spans="1:3">
      <c r="A64" s="338"/>
      <c r="B64" s="816"/>
      <c r="C64" s="288"/>
    </row>
    <row r="65" spans="1:3">
      <c r="A65" s="338"/>
      <c r="B65" s="816"/>
      <c r="C65" s="288"/>
    </row>
    <row r="66" spans="1:3">
      <c r="A66" s="338"/>
      <c r="B66" s="816"/>
      <c r="C66" s="288"/>
    </row>
    <row r="67" spans="1:3">
      <c r="A67" s="338"/>
      <c r="B67" s="816"/>
      <c r="C67" s="288"/>
    </row>
    <row r="68" spans="1:3">
      <c r="A68" s="338"/>
      <c r="B68" s="816"/>
      <c r="C68" s="288"/>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O67"/>
  <sheetViews>
    <sheetView showGridLines="0" zoomScale="60" zoomScaleNormal="60" workbookViewId="0">
      <pane ySplit="6" topLeftCell="A10" activePane="bottomLeft" state="frozen"/>
      <selection activeCell="I11" sqref="I11"/>
      <selection pane="bottomLeft" activeCell="J11" sqref="J11:J19"/>
    </sheetView>
  </sheetViews>
  <sheetFormatPr defaultRowHeight="12.75"/>
  <cols>
    <col min="1" max="1" width="8.375" customWidth="1"/>
    <col min="2" max="2" width="63.375" style="196" customWidth="1"/>
    <col min="3" max="3" width="13.375" style="42" customWidth="1"/>
    <col min="4" max="11" width="9.125" customWidth="1"/>
    <col min="12" max="12" width="3.625" customWidth="1"/>
    <col min="13" max="14" width="13.75" customWidth="1"/>
    <col min="15" max="15" width="5.125" customWidth="1"/>
  </cols>
  <sheetData>
    <row r="1" spans="1:41" s="31" customFormat="1" ht="20.25">
      <c r="A1" s="875" t="s">
        <v>239</v>
      </c>
      <c r="B1" s="884"/>
      <c r="C1" s="885"/>
      <c r="D1" s="885"/>
      <c r="E1" s="885"/>
      <c r="F1" s="885"/>
      <c r="G1" s="256"/>
      <c r="H1" s="256"/>
      <c r="I1" s="257"/>
      <c r="J1" s="257"/>
      <c r="K1" s="258"/>
      <c r="L1" s="258"/>
      <c r="M1" s="258"/>
      <c r="N1" s="258"/>
      <c r="O1" s="366" t="s">
        <v>84</v>
      </c>
    </row>
    <row r="2" spans="1:41" s="31" customFormat="1" ht="20.25">
      <c r="A2" s="878" t="str">
        <f>'RFPR cover'!C5</f>
        <v>NGED-SWALES</v>
      </c>
      <c r="B2" s="886"/>
      <c r="C2" s="870"/>
      <c r="D2" s="870"/>
      <c r="E2" s="870"/>
      <c r="F2" s="870"/>
      <c r="G2" s="29"/>
      <c r="H2" s="29"/>
      <c r="I2" s="27"/>
      <c r="J2" s="27"/>
      <c r="K2" s="27"/>
      <c r="L2" s="27"/>
      <c r="M2" s="27"/>
      <c r="N2" s="27"/>
      <c r="O2" s="123"/>
    </row>
    <row r="3" spans="1:41" s="31" customFormat="1" ht="23.25">
      <c r="A3" s="881">
        <f>'RFPR cover'!C7</f>
        <v>2023</v>
      </c>
      <c r="B3" s="887" t="str">
        <f>IF('RFPR cover'!C5=Data!B98,"Not required to be completed for System Operator",(IF('RFPR cover'!C5=Data!B96,"Not required to be completed for System Operator","")))</f>
        <v/>
      </c>
      <c r="C3" s="888"/>
      <c r="D3" s="888"/>
      <c r="E3" s="888"/>
      <c r="F3" s="888"/>
      <c r="G3" s="260"/>
      <c r="H3" s="260"/>
      <c r="I3" s="255"/>
      <c r="J3" s="255"/>
      <c r="K3" s="255"/>
      <c r="L3" s="255"/>
      <c r="M3" s="255"/>
      <c r="N3" s="255"/>
      <c r="O3" s="261"/>
    </row>
    <row r="4" spans="1:41" ht="12.75" customHeight="1"/>
    <row r="5" spans="1:4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L5" s="2"/>
      <c r="M5" s="2"/>
    </row>
    <row r="6" spans="1:41" ht="31.5" customHeight="1">
      <c r="C6" s="172"/>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L6" s="49"/>
      <c r="M6" s="101" t="str">
        <f>"Cumulative to "&amp;'RFPR cover'!$C$7</f>
        <v>Cumulative to 2023</v>
      </c>
      <c r="N6" s="194" t="s">
        <v>109</v>
      </c>
    </row>
    <row r="7" spans="1:41">
      <c r="C7" s="172"/>
      <c r="D7" s="172"/>
      <c r="E7" s="172"/>
      <c r="F7" s="172"/>
      <c r="G7" s="172"/>
      <c r="H7" s="172"/>
      <c r="I7" s="172"/>
      <c r="J7" s="172"/>
      <c r="K7" s="172"/>
      <c r="L7" s="172"/>
      <c r="M7" s="172"/>
      <c r="N7" s="172"/>
      <c r="O7" s="172"/>
    </row>
    <row r="8" spans="1:41">
      <c r="B8" s="528" t="s">
        <v>108</v>
      </c>
      <c r="C8" s="423"/>
      <c r="D8" s="423"/>
      <c r="E8" s="423"/>
      <c r="F8" s="423"/>
      <c r="G8" s="423"/>
      <c r="H8" s="423"/>
      <c r="I8" s="423"/>
      <c r="J8" s="423"/>
      <c r="K8" s="423"/>
      <c r="L8" s="529"/>
      <c r="M8" s="217"/>
      <c r="N8" s="217"/>
      <c r="O8" s="217"/>
    </row>
    <row r="9" spans="1:41">
      <c r="B9" s="197"/>
      <c r="D9" s="42"/>
      <c r="E9" s="42"/>
      <c r="F9" s="42"/>
      <c r="G9" s="42"/>
      <c r="H9" s="42"/>
      <c r="I9" s="42"/>
      <c r="J9" s="42"/>
      <c r="K9" s="42"/>
      <c r="L9" s="49"/>
    </row>
    <row r="10" spans="1:41">
      <c r="B10" s="252" t="s">
        <v>215</v>
      </c>
      <c r="C10" s="254" t="s">
        <v>7</v>
      </c>
      <c r="D10" s="505">
        <f t="shared" ref="D10:K19" si="1">D48/D$65</f>
        <v>6.4000000000000001E-2</v>
      </c>
      <c r="E10" s="507">
        <f t="shared" si="1"/>
        <v>6.4000000000000001E-2</v>
      </c>
      <c r="F10" s="507">
        <f t="shared" si="1"/>
        <v>6.4000000000000001E-2</v>
      </c>
      <c r="G10" s="507">
        <f t="shared" si="1"/>
        <v>6.4000000000000001E-2</v>
      </c>
      <c r="H10" s="507">
        <f t="shared" si="1"/>
        <v>6.4000000000000001E-2</v>
      </c>
      <c r="I10" s="507">
        <f t="shared" si="1"/>
        <v>6.4000000000000001E-2</v>
      </c>
      <c r="J10" s="507">
        <f t="shared" si="1"/>
        <v>6.4000000000000001E-2</v>
      </c>
      <c r="K10" s="506">
        <f t="shared" si="1"/>
        <v>6.4000000000000001E-2</v>
      </c>
      <c r="L10" s="173"/>
      <c r="M10" s="506">
        <f>AVERAGE(D48:INDEX(D48:K48,0,MATCH('RFPR cover'!$C$7,$D$6:$K$6,0)))/AVERAGE($D$65:INDEX($D$65:$K$65,0,MATCH('RFPR cover'!$C$7,$D$6:$K$6,0)))</f>
        <v>6.4000000000000001E-2</v>
      </c>
      <c r="N10" s="506">
        <f>AVERAGE(D48:K48)/AVERAGE($D$65:$K$65)</f>
        <v>6.4000000000000001E-2</v>
      </c>
      <c r="Z10" s="516"/>
      <c r="AA10" s="516"/>
      <c r="AB10" s="173"/>
      <c r="AC10" s="173"/>
      <c r="AD10" s="173"/>
      <c r="AE10" s="173"/>
      <c r="AF10" s="173"/>
      <c r="AG10" s="173"/>
      <c r="AH10" s="173"/>
      <c r="AI10" s="173"/>
      <c r="AJ10" s="173"/>
      <c r="AK10" s="173"/>
      <c r="AL10" s="173"/>
      <c r="AM10" s="173"/>
      <c r="AN10" s="173"/>
      <c r="AO10" s="173"/>
    </row>
    <row r="11" spans="1:41">
      <c r="B11" s="252" t="str">
        <f t="shared" ref="B11:B18" si="2">B49</f>
        <v>Totex outperformance</v>
      </c>
      <c r="C11" s="254" t="s">
        <v>7</v>
      </c>
      <c r="D11" s="175">
        <f t="shared" si="1"/>
        <v>3.0987346852280329E-2</v>
      </c>
      <c r="E11" s="176">
        <f t="shared" si="1"/>
        <v>4.2272657887742669E-2</v>
      </c>
      <c r="F11" s="176">
        <f t="shared" si="1"/>
        <v>-5.197200641464176E-2</v>
      </c>
      <c r="G11" s="176">
        <f t="shared" si="1"/>
        <v>3.4064565875358159E-2</v>
      </c>
      <c r="H11" s="176">
        <f t="shared" si="1"/>
        <v>3.3191901294426784E-2</v>
      </c>
      <c r="I11" s="176">
        <f t="shared" si="1"/>
        <v>-5.790184342430808E-3</v>
      </c>
      <c r="J11" s="176">
        <f t="shared" si="1"/>
        <v>4.4076406386720484E-3</v>
      </c>
      <c r="K11" s="177">
        <f t="shared" si="1"/>
        <v>5.3468483054596372E-3</v>
      </c>
      <c r="L11" s="173"/>
      <c r="M11" s="177">
        <f>AVERAGE(D49:INDEX(D49:K49,0,MATCH('RFPR cover'!$C$7,$D$6:$K$6,0)))/AVERAGE($D$65:INDEX($D$65:$K$65,0,MATCH('RFPR cover'!$C$7,$D$6:$K$6,0)))</f>
        <v>1.1137814013574983E-2</v>
      </c>
      <c r="N11" s="177">
        <f t="shared" ref="N11:N19" si="3">AVERAGE(D49:K49)/AVERAGE($D$65:$K$65)</f>
        <v>1.1137814013574983E-2</v>
      </c>
      <c r="P11" s="173"/>
      <c r="Z11" s="516"/>
      <c r="AA11" s="516"/>
      <c r="AB11" s="173"/>
      <c r="AC11" s="173"/>
      <c r="AD11" s="173"/>
      <c r="AE11" s="173"/>
      <c r="AF11" s="173"/>
      <c r="AG11" s="173"/>
      <c r="AH11" s="173"/>
      <c r="AI11" s="173"/>
      <c r="AJ11" s="173"/>
      <c r="AK11" s="173"/>
      <c r="AL11" s="173"/>
    </row>
    <row r="12" spans="1:41">
      <c r="B12" s="252" t="str">
        <f t="shared" si="2"/>
        <v>IQI Reward</v>
      </c>
      <c r="C12" s="254" t="s">
        <v>7</v>
      </c>
      <c r="D12" s="175">
        <f t="shared" si="1"/>
        <v>1.0012149633199692E-2</v>
      </c>
      <c r="E12" s="176">
        <f t="shared" si="1"/>
        <v>9.6659449766530302E-3</v>
      </c>
      <c r="F12" s="176">
        <f t="shared" si="1"/>
        <v>9.1066658970857164E-3</v>
      </c>
      <c r="G12" s="176">
        <f t="shared" si="1"/>
        <v>9.4665935398115502E-3</v>
      </c>
      <c r="H12" s="176">
        <f t="shared" si="1"/>
        <v>8.3960282068522227E-3</v>
      </c>
      <c r="I12" s="176">
        <f t="shared" si="1"/>
        <v>8.1462734778048294E-3</v>
      </c>
      <c r="J12" s="176">
        <f t="shared" si="1"/>
        <v>7.6204690268863035E-3</v>
      </c>
      <c r="K12" s="177">
        <f t="shared" si="1"/>
        <v>7.5137767686016604E-3</v>
      </c>
      <c r="L12" s="173"/>
      <c r="M12" s="177">
        <f>AVERAGE(D50:INDEX(D50:K50,0,MATCH('RFPR cover'!$C$7,$D$6:$K$6,0)))/AVERAGE($D$65:INDEX($D$65:$K$65,0,MATCH('RFPR cover'!$C$7,$D$6:$K$6,0)))</f>
        <v>8.6817671901896296E-3</v>
      </c>
      <c r="N12" s="177">
        <f t="shared" si="3"/>
        <v>8.6817671901896296E-3</v>
      </c>
      <c r="Z12" s="516"/>
      <c r="AA12" s="516"/>
      <c r="AB12" s="173"/>
      <c r="AC12" s="173"/>
      <c r="AD12" s="173"/>
      <c r="AE12" s="173"/>
      <c r="AF12" s="173"/>
      <c r="AG12" s="173"/>
      <c r="AH12" s="173"/>
      <c r="AI12" s="173"/>
      <c r="AJ12" s="173"/>
      <c r="AK12" s="173"/>
      <c r="AL12" s="173"/>
    </row>
    <row r="13" spans="1:41">
      <c r="B13" s="252" t="str">
        <f t="shared" si="2"/>
        <v>Broad measure of customer service</v>
      </c>
      <c r="C13" s="254" t="s">
        <v>7</v>
      </c>
      <c r="D13" s="175">
        <f t="shared" si="1"/>
        <v>7.1473455733984314E-3</v>
      </c>
      <c r="E13" s="176">
        <f t="shared" si="1"/>
        <v>6.5453121865886926E-3</v>
      </c>
      <c r="F13" s="176">
        <f t="shared" si="1"/>
        <v>7.1685481669693293E-3</v>
      </c>
      <c r="G13" s="176">
        <f t="shared" si="1"/>
        <v>6.8190643610625554E-3</v>
      </c>
      <c r="H13" s="176">
        <f t="shared" si="1"/>
        <v>5.2730865183400555E-3</v>
      </c>
      <c r="I13" s="176">
        <f t="shared" si="1"/>
        <v>5.104187193114844E-3</v>
      </c>
      <c r="J13" s="176">
        <f t="shared" si="1"/>
        <v>4.3691095394359164E-3</v>
      </c>
      <c r="K13" s="177">
        <f t="shared" si="1"/>
        <v>4.4328946283277272E-3</v>
      </c>
      <c r="L13" s="173"/>
      <c r="M13" s="177">
        <f>AVERAGE(D51:INDEX(D51:K51,0,MATCH('RFPR cover'!$C$7,$D$6:$K$6,0)))/AVERAGE($D$65:INDEX($D$65:$K$65,0,MATCH('RFPR cover'!$C$7,$D$6:$K$6,0)))</f>
        <v>5.786512199488913E-3</v>
      </c>
      <c r="N13" s="177">
        <f t="shared" si="3"/>
        <v>5.786512199488913E-3</v>
      </c>
      <c r="Z13" s="516"/>
      <c r="AA13" s="516"/>
      <c r="AB13" s="173"/>
      <c r="AC13" s="173"/>
      <c r="AD13" s="173"/>
      <c r="AE13" s="173"/>
      <c r="AF13" s="173"/>
      <c r="AG13" s="173"/>
      <c r="AH13" s="173"/>
      <c r="AI13" s="173"/>
      <c r="AJ13" s="173"/>
      <c r="AK13" s="173"/>
      <c r="AL13" s="173"/>
    </row>
    <row r="14" spans="1:41">
      <c r="B14" s="252" t="str">
        <f t="shared" si="2"/>
        <v>Interruptions-related quality of service</v>
      </c>
      <c r="C14" s="254" t="s">
        <v>7</v>
      </c>
      <c r="D14" s="175">
        <f t="shared" si="1"/>
        <v>1.1899947936832331E-2</v>
      </c>
      <c r="E14" s="176">
        <f t="shared" si="1"/>
        <v>1.2472398032410728E-2</v>
      </c>
      <c r="F14" s="176">
        <f t="shared" si="1"/>
        <v>6.5170088487667846E-3</v>
      </c>
      <c r="G14" s="176">
        <f t="shared" si="1"/>
        <v>1.232679794821933E-2</v>
      </c>
      <c r="H14" s="176">
        <f t="shared" si="1"/>
        <v>1.2023903395596464E-2</v>
      </c>
      <c r="I14" s="176">
        <f t="shared" si="1"/>
        <v>1.2173824525818611E-2</v>
      </c>
      <c r="J14" s="176">
        <f t="shared" si="1"/>
        <v>1.0131909485600747E-2</v>
      </c>
      <c r="K14" s="177">
        <f t="shared" si="1"/>
        <v>6.8872119932198213E-3</v>
      </c>
      <c r="L14" s="173"/>
      <c r="M14" s="177">
        <f>AVERAGE(D52:INDEX(D52:K52,0,MATCH('RFPR cover'!$C$7,$D$6:$K$6,0)))/AVERAGE($D$65:INDEX($D$65:$K$65,0,MATCH('RFPR cover'!$C$7,$D$6:$K$6,0)))</f>
        <v>1.0494291099120463E-2</v>
      </c>
      <c r="N14" s="177">
        <f t="shared" si="3"/>
        <v>1.0494291099120463E-2</v>
      </c>
      <c r="Z14" s="516"/>
      <c r="AA14" s="516"/>
      <c r="AB14" s="173"/>
      <c r="AC14" s="173"/>
      <c r="AD14" s="173"/>
      <c r="AE14" s="173"/>
      <c r="AF14" s="173"/>
      <c r="AG14" s="173"/>
      <c r="AH14" s="173"/>
      <c r="AI14" s="173"/>
      <c r="AJ14" s="173"/>
      <c r="AK14" s="173"/>
      <c r="AL14" s="173"/>
    </row>
    <row r="15" spans="1:41">
      <c r="B15" s="252" t="str">
        <f t="shared" si="2"/>
        <v>Incentive on connections engagement</v>
      </c>
      <c r="C15" s="254" t="s">
        <v>7</v>
      </c>
      <c r="D15" s="175">
        <f t="shared" si="1"/>
        <v>0</v>
      </c>
      <c r="E15" s="176">
        <f t="shared" si="1"/>
        <v>0</v>
      </c>
      <c r="F15" s="176">
        <f t="shared" si="1"/>
        <v>0</v>
      </c>
      <c r="G15" s="176">
        <f t="shared" si="1"/>
        <v>0</v>
      </c>
      <c r="H15" s="176">
        <f t="shared" si="1"/>
        <v>0</v>
      </c>
      <c r="I15" s="176">
        <f t="shared" si="1"/>
        <v>0</v>
      </c>
      <c r="J15" s="176">
        <f t="shared" si="1"/>
        <v>0</v>
      </c>
      <c r="K15" s="177">
        <f t="shared" si="1"/>
        <v>0</v>
      </c>
      <c r="L15" s="173"/>
      <c r="M15" s="177">
        <f>AVERAGE(D53:INDEX(D53:K53,0,MATCH('RFPR cover'!$C$7,$D$6:$K$6,0)))/AVERAGE($D$65:INDEX($D$65:$K$65,0,MATCH('RFPR cover'!$C$7,$D$6:$K$6,0)))</f>
        <v>0</v>
      </c>
      <c r="N15" s="177">
        <f t="shared" si="3"/>
        <v>0</v>
      </c>
      <c r="Z15" s="516"/>
      <c r="AA15" s="516"/>
      <c r="AB15" s="173"/>
      <c r="AC15" s="173"/>
      <c r="AD15" s="173"/>
      <c r="AE15" s="173"/>
      <c r="AF15" s="173"/>
      <c r="AG15" s="173"/>
      <c r="AH15" s="173"/>
      <c r="AI15" s="173"/>
      <c r="AJ15" s="173"/>
      <c r="AK15" s="173"/>
      <c r="AL15" s="173"/>
    </row>
    <row r="16" spans="1:41">
      <c r="B16" s="252" t="str">
        <f t="shared" si="2"/>
        <v>Time to Connect Incentive</v>
      </c>
      <c r="C16" s="254" t="s">
        <v>7</v>
      </c>
      <c r="D16" s="175">
        <f t="shared" si="1"/>
        <v>1.2604365978396692E-3</v>
      </c>
      <c r="E16" s="176">
        <f t="shared" si="1"/>
        <v>1.7789646158544786E-3</v>
      </c>
      <c r="F16" s="176">
        <f t="shared" si="1"/>
        <v>1.9304340780669862E-3</v>
      </c>
      <c r="G16" s="176">
        <f t="shared" si="1"/>
        <v>1.9976834095397572E-3</v>
      </c>
      <c r="H16" s="176">
        <f t="shared" si="1"/>
        <v>1.9684877343313324E-3</v>
      </c>
      <c r="I16" s="176">
        <f t="shared" si="1"/>
        <v>1.6217044437461191E-3</v>
      </c>
      <c r="J16" s="176">
        <f t="shared" si="1"/>
        <v>1.3269068640375708E-3</v>
      </c>
      <c r="K16" s="177">
        <f t="shared" si="1"/>
        <v>1.0208924403809917E-3</v>
      </c>
      <c r="L16" s="173"/>
      <c r="M16" s="177">
        <f>AVERAGE(D54:INDEX(D54:K54,0,MATCH('RFPR cover'!$C$7,$D$6:$K$6,0)))/AVERAGE($D$65:INDEX($D$65:$K$65,0,MATCH('RFPR cover'!$C$7,$D$6:$K$6,0)))</f>
        <v>1.6027024617910363E-3</v>
      </c>
      <c r="N16" s="177">
        <f t="shared" si="3"/>
        <v>1.6027024617910363E-3</v>
      </c>
      <c r="Z16" s="516"/>
      <c r="AA16" s="516"/>
      <c r="AB16" s="173"/>
      <c r="AC16" s="173"/>
      <c r="AD16" s="173"/>
      <c r="AE16" s="173"/>
      <c r="AF16" s="173"/>
      <c r="AG16" s="173"/>
      <c r="AH16" s="173"/>
      <c r="AI16" s="173"/>
      <c r="AJ16" s="173"/>
      <c r="AK16" s="173"/>
      <c r="AL16" s="173"/>
    </row>
    <row r="17" spans="2:38">
      <c r="B17" s="252" t="str">
        <f t="shared" si="2"/>
        <v>Losses discretionary reward scheme</v>
      </c>
      <c r="C17" s="254" t="s">
        <v>7</v>
      </c>
      <c r="D17" s="175">
        <f t="shared" si="1"/>
        <v>0</v>
      </c>
      <c r="E17" s="176">
        <f t="shared" si="1"/>
        <v>1.0652743925765868E-4</v>
      </c>
      <c r="F17" s="176">
        <f t="shared" si="1"/>
        <v>0</v>
      </c>
      <c r="G17" s="176">
        <f t="shared" si="1"/>
        <v>0</v>
      </c>
      <c r="H17" s="176">
        <f t="shared" si="1"/>
        <v>0</v>
      </c>
      <c r="I17" s="176">
        <f t="shared" si="1"/>
        <v>0</v>
      </c>
      <c r="J17" s="176">
        <f t="shared" si="1"/>
        <v>0</v>
      </c>
      <c r="K17" s="177">
        <f t="shared" si="1"/>
        <v>0</v>
      </c>
      <c r="L17" s="173"/>
      <c r="M17" s="177">
        <f>AVERAGE(D55:INDEX(D55:K55,0,MATCH('RFPR cover'!$C$7,$D$6:$K$6,0)))/AVERAGE($D$65:INDEX($D$65:$K$65,0,MATCH('RFPR cover'!$C$7,$D$6:$K$6,0)))</f>
        <v>1.2408722679577472E-5</v>
      </c>
      <c r="N17" s="177">
        <f t="shared" si="3"/>
        <v>1.2408722679577472E-5</v>
      </c>
      <c r="Z17" s="516"/>
      <c r="AA17" s="516"/>
      <c r="AB17" s="173"/>
      <c r="AC17" s="173"/>
      <c r="AD17" s="173"/>
      <c r="AE17" s="173"/>
      <c r="AF17" s="173"/>
      <c r="AG17" s="173"/>
      <c r="AH17" s="173"/>
      <c r="AI17" s="173"/>
      <c r="AJ17" s="173"/>
      <c r="AK17" s="173"/>
      <c r="AL17" s="173"/>
    </row>
    <row r="18" spans="2:38">
      <c r="B18" s="252" t="str">
        <f t="shared" si="2"/>
        <v xml:space="preserve">Network Innovation </v>
      </c>
      <c r="C18" s="254" t="s">
        <v>7</v>
      </c>
      <c r="D18" s="175">
        <f t="shared" si="1"/>
        <v>2.4397358634767642E-3</v>
      </c>
      <c r="E18" s="176">
        <f t="shared" si="1"/>
        <v>-2.5677264858365055E-4</v>
      </c>
      <c r="F18" s="176">
        <f t="shared" si="1"/>
        <v>9.4046685105408543E-4</v>
      </c>
      <c r="G18" s="176">
        <f t="shared" si="1"/>
        <v>-1.9364793429773328E-4</v>
      </c>
      <c r="H18" s="176">
        <f t="shared" si="1"/>
        <v>-2.7736401924435123E-4</v>
      </c>
      <c r="I18" s="176">
        <f t="shared" si="1"/>
        <v>-2.0874619817511371E-4</v>
      </c>
      <c r="J18" s="176">
        <f t="shared" si="1"/>
        <v>-2.2412328884555664E-4</v>
      </c>
      <c r="K18" s="177">
        <f t="shared" si="1"/>
        <v>-1.3893651567646386E-4</v>
      </c>
      <c r="L18" s="173"/>
      <c r="M18" s="177">
        <f>AVERAGE(D56:INDEX(D56:K56,0,MATCH('RFPR cover'!$C$7,$D$6:$K$6,0)))/AVERAGE($D$65:INDEX($D$65:$K$65,0,MATCH('RFPR cover'!$C$7,$D$6:$K$6,0)))</f>
        <v>2.2144549040206788E-4</v>
      </c>
      <c r="N18" s="177">
        <f t="shared" si="3"/>
        <v>2.2144549040206788E-4</v>
      </c>
      <c r="Z18" s="516"/>
      <c r="AA18" s="516"/>
      <c r="AB18" s="173"/>
      <c r="AC18" s="173"/>
      <c r="AD18" s="173"/>
      <c r="AE18" s="173"/>
      <c r="AF18" s="173"/>
      <c r="AG18" s="173"/>
      <c r="AH18" s="173"/>
      <c r="AI18" s="173"/>
      <c r="AJ18" s="173"/>
      <c r="AK18" s="173"/>
      <c r="AL18" s="173"/>
    </row>
    <row r="19" spans="2:38">
      <c r="B19" s="252" t="str">
        <f>B57</f>
        <v>Penalties and fines</v>
      </c>
      <c r="C19" s="254" t="s">
        <v>7</v>
      </c>
      <c r="D19" s="185">
        <f t="shared" si="1"/>
        <v>-1.5410984415690532E-7</v>
      </c>
      <c r="E19" s="186">
        <f t="shared" si="1"/>
        <v>0</v>
      </c>
      <c r="F19" s="186">
        <f t="shared" si="1"/>
        <v>-6.9475723477278496E-8</v>
      </c>
      <c r="G19" s="186">
        <f t="shared" si="1"/>
        <v>-6.5850053224674951E-8</v>
      </c>
      <c r="H19" s="186">
        <f t="shared" si="1"/>
        <v>-6.2143427704553882E-8</v>
      </c>
      <c r="I19" s="186">
        <f t="shared" si="1"/>
        <v>-1.0697784075195634E-5</v>
      </c>
      <c r="J19" s="186">
        <f t="shared" si="1"/>
        <v>-6.787499413635838E-3</v>
      </c>
      <c r="K19" s="187">
        <f t="shared" si="1"/>
        <v>-2.4512274910005364E-6</v>
      </c>
      <c r="L19" s="173"/>
      <c r="M19" s="187">
        <f>AVERAGE(D57:INDEX(D57:K57,0,MATCH('RFPR cover'!$C$7,$D$6:$K$6,0)))/AVERAGE($D$65:INDEX($D$65:$K$65,0,MATCH('RFPR cover'!$C$7,$D$6:$K$6,0)))</f>
        <v>-9.150748627548516E-4</v>
      </c>
      <c r="N19" s="187">
        <f t="shared" si="3"/>
        <v>-9.150748627548516E-4</v>
      </c>
      <c r="Z19" s="516"/>
      <c r="AA19" s="516"/>
      <c r="AB19" s="173"/>
      <c r="AC19" s="173"/>
      <c r="AD19" s="173"/>
      <c r="AE19" s="173"/>
      <c r="AF19" s="173"/>
      <c r="AG19" s="173"/>
      <c r="AH19" s="173"/>
      <c r="AI19" s="173"/>
      <c r="AJ19" s="173"/>
      <c r="AK19" s="173"/>
      <c r="AL19" s="173"/>
    </row>
    <row r="20" spans="2:38">
      <c r="B20" s="253" t="str">
        <f>B58</f>
        <v>RoRE - Operational performance</v>
      </c>
      <c r="C20" s="254" t="s">
        <v>7</v>
      </c>
      <c r="D20" s="188">
        <f t="shared" ref="D20:K20" si="4">SUM(D10:D19)</f>
        <v>0.12774680834718302</v>
      </c>
      <c r="E20" s="189">
        <f t="shared" si="4"/>
        <v>0.1365850324899236</v>
      </c>
      <c r="F20" s="189">
        <f t="shared" si="4"/>
        <v>3.7691047951577662E-2</v>
      </c>
      <c r="G20" s="189">
        <f t="shared" si="4"/>
        <v>0.12848099134964042</v>
      </c>
      <c r="H20" s="189">
        <f t="shared" si="4"/>
        <v>0.12457598098687482</v>
      </c>
      <c r="I20" s="189">
        <f t="shared" si="4"/>
        <v>8.5036361315803291E-2</v>
      </c>
      <c r="J20" s="189">
        <f t="shared" si="4"/>
        <v>8.4844412852151205E-2</v>
      </c>
      <c r="K20" s="190">
        <f t="shared" si="4"/>
        <v>8.9060236392822359E-2</v>
      </c>
      <c r="L20" s="174"/>
      <c r="M20" s="190">
        <f>SUM(M10:M19)</f>
        <v>0.10102186631449182</v>
      </c>
      <c r="N20" s="190">
        <f>SUM(N10:N19)</f>
        <v>0.10102186631449182</v>
      </c>
      <c r="Z20" s="516"/>
      <c r="AA20" s="516"/>
      <c r="AB20" s="173"/>
      <c r="AC20" s="173"/>
      <c r="AD20" s="173"/>
      <c r="AE20" s="173"/>
      <c r="AF20" s="173"/>
      <c r="AG20" s="173"/>
      <c r="AH20" s="173"/>
      <c r="AI20" s="173"/>
      <c r="AJ20" s="173"/>
      <c r="AK20" s="173"/>
      <c r="AL20" s="173"/>
    </row>
    <row r="21" spans="2:38">
      <c r="B21" s="252" t="str">
        <f>B59</f>
        <v>Debt performance - at notional gearing</v>
      </c>
      <c r="C21" s="254" t="s">
        <v>7</v>
      </c>
      <c r="D21" s="175">
        <f>(D59)/D$65</f>
        <v>-4.1588579043129396E-2</v>
      </c>
      <c r="E21" s="176">
        <f t="shared" ref="E21:K21" si="5">(E59)/E$65</f>
        <v>-2.2706772953182016E-2</v>
      </c>
      <c r="F21" s="176">
        <f t="shared" si="5"/>
        <v>-2.9505484111601878E-3</v>
      </c>
      <c r="G21" s="176">
        <f t="shared" si="5"/>
        <v>-1.4167562782724508E-2</v>
      </c>
      <c r="H21" s="176">
        <f t="shared" si="5"/>
        <v>-2.6087749879971627E-2</v>
      </c>
      <c r="I21" s="176">
        <f t="shared" si="5"/>
        <v>-3.9146006944067543E-2</v>
      </c>
      <c r="J21" s="176">
        <f t="shared" si="5"/>
        <v>3.3445917272403793E-2</v>
      </c>
      <c r="K21" s="177">
        <f t="shared" si="5"/>
        <v>0.11971353759276036</v>
      </c>
      <c r="L21" s="173"/>
      <c r="M21" s="177">
        <f>AVERAGE(D59:INDEX(D59:K59,0,MATCH('RFPR cover'!$C$7,$D$6:$K$6,0)))/AVERAGE($D$65:INDEX($D$65:$K$65,0,MATCH('RFPR cover'!$C$7,$D$6:$K$6,0)))</f>
        <v>3.3314814400001716E-3</v>
      </c>
      <c r="N21" s="177">
        <f>AVERAGE(D59:K59)/AVERAGE($D$65:$K$65)</f>
        <v>3.3314814400001716E-3</v>
      </c>
      <c r="Z21" s="516"/>
      <c r="AA21" s="516"/>
      <c r="AB21" s="173"/>
      <c r="AC21" s="173"/>
      <c r="AD21" s="173"/>
      <c r="AE21" s="173"/>
      <c r="AF21" s="173"/>
      <c r="AG21" s="173"/>
      <c r="AH21" s="173"/>
      <c r="AI21" s="173"/>
      <c r="AJ21" s="173"/>
      <c r="AK21" s="173"/>
      <c r="AL21" s="173"/>
    </row>
    <row r="22" spans="2:38">
      <c r="B22" s="252" t="str">
        <f>B61</f>
        <v>Tax performance - at notional gearing</v>
      </c>
      <c r="C22" s="254" t="s">
        <v>7</v>
      </c>
      <c r="D22" s="175">
        <f>(D61)/D$65</f>
        <v>5.0531251282825984E-3</v>
      </c>
      <c r="E22" s="176">
        <f t="shared" ref="E22:K22" si="6">(E61)/E$65</f>
        <v>1.9833757415953272E-2</v>
      </c>
      <c r="F22" s="176">
        <f t="shared" si="6"/>
        <v>1.6953550978815245E-2</v>
      </c>
      <c r="G22" s="176">
        <f t="shared" si="6"/>
        <v>1.3409799434992627E-2</v>
      </c>
      <c r="H22" s="176">
        <f t="shared" si="6"/>
        <v>5.2870208784790958E-3</v>
      </c>
      <c r="I22" s="176">
        <f t="shared" si="6"/>
        <v>-1.1518831978939879E-2</v>
      </c>
      <c r="J22" s="176">
        <f t="shared" si="6"/>
        <v>3.5349533726354598E-3</v>
      </c>
      <c r="K22" s="177">
        <f t="shared" si="6"/>
        <v>9.7323122904543202E-3</v>
      </c>
      <c r="L22" s="173"/>
      <c r="M22" s="177">
        <f>AVERAGE(D61:INDEX(D61:K61,0,MATCH('RFPR cover'!$C$7,$D$6:$K$6,0)))/AVERAGE($D$65:INDEX($D$65:$K$65,0,MATCH('RFPR cover'!$C$7,$D$6:$K$6,0)))</f>
        <v>7.5301565107784721E-3</v>
      </c>
      <c r="N22" s="177">
        <f>AVERAGE(D61:K61)/AVERAGE($D$65:$K$65)</f>
        <v>7.5301565107784721E-3</v>
      </c>
      <c r="Z22" s="516"/>
      <c r="AA22" s="516"/>
      <c r="AB22" s="173"/>
      <c r="AC22" s="173"/>
      <c r="AD22" s="173"/>
      <c r="AE22" s="173"/>
      <c r="AF22" s="173"/>
      <c r="AG22" s="173"/>
      <c r="AH22" s="173"/>
      <c r="AI22" s="173"/>
      <c r="AJ22" s="173"/>
      <c r="AK22" s="173"/>
      <c r="AL22" s="173"/>
    </row>
    <row r="23" spans="2:38">
      <c r="B23" s="253" t="str">
        <f>B63</f>
        <v>RoRE - including financing and tax</v>
      </c>
      <c r="C23" s="254" t="s">
        <v>7</v>
      </c>
      <c r="D23" s="191">
        <f>SUM(D20:D22)</f>
        <v>9.1211354432336217E-2</v>
      </c>
      <c r="E23" s="192">
        <f t="shared" ref="E23:K23" si="7">SUM(E20:E22)</f>
        <v>0.13371201695269486</v>
      </c>
      <c r="F23" s="192">
        <f t="shared" si="7"/>
        <v>5.1694050519232718E-2</v>
      </c>
      <c r="G23" s="192">
        <f t="shared" si="7"/>
        <v>0.12772322800190855</v>
      </c>
      <c r="H23" s="192">
        <f t="shared" si="7"/>
        <v>0.10377525198538229</v>
      </c>
      <c r="I23" s="192">
        <f t="shared" si="7"/>
        <v>3.4371522392795867E-2</v>
      </c>
      <c r="J23" s="192">
        <f t="shared" si="7"/>
        <v>0.12182528349719046</v>
      </c>
      <c r="K23" s="193">
        <f t="shared" si="7"/>
        <v>0.21850608627603704</v>
      </c>
      <c r="L23" s="174"/>
      <c r="M23" s="193">
        <f>SUM(M20:M22)</f>
        <v>0.11188350426527047</v>
      </c>
      <c r="N23" s="193">
        <f>SUM(N20:N22)</f>
        <v>0.11188350426527047</v>
      </c>
      <c r="Z23" s="516"/>
      <c r="AA23" s="516"/>
      <c r="AB23" s="173"/>
      <c r="AC23" s="173"/>
      <c r="AD23" s="173"/>
      <c r="AE23" s="173"/>
      <c r="AF23" s="173"/>
      <c r="AG23" s="173"/>
      <c r="AH23" s="173"/>
      <c r="AI23" s="173"/>
      <c r="AJ23" s="173"/>
      <c r="AK23" s="173"/>
      <c r="AL23" s="173"/>
    </row>
    <row r="24" spans="2:38">
      <c r="Z24" s="516"/>
      <c r="AA24" s="516"/>
      <c r="AB24" s="173"/>
      <c r="AC24" s="173"/>
      <c r="AD24" s="173"/>
      <c r="AE24" s="173"/>
      <c r="AF24" s="173"/>
      <c r="AG24" s="173"/>
      <c r="AH24" s="173"/>
      <c r="AI24" s="173"/>
      <c r="AJ24" s="173"/>
      <c r="AK24" s="173"/>
      <c r="AL24" s="173"/>
    </row>
    <row r="25" spans="2:38">
      <c r="Z25" s="516"/>
      <c r="AA25" s="516"/>
      <c r="AB25" s="173"/>
      <c r="AC25" s="173"/>
      <c r="AD25" s="173"/>
      <c r="AE25" s="173"/>
      <c r="AF25" s="173"/>
      <c r="AG25" s="173"/>
      <c r="AH25" s="173"/>
      <c r="AI25" s="173"/>
      <c r="AJ25" s="173"/>
      <c r="AK25" s="173"/>
      <c r="AL25" s="173"/>
    </row>
    <row r="26" spans="2:38" s="31" customFormat="1">
      <c r="B26" s="469"/>
      <c r="C26" s="365"/>
      <c r="Q26"/>
      <c r="R26"/>
      <c r="S26"/>
      <c r="T26"/>
      <c r="U26"/>
      <c r="V26"/>
      <c r="W26"/>
      <c r="X26"/>
      <c r="Y26"/>
      <c r="Z26" s="516"/>
      <c r="AA26" s="516"/>
      <c r="AB26" s="173"/>
      <c r="AC26" s="173"/>
      <c r="AD26" s="173"/>
      <c r="AE26" s="173"/>
      <c r="AF26" s="173"/>
      <c r="AG26" s="173"/>
      <c r="AH26" s="173"/>
      <c r="AI26" s="173"/>
      <c r="AJ26" s="173"/>
      <c r="AK26" s="173"/>
      <c r="AL26" s="173"/>
    </row>
    <row r="27" spans="2:38">
      <c r="B27" s="528" t="s">
        <v>216</v>
      </c>
      <c r="C27" s="423"/>
      <c r="D27" s="217"/>
      <c r="E27" s="217"/>
      <c r="F27" s="217"/>
      <c r="G27" s="217"/>
      <c r="H27" s="217"/>
      <c r="I27" s="217"/>
      <c r="J27" s="217"/>
      <c r="K27" s="217"/>
      <c r="L27" s="529"/>
      <c r="M27" s="217"/>
      <c r="N27" s="217"/>
      <c r="O27" s="217"/>
      <c r="Z27" s="516"/>
      <c r="AA27" s="516"/>
      <c r="AB27" s="173"/>
      <c r="AC27" s="173"/>
      <c r="AD27" s="173"/>
      <c r="AE27" s="173"/>
      <c r="AF27" s="173"/>
      <c r="AG27" s="173"/>
      <c r="AH27" s="173"/>
      <c r="AI27" s="173"/>
      <c r="AJ27" s="173"/>
      <c r="AK27" s="173"/>
      <c r="AL27" s="173"/>
    </row>
    <row r="28" spans="2:38">
      <c r="B28" s="197"/>
      <c r="L28" s="49"/>
      <c r="Z28" s="516"/>
      <c r="AA28" s="516"/>
      <c r="AB28" s="173"/>
      <c r="AC28" s="173"/>
      <c r="AD28" s="173"/>
      <c r="AE28" s="173"/>
      <c r="AF28" s="173"/>
      <c r="AG28" s="173"/>
      <c r="AH28" s="173"/>
      <c r="AI28" s="173"/>
      <c r="AJ28" s="173"/>
      <c r="AK28" s="173"/>
      <c r="AL28" s="173"/>
    </row>
    <row r="29" spans="2:38">
      <c r="B29" s="252" t="s">
        <v>215</v>
      </c>
      <c r="C29" s="254" t="s">
        <v>7</v>
      </c>
      <c r="D29" s="175">
        <f t="shared" ref="D29:K38" si="8">D48/D$66</f>
        <v>6.1120738976257118E-2</v>
      </c>
      <c r="E29" s="176">
        <f t="shared" si="8"/>
        <v>6.0058392128317199E-2</v>
      </c>
      <c r="F29" s="176">
        <f t="shared" si="8"/>
        <v>5.6701469788597088E-2</v>
      </c>
      <c r="G29" s="176">
        <f t="shared" si="8"/>
        <v>5.5530199017820643E-2</v>
      </c>
      <c r="H29" s="176">
        <f t="shared" si="8"/>
        <v>5.3453156299899801E-2</v>
      </c>
      <c r="I29" s="176">
        <f t="shared" si="8"/>
        <v>5.4517516738910997E-2</v>
      </c>
      <c r="J29" s="176">
        <f t="shared" si="8"/>
        <v>5.2543938316542617E-2</v>
      </c>
      <c r="K29" s="177">
        <f t="shared" si="8"/>
        <v>4.8489301511451428E-2</v>
      </c>
      <c r="L29" s="173"/>
      <c r="M29" s="506">
        <f>AVERAGE(D48:INDEX(D48:K48,0,MATCH('RFPR cover'!$C$7,$D$6:$K$6,0)))/AVERAGE($D$66:INDEX($D$66:$K$66,0,MATCH('RFPR cover'!$C$7,$D$6:$K$6,0)))</f>
        <v>5.4785479064269275E-2</v>
      </c>
      <c r="N29" s="506">
        <f>AVERAGE(D48:K48)/AVERAGE($D$66:$K$66)</f>
        <v>5.4785479064269275E-2</v>
      </c>
      <c r="P29" s="322"/>
      <c r="Z29" s="516"/>
      <c r="AA29" s="516"/>
      <c r="AB29" s="173"/>
      <c r="AC29" s="173"/>
      <c r="AD29" s="173"/>
      <c r="AE29" s="173"/>
      <c r="AF29" s="173"/>
      <c r="AG29" s="173"/>
      <c r="AH29" s="173"/>
      <c r="AI29" s="173"/>
      <c r="AJ29" s="173"/>
      <c r="AK29" s="173"/>
      <c r="AL29" s="173"/>
    </row>
    <row r="30" spans="2:38">
      <c r="B30" s="252" t="str">
        <f t="shared" ref="B30:B37" si="9">B49</f>
        <v>Totex outperformance</v>
      </c>
      <c r="C30" s="254" t="s">
        <v>7</v>
      </c>
      <c r="D30" s="175">
        <f t="shared" si="8"/>
        <v>2.9593274039452638E-2</v>
      </c>
      <c r="E30" s="176">
        <f t="shared" si="8"/>
        <v>3.9669185370753916E-2</v>
      </c>
      <c r="F30" s="176">
        <f t="shared" si="8"/>
        <v>-4.6045142993321624E-2</v>
      </c>
      <c r="G30" s="176">
        <f t="shared" si="8"/>
        <v>2.9556439414285936E-2</v>
      </c>
      <c r="H30" s="176">
        <f t="shared" si="8"/>
        <v>2.7722060746591271E-2</v>
      </c>
      <c r="I30" s="176">
        <f t="shared" si="8"/>
        <v>-4.9322886220289361E-3</v>
      </c>
      <c r="J30" s="176">
        <f t="shared" si="8"/>
        <v>3.6186687162479787E-3</v>
      </c>
      <c r="K30" s="177">
        <f t="shared" si="8"/>
        <v>4.0510146815535232E-3</v>
      </c>
      <c r="L30" s="173"/>
      <c r="M30" s="177">
        <f>AVERAGE(D49:INDEX(D49:K49,0,MATCH('RFPR cover'!$C$7,$D$6:$K$6,0)))/AVERAGE($D$66:INDEX($D$66:$K$66,0,MATCH('RFPR cover'!$C$7,$D$6:$K$6,0)))</f>
        <v>9.534226194725581E-3</v>
      </c>
      <c r="N30" s="177">
        <f t="shared" ref="N30:N38" si="10">AVERAGE(D49:K49)/AVERAGE($D$66:$K$66)</f>
        <v>9.534226194725581E-3</v>
      </c>
      <c r="Z30" s="516"/>
      <c r="AA30" s="516"/>
      <c r="AB30" s="173"/>
      <c r="AC30" s="173"/>
      <c r="AD30" s="173"/>
      <c r="AE30" s="173"/>
      <c r="AF30" s="173"/>
      <c r="AG30" s="173"/>
      <c r="AH30" s="173"/>
      <c r="AI30" s="173"/>
      <c r="AJ30" s="173"/>
      <c r="AK30" s="173"/>
      <c r="AL30" s="173"/>
    </row>
    <row r="31" spans="2:38">
      <c r="B31" s="252" t="str">
        <f t="shared" si="9"/>
        <v>IQI Reward</v>
      </c>
      <c r="C31" s="254" t="s">
        <v>7</v>
      </c>
      <c r="D31" s="175">
        <f t="shared" si="8"/>
        <v>9.5617185050316713E-3</v>
      </c>
      <c r="E31" s="176">
        <f t="shared" si="8"/>
        <v>9.0706424015400862E-3</v>
      </c>
      <c r="F31" s="176">
        <f t="shared" si="8"/>
        <v>8.0681459568508317E-3</v>
      </c>
      <c r="G31" s="176">
        <f t="shared" si="8"/>
        <v>8.2137784888523507E-3</v>
      </c>
      <c r="H31" s="176">
        <f t="shared" si="8"/>
        <v>7.0124095006131142E-3</v>
      </c>
      <c r="I31" s="176">
        <f t="shared" si="8"/>
        <v>6.9392906357183034E-3</v>
      </c>
      <c r="J31" s="176">
        <f t="shared" si="8"/>
        <v>6.2563977264349611E-3</v>
      </c>
      <c r="K31" s="177">
        <f t="shared" si="8"/>
        <v>5.6927779253510176E-3</v>
      </c>
      <c r="L31" s="173"/>
      <c r="M31" s="177">
        <f>AVERAGE(D50:INDEX(D50:K50,0,MATCH('RFPR cover'!$C$7,$D$6:$K$6,0)))/AVERAGE($D$66:INDEX($D$66:$K$66,0,MATCH('RFPR cover'!$C$7,$D$6:$K$6,0)))</f>
        <v>7.4317933537342796E-3</v>
      </c>
      <c r="N31" s="177">
        <f t="shared" si="10"/>
        <v>7.4317933537342796E-3</v>
      </c>
      <c r="Z31" s="516"/>
      <c r="AA31" s="516"/>
      <c r="AB31" s="173"/>
      <c r="AC31" s="173"/>
      <c r="AD31" s="173"/>
      <c r="AE31" s="173"/>
      <c r="AF31" s="173"/>
      <c r="AG31" s="173"/>
      <c r="AH31" s="173"/>
      <c r="AI31" s="173"/>
      <c r="AJ31" s="173"/>
      <c r="AK31" s="173"/>
      <c r="AL31" s="173"/>
    </row>
    <row r="32" spans="2:38">
      <c r="B32" s="252" t="str">
        <f t="shared" si="9"/>
        <v>Broad measure of customer service</v>
      </c>
      <c r="C32" s="254" t="s">
        <v>7</v>
      </c>
      <c r="D32" s="175">
        <f t="shared" si="8"/>
        <v>6.8257975494498795E-3</v>
      </c>
      <c r="E32" s="176">
        <f t="shared" si="8"/>
        <v>6.1422019672562039E-3</v>
      </c>
      <c r="F32" s="176">
        <f t="shared" si="8"/>
        <v>6.3510502705861642E-3</v>
      </c>
      <c r="G32" s="176">
        <f t="shared" si="8"/>
        <v>5.9166250169551821E-3</v>
      </c>
      <c r="H32" s="176">
        <f t="shared" si="8"/>
        <v>4.40411121637071E-3</v>
      </c>
      <c r="I32" s="176">
        <f t="shared" si="8"/>
        <v>4.3479314177995877E-3</v>
      </c>
      <c r="J32" s="176">
        <f t="shared" si="8"/>
        <v>3.5870347209115429E-3</v>
      </c>
      <c r="K32" s="177">
        <f t="shared" si="8"/>
        <v>3.3585619406480719E-3</v>
      </c>
      <c r="L32" s="173"/>
      <c r="M32" s="177">
        <f>AVERAGE(D51:INDEX(D51:K51,0,MATCH('RFPR cover'!$C$7,$D$6:$K$6,0)))/AVERAGE($D$66:INDEX($D$66:$K$66,0,MATCH('RFPR cover'!$C$7,$D$6:$K$6,0)))</f>
        <v>4.9533881712537286E-3</v>
      </c>
      <c r="N32" s="177">
        <f t="shared" si="10"/>
        <v>4.9533881712537286E-3</v>
      </c>
      <c r="Z32" s="516"/>
      <c r="AA32" s="516"/>
      <c r="AB32" s="173"/>
      <c r="AC32" s="173"/>
      <c r="AD32" s="173"/>
      <c r="AE32" s="173"/>
      <c r="AF32" s="173"/>
      <c r="AG32" s="173"/>
      <c r="AH32" s="173"/>
      <c r="AI32" s="173"/>
      <c r="AJ32" s="173"/>
      <c r="AK32" s="173"/>
      <c r="AL32" s="173"/>
    </row>
    <row r="33" spans="2:38">
      <c r="B33" s="252" t="str">
        <f t="shared" si="9"/>
        <v>Interruptions-related quality of service</v>
      </c>
      <c r="C33" s="254" t="s">
        <v>7</v>
      </c>
      <c r="D33" s="175">
        <f t="shared" si="8"/>
        <v>1.1364587682471537E-2</v>
      </c>
      <c r="E33" s="176">
        <f t="shared" si="8"/>
        <v>1.1704252684546492E-2</v>
      </c>
      <c r="F33" s="176">
        <f t="shared" si="8"/>
        <v>5.7738121929745275E-3</v>
      </c>
      <c r="G33" s="176">
        <f t="shared" si="8"/>
        <v>1.0695461614329414E-2</v>
      </c>
      <c r="H33" s="176">
        <f t="shared" si="8"/>
        <v>1.0042431055308026E-2</v>
      </c>
      <c r="I33" s="176">
        <f t="shared" si="8"/>
        <v>1.0370104411920019E-2</v>
      </c>
      <c r="J33" s="176">
        <f t="shared" si="8"/>
        <v>8.318287922503104E-3</v>
      </c>
      <c r="K33" s="177">
        <f t="shared" si="8"/>
        <v>5.2180640455081299E-3</v>
      </c>
      <c r="L33" s="173"/>
      <c r="M33" s="177">
        <f>AVERAGE(D52:INDEX(D52:K52,0,MATCH('RFPR cover'!$C$7,$D$6:$K$6,0)))/AVERAGE($D$66:INDEX($D$66:$K$66,0,MATCH('RFPR cover'!$C$7,$D$6:$K$6,0)))</f>
        <v>8.9833557078939294E-3</v>
      </c>
      <c r="N33" s="177">
        <f t="shared" si="10"/>
        <v>8.9833557078939294E-3</v>
      </c>
      <c r="Z33" s="516"/>
      <c r="AA33" s="516"/>
      <c r="AB33" s="173"/>
      <c r="AC33" s="173"/>
      <c r="AD33" s="173"/>
      <c r="AE33" s="173"/>
      <c r="AF33" s="173"/>
      <c r="AG33" s="173"/>
      <c r="AH33" s="173"/>
      <c r="AI33" s="173"/>
      <c r="AJ33" s="173"/>
      <c r="AK33" s="173"/>
      <c r="AL33" s="173"/>
    </row>
    <row r="34" spans="2:38">
      <c r="B34" s="252" t="str">
        <f t="shared" si="9"/>
        <v>Incentive on connections engagement</v>
      </c>
      <c r="C34" s="254" t="s">
        <v>7</v>
      </c>
      <c r="D34" s="175">
        <f t="shared" si="8"/>
        <v>0</v>
      </c>
      <c r="E34" s="176">
        <f t="shared" si="8"/>
        <v>0</v>
      </c>
      <c r="F34" s="176">
        <f t="shared" si="8"/>
        <v>0</v>
      </c>
      <c r="G34" s="176">
        <f t="shared" si="8"/>
        <v>0</v>
      </c>
      <c r="H34" s="176">
        <f t="shared" si="8"/>
        <v>0</v>
      </c>
      <c r="I34" s="176">
        <f t="shared" si="8"/>
        <v>0</v>
      </c>
      <c r="J34" s="176">
        <f t="shared" si="8"/>
        <v>0</v>
      </c>
      <c r="K34" s="177">
        <f t="shared" si="8"/>
        <v>0</v>
      </c>
      <c r="L34" s="173"/>
      <c r="M34" s="177">
        <f>AVERAGE(D53:INDEX(D53:K53,0,MATCH('RFPR cover'!$C$7,$D$6:$K$6,0)))/AVERAGE($D$66:INDEX($D$66:$K$66,0,MATCH('RFPR cover'!$C$7,$D$6:$K$6,0)))</f>
        <v>0</v>
      </c>
      <c r="N34" s="177">
        <f t="shared" si="10"/>
        <v>0</v>
      </c>
      <c r="Z34" s="516"/>
      <c r="AA34" s="516"/>
      <c r="AB34" s="173"/>
      <c r="AC34" s="173"/>
      <c r="AD34" s="173"/>
      <c r="AE34" s="173"/>
      <c r="AF34" s="173"/>
      <c r="AG34" s="173"/>
      <c r="AH34" s="173"/>
      <c r="AI34" s="173"/>
      <c r="AJ34" s="173"/>
      <c r="AK34" s="173"/>
      <c r="AL34" s="173"/>
    </row>
    <row r="35" spans="2:38">
      <c r="B35" s="252" t="str">
        <f t="shared" si="9"/>
        <v>Time to Connect Incentive</v>
      </c>
      <c r="C35" s="254" t="s">
        <v>7</v>
      </c>
      <c r="D35" s="175">
        <f t="shared" si="8"/>
        <v>1.203731504573125E-3</v>
      </c>
      <c r="E35" s="176">
        <f t="shared" si="8"/>
        <v>1.6694024137717102E-3</v>
      </c>
      <c r="F35" s="176">
        <f t="shared" si="8"/>
        <v>1.7102882743186484E-3</v>
      </c>
      <c r="G35" s="176">
        <f t="shared" si="8"/>
        <v>1.7333087079115816E-3</v>
      </c>
      <c r="H35" s="176">
        <f t="shared" si="8"/>
        <v>1.6440919146507554E-3</v>
      </c>
      <c r="I35" s="176">
        <f t="shared" si="8"/>
        <v>1.3814265493358653E-3</v>
      </c>
      <c r="J35" s="176">
        <f t="shared" si="8"/>
        <v>1.0893892564966738E-3</v>
      </c>
      <c r="K35" s="177">
        <f t="shared" si="8"/>
        <v>7.7347439613117746E-4</v>
      </c>
      <c r="L35" s="173"/>
      <c r="M35" s="177">
        <f>AVERAGE(D54:INDEX(D54:K54,0,MATCH('RFPR cover'!$C$7,$D$6:$K$6,0)))/AVERAGE($D$66:INDEX($D$66:$K$66,0,MATCH('RFPR cover'!$C$7,$D$6:$K$6,0)))</f>
        <v>1.3719503463547756E-3</v>
      </c>
      <c r="N35" s="177">
        <f t="shared" si="10"/>
        <v>1.3719503463547756E-3</v>
      </c>
      <c r="Z35" s="516"/>
      <c r="AA35" s="516"/>
      <c r="AB35" s="173"/>
      <c r="AC35" s="173"/>
      <c r="AD35" s="173"/>
      <c r="AE35" s="173"/>
      <c r="AF35" s="173"/>
      <c r="AG35" s="173"/>
      <c r="AH35" s="173"/>
      <c r="AI35" s="173"/>
      <c r="AJ35" s="173"/>
      <c r="AK35" s="173"/>
      <c r="AL35" s="173"/>
    </row>
    <row r="36" spans="2:38">
      <c r="B36" s="252" t="str">
        <f t="shared" si="9"/>
        <v>Losses discretionary reward scheme</v>
      </c>
      <c r="C36" s="254" t="s">
        <v>7</v>
      </c>
      <c r="D36" s="175">
        <f t="shared" si="8"/>
        <v>0</v>
      </c>
      <c r="E36" s="176">
        <f t="shared" si="8"/>
        <v>9.9966667490030585E-5</v>
      </c>
      <c r="F36" s="176">
        <f t="shared" si="8"/>
        <v>0</v>
      </c>
      <c r="G36" s="176">
        <f t="shared" si="8"/>
        <v>0</v>
      </c>
      <c r="H36" s="176">
        <f t="shared" si="8"/>
        <v>0</v>
      </c>
      <c r="I36" s="176">
        <f t="shared" si="8"/>
        <v>0</v>
      </c>
      <c r="J36" s="176">
        <f t="shared" si="8"/>
        <v>0</v>
      </c>
      <c r="K36" s="177">
        <f t="shared" si="8"/>
        <v>0</v>
      </c>
      <c r="L36" s="173"/>
      <c r="M36" s="177">
        <f>AVERAGE(D55:INDEX(D55:K55,0,MATCH('RFPR cover'!$C$7,$D$6:$K$6,0)))/AVERAGE($D$66:INDEX($D$66:$K$66,0,MATCH('RFPR cover'!$C$7,$D$6:$K$6,0)))</f>
        <v>1.062215338400492E-5</v>
      </c>
      <c r="N36" s="177">
        <f t="shared" si="10"/>
        <v>1.062215338400492E-5</v>
      </c>
      <c r="Z36" s="516"/>
      <c r="AA36" s="516"/>
      <c r="AB36" s="173"/>
      <c r="AC36" s="173"/>
      <c r="AD36" s="173"/>
      <c r="AE36" s="173"/>
      <c r="AF36" s="173"/>
      <c r="AG36" s="173"/>
      <c r="AH36" s="173"/>
      <c r="AI36" s="173"/>
      <c r="AJ36" s="173"/>
      <c r="AK36" s="173"/>
      <c r="AL36" s="173"/>
    </row>
    <row r="37" spans="2:38">
      <c r="B37" s="252" t="str">
        <f t="shared" si="9"/>
        <v xml:space="preserve">Network Innovation </v>
      </c>
      <c r="C37" s="254" t="s">
        <v>7</v>
      </c>
      <c r="D37" s="175">
        <f t="shared" si="8"/>
        <v>2.329975920040259E-3</v>
      </c>
      <c r="E37" s="176">
        <f t="shared" si="8"/>
        <v>-2.4095863150724186E-4</v>
      </c>
      <c r="F37" s="176">
        <f t="shared" si="8"/>
        <v>8.3321644909719163E-4</v>
      </c>
      <c r="G37" s="176">
        <f t="shared" si="8"/>
        <v>-1.6802044267098413E-4</v>
      </c>
      <c r="H37" s="176">
        <f t="shared" si="8"/>
        <v>-2.3165597300994878E-4</v>
      </c>
      <c r="I37" s="176">
        <f t="shared" si="8"/>
        <v>-1.7781756801868426E-4</v>
      </c>
      <c r="J37" s="176">
        <f t="shared" si="8"/>
        <v>-1.8400500413127488E-4</v>
      </c>
      <c r="K37" s="177">
        <f t="shared" si="8"/>
        <v>-1.0526460311853992E-4</v>
      </c>
      <c r="L37" s="173"/>
      <c r="M37" s="177">
        <f>AVERAGE(D56:INDEX(D56:K56,0,MATCH('RFPR cover'!$C$7,$D$6:$K$6,0)))/AVERAGE($D$66:INDEX($D$66:$K$66,0,MATCH('RFPR cover'!$C$7,$D$6:$K$6,0)))</f>
        <v>1.8956245747342709E-4</v>
      </c>
      <c r="N37" s="177">
        <f t="shared" si="10"/>
        <v>1.8956245747342709E-4</v>
      </c>
      <c r="Z37" s="516"/>
      <c r="AA37" s="516"/>
      <c r="AB37" s="173"/>
      <c r="AC37" s="173"/>
      <c r="AD37" s="173"/>
      <c r="AE37" s="173"/>
      <c r="AF37" s="173"/>
      <c r="AG37" s="173"/>
      <c r="AH37" s="173"/>
      <c r="AI37" s="173"/>
      <c r="AJ37" s="173"/>
      <c r="AK37" s="173"/>
      <c r="AL37" s="173"/>
    </row>
    <row r="38" spans="2:38">
      <c r="B38" s="252" t="str">
        <f>B57</f>
        <v>Penalties and fines</v>
      </c>
      <c r="C38" s="254" t="s">
        <v>7</v>
      </c>
      <c r="D38" s="185">
        <f t="shared" si="8"/>
        <v>-1.4717668059977929E-7</v>
      </c>
      <c r="E38" s="186">
        <f t="shared" si="8"/>
        <v>0</v>
      </c>
      <c r="F38" s="186">
        <f t="shared" si="8"/>
        <v>-6.1552744309184886E-8</v>
      </c>
      <c r="G38" s="186">
        <f t="shared" si="8"/>
        <v>-5.71354150140669E-8</v>
      </c>
      <c r="H38" s="186">
        <f t="shared" si="8"/>
        <v>-5.190253678286004E-8</v>
      </c>
      <c r="I38" s="186">
        <f t="shared" si="8"/>
        <v>-9.1127597248239583E-6</v>
      </c>
      <c r="J38" s="186">
        <f t="shared" si="8"/>
        <v>-5.5725304767757925E-3</v>
      </c>
      <c r="K38" s="187">
        <f t="shared" si="8"/>
        <v>-1.8571610763169312E-6</v>
      </c>
      <c r="L38" s="173"/>
      <c r="M38" s="187">
        <f>AVERAGE(D57:INDEX(D57:K57,0,MATCH('RFPR cover'!$C$7,$D$6:$K$6,0)))/AVERAGE($D$66:INDEX($D$66:$K$66,0,MATCH('RFPR cover'!$C$7,$D$6:$K$6,0)))</f>
        <v>-7.8332523024523442E-4</v>
      </c>
      <c r="N38" s="187">
        <f t="shared" si="10"/>
        <v>-7.8332523024523442E-4</v>
      </c>
      <c r="Z38" s="516"/>
      <c r="AA38" s="516"/>
      <c r="AB38" s="173"/>
      <c r="AC38" s="173"/>
      <c r="AD38" s="173"/>
      <c r="AE38" s="173"/>
      <c r="AF38" s="173"/>
      <c r="AG38" s="173"/>
      <c r="AH38" s="173"/>
      <c r="AI38" s="173"/>
      <c r="AJ38" s="173"/>
      <c r="AK38" s="173"/>
      <c r="AL38" s="173"/>
    </row>
    <row r="39" spans="2:38">
      <c r="B39" s="253" t="str">
        <f>B58</f>
        <v>RoRE - Operational performance</v>
      </c>
      <c r="C39" s="254" t="s">
        <v>7</v>
      </c>
      <c r="D39" s="188">
        <f t="shared" ref="D39:K39" si="11">SUM(D29:D38)</f>
        <v>0.12199967700059561</v>
      </c>
      <c r="E39" s="189">
        <f t="shared" si="11"/>
        <v>0.1281730850021684</v>
      </c>
      <c r="F39" s="189">
        <f t="shared" si="11"/>
        <v>3.3392778386358526E-2</v>
      </c>
      <c r="G39" s="189">
        <f t="shared" si="11"/>
        <v>0.1114777346820691</v>
      </c>
      <c r="H39" s="189">
        <f t="shared" si="11"/>
        <v>0.10404655285788696</v>
      </c>
      <c r="I39" s="189">
        <f t="shared" si="11"/>
        <v>7.2437050803912315E-2</v>
      </c>
      <c r="J39" s="189">
        <f t="shared" si="11"/>
        <v>6.9657181178229804E-2</v>
      </c>
      <c r="K39" s="190">
        <f t="shared" si="11"/>
        <v>6.7476072736448497E-2</v>
      </c>
      <c r="L39" s="174"/>
      <c r="M39" s="190">
        <f>SUM(M29:M38)</f>
        <v>8.6477052218843747E-2</v>
      </c>
      <c r="N39" s="190">
        <f>SUM(N29:N38)</f>
        <v>8.6477052218843747E-2</v>
      </c>
      <c r="Z39" s="516"/>
      <c r="AA39" s="516"/>
      <c r="AB39" s="173"/>
      <c r="AC39" s="173"/>
      <c r="AD39" s="173"/>
      <c r="AE39" s="173"/>
      <c r="AF39" s="173"/>
      <c r="AG39" s="173"/>
      <c r="AH39" s="173"/>
      <c r="AI39" s="173"/>
      <c r="AJ39" s="173"/>
      <c r="AK39" s="173"/>
      <c r="AL39" s="173"/>
    </row>
    <row r="40" spans="2:38">
      <c r="B40" s="252" t="s">
        <v>450</v>
      </c>
      <c r="C40" s="254" t="s">
        <v>7</v>
      </c>
      <c r="D40" s="175">
        <f>(D59+D60)/D$66</f>
        <v>-3.7792344046817791E-2</v>
      </c>
      <c r="E40" s="176">
        <f t="shared" ref="E40:K40" si="12">(E59+E60)/E$66</f>
        <v>-1.9382673577395412E-2</v>
      </c>
      <c r="F40" s="176">
        <f t="shared" si="12"/>
        <v>-3.8222924315537815E-4</v>
      </c>
      <c r="G40" s="176">
        <f t="shared" si="12"/>
        <v>-9.2355909962064595E-3</v>
      </c>
      <c r="H40" s="176">
        <f t="shared" si="12"/>
        <v>-1.7364686198255475E-2</v>
      </c>
      <c r="I40" s="176">
        <f t="shared" si="12"/>
        <v>-2.8914759236171032E-2</v>
      </c>
      <c r="J40" s="176">
        <f t="shared" si="12"/>
        <v>2.5337306548550813E-2</v>
      </c>
      <c r="K40" s="177">
        <f t="shared" si="12"/>
        <v>7.5843544951958192E-2</v>
      </c>
      <c r="L40" s="173"/>
      <c r="M40" s="177">
        <f>(AVERAGE(D59:INDEX(D59:K59,0,MATCH('RFPR cover'!$C$7,$D$6:$K$6,0)))+AVERAGE(D60:INDEX(D60:K60,0,MATCH('RFPR cover'!$C$7,$D$6:$K$6,0))))/AVERAGE($D$66:INDEX($D$66:$K$66,0,MATCH('RFPR cover'!$C$7,$D$6:$K$6,0)))</f>
        <v>2.3988491524909606E-3</v>
      </c>
      <c r="N40" s="177">
        <f>(AVERAGE(D59:K59)+AVERAGE(D60:K60))/AVERAGE($D$66:$K$66)</f>
        <v>2.3988491524909606E-3</v>
      </c>
      <c r="Z40" s="516"/>
      <c r="AA40" s="516"/>
      <c r="AB40" s="173"/>
      <c r="AC40" s="173"/>
      <c r="AD40" s="173"/>
      <c r="AE40" s="173"/>
      <c r="AF40" s="173"/>
      <c r="AG40" s="173"/>
      <c r="AH40" s="173"/>
      <c r="AI40" s="173"/>
      <c r="AJ40" s="173"/>
      <c r="AK40" s="173"/>
      <c r="AL40" s="173"/>
    </row>
    <row r="41" spans="2:38">
      <c r="B41" s="252" t="s">
        <v>451</v>
      </c>
      <c r="C41" s="254" t="s">
        <v>7</v>
      </c>
      <c r="D41" s="175">
        <f>(D61+D62)/D$66</f>
        <v>4.8257928434394734E-3</v>
      </c>
      <c r="E41" s="176">
        <f t="shared" ref="E41:K41" si="13">(E61+E62)/E$66</f>
        <v>1.8612243441644388E-2</v>
      </c>
      <c r="F41" s="176">
        <f t="shared" si="13"/>
        <v>1.502017591616771E-2</v>
      </c>
      <c r="G41" s="176">
        <f t="shared" si="13"/>
        <v>1.1635137990846861E-2</v>
      </c>
      <c r="H41" s="176">
        <f t="shared" si="13"/>
        <v>4.4157492715340115E-3</v>
      </c>
      <c r="I41" s="176">
        <f t="shared" si="13"/>
        <v>-9.8121580503837194E-3</v>
      </c>
      <c r="J41" s="176">
        <f t="shared" si="13"/>
        <v>2.9021933119314359E-3</v>
      </c>
      <c r="K41" s="177">
        <f t="shared" si="13"/>
        <v>7.3736410164913111E-3</v>
      </c>
      <c r="L41" s="173"/>
      <c r="M41" s="177">
        <f>(AVERAGE(D61:INDEX(D61:K61,0,MATCH('RFPR cover'!$C$7,$D$6:$K$6,0)))+AVERAGE(D62:INDEX(D62:K62,0,MATCH('RFPR cover'!$C$7,$D$6:$K$6,0))))/AVERAGE($D$66:INDEX($D$66:$K$66,0,MATCH('RFPR cover'!$C$7,$D$6:$K$6,0)))</f>
        <v>6.4459879979988262E-3</v>
      </c>
      <c r="N41" s="177">
        <f>(AVERAGE(D61:K61)+AVERAGE(D62:K62))/AVERAGE($D$66:$K$66)</f>
        <v>6.4459879979988262E-3</v>
      </c>
      <c r="Z41" s="516"/>
      <c r="AA41" s="516"/>
      <c r="AB41" s="173"/>
      <c r="AC41" s="173"/>
      <c r="AD41" s="173"/>
      <c r="AE41" s="173"/>
      <c r="AF41" s="173"/>
      <c r="AG41" s="173"/>
      <c r="AH41" s="173"/>
      <c r="AI41" s="173"/>
      <c r="AJ41" s="173"/>
      <c r="AK41" s="173"/>
      <c r="AL41" s="173"/>
    </row>
    <row r="42" spans="2:38">
      <c r="B42" s="253" t="str">
        <f>B63</f>
        <v>RoRE - including financing and tax</v>
      </c>
      <c r="C42" s="254" t="s">
        <v>7</v>
      </c>
      <c r="D42" s="191">
        <f>SUM(D39:D41)</f>
        <v>8.9033125797217283E-2</v>
      </c>
      <c r="E42" s="192">
        <f t="shared" ref="E42:K42" si="14">SUM(E39:E41)</f>
        <v>0.12740265486641739</v>
      </c>
      <c r="F42" s="192">
        <f t="shared" si="14"/>
        <v>4.8030725059370859E-2</v>
      </c>
      <c r="G42" s="192">
        <f t="shared" si="14"/>
        <v>0.11387728167670952</v>
      </c>
      <c r="H42" s="192">
        <f t="shared" si="14"/>
        <v>9.1097615931165499E-2</v>
      </c>
      <c r="I42" s="192">
        <f t="shared" si="14"/>
        <v>3.3710133517357563E-2</v>
      </c>
      <c r="J42" s="192">
        <f t="shared" si="14"/>
        <v>9.7896681038712061E-2</v>
      </c>
      <c r="K42" s="193">
        <f t="shared" si="14"/>
        <v>0.150693258704898</v>
      </c>
      <c r="L42" s="174"/>
      <c r="M42" s="193">
        <f>SUM(M39:M41)</f>
        <v>9.5321889369333529E-2</v>
      </c>
      <c r="N42" s="193">
        <f>SUM(N39:N41)</f>
        <v>9.5321889369333529E-2</v>
      </c>
      <c r="Z42" s="516"/>
      <c r="AA42" s="516"/>
      <c r="AB42" s="173"/>
      <c r="AC42" s="173"/>
      <c r="AD42" s="173"/>
      <c r="AE42" s="173"/>
      <c r="AF42" s="173"/>
      <c r="AG42" s="173"/>
      <c r="AH42" s="173"/>
      <c r="AI42" s="173"/>
      <c r="AJ42" s="173"/>
      <c r="AK42" s="173"/>
      <c r="AL42" s="173"/>
    </row>
    <row r="43" spans="2:38" s="31" customFormat="1">
      <c r="B43" s="470"/>
      <c r="C43" s="471"/>
      <c r="D43" s="472"/>
      <c r="E43" s="472"/>
      <c r="F43" s="472"/>
      <c r="G43" s="472"/>
      <c r="H43" s="472"/>
      <c r="I43" s="472"/>
      <c r="J43" s="472"/>
      <c r="K43" s="472"/>
      <c r="L43" s="473"/>
      <c r="M43" s="472"/>
      <c r="N43" s="472"/>
      <c r="Q43"/>
      <c r="R43"/>
      <c r="S43"/>
      <c r="T43"/>
      <c r="U43"/>
      <c r="V43"/>
      <c r="W43"/>
      <c r="X43"/>
      <c r="Y43"/>
      <c r="Z43" s="516"/>
      <c r="AA43" s="516"/>
      <c r="AB43" s="516"/>
      <c r="AC43" s="516"/>
      <c r="AD43" s="516"/>
      <c r="AE43" s="516"/>
      <c r="AF43" s="516"/>
      <c r="AG43" s="516"/>
      <c r="AH43" s="516"/>
      <c r="AI43" s="516"/>
      <c r="AJ43" s="516"/>
      <c r="AK43" s="516"/>
      <c r="AL43" s="516"/>
    </row>
    <row r="44" spans="2:38" s="31" customFormat="1">
      <c r="B44" s="470"/>
      <c r="C44" s="471"/>
      <c r="D44" s="472"/>
      <c r="E44" s="472"/>
      <c r="F44" s="472"/>
      <c r="G44" s="472"/>
      <c r="H44" s="472"/>
      <c r="I44" s="472"/>
      <c r="J44" s="472"/>
      <c r="K44" s="472"/>
      <c r="L44" s="473"/>
      <c r="M44" s="472"/>
      <c r="N44" s="472"/>
      <c r="Q44"/>
      <c r="R44"/>
      <c r="S44"/>
      <c r="T44"/>
      <c r="U44"/>
      <c r="V44"/>
      <c r="W44"/>
      <c r="X44"/>
      <c r="Y44"/>
      <c r="Z44" s="516"/>
      <c r="AA44" s="516"/>
      <c r="AB44" s="516"/>
      <c r="AC44" s="516"/>
      <c r="AD44" s="516"/>
      <c r="AE44" s="516"/>
      <c r="AF44" s="516"/>
      <c r="AG44" s="516"/>
      <c r="AH44" s="516"/>
      <c r="AI44" s="516"/>
      <c r="AJ44" s="516"/>
      <c r="AK44" s="516"/>
      <c r="AL44" s="516"/>
    </row>
    <row r="45" spans="2:38" s="31" customFormat="1">
      <c r="B45" s="522" t="s">
        <v>386</v>
      </c>
      <c r="C45" s="523"/>
      <c r="D45" s="524"/>
      <c r="E45" s="524"/>
      <c r="F45" s="524"/>
      <c r="G45" s="524"/>
      <c r="H45" s="524"/>
      <c r="I45" s="524"/>
      <c r="J45" s="524"/>
      <c r="K45" s="524"/>
      <c r="L45" s="525"/>
      <c r="M45" s="524"/>
      <c r="N45" s="524"/>
      <c r="O45" s="217"/>
      <c r="Q45"/>
      <c r="R45"/>
      <c r="S45"/>
      <c r="T45"/>
      <c r="U45"/>
      <c r="V45"/>
      <c r="W45"/>
      <c r="X45"/>
      <c r="Y45"/>
      <c r="Z45" s="516"/>
      <c r="AA45" s="516"/>
      <c r="AB45" s="516"/>
      <c r="AC45" s="516"/>
      <c r="AD45" s="516"/>
      <c r="AE45" s="516"/>
      <c r="AF45" s="516"/>
      <c r="AG45" s="516"/>
      <c r="AH45" s="516"/>
      <c r="AI45" s="516"/>
      <c r="AJ45" s="516"/>
      <c r="AK45" s="516"/>
      <c r="AL45" s="516"/>
    </row>
    <row r="46" spans="2:38" s="31" customFormat="1">
      <c r="B46" s="527" t="str">
        <f>"Input values provided in "&amp;'RFPR cover'!C14&amp;" prices"</f>
        <v>Input values provided in £m 12/13 prices</v>
      </c>
      <c r="C46" s="526"/>
      <c r="D46" s="526"/>
      <c r="E46" s="526"/>
      <c r="F46" s="526"/>
      <c r="G46" s="526"/>
      <c r="H46" s="526"/>
      <c r="I46" s="526"/>
      <c r="J46" s="526"/>
      <c r="K46" s="526"/>
      <c r="L46" s="526"/>
      <c r="M46" s="526"/>
      <c r="N46" s="526"/>
      <c r="O46" s="526"/>
      <c r="Q46"/>
      <c r="R46"/>
      <c r="S46"/>
      <c r="T46"/>
      <c r="U46"/>
      <c r="V46"/>
      <c r="W46"/>
      <c r="X46"/>
      <c r="Y46"/>
      <c r="Z46" s="516"/>
      <c r="AA46" s="516"/>
      <c r="AB46" s="516"/>
      <c r="AC46" s="516"/>
      <c r="AD46" s="516"/>
      <c r="AE46" s="516"/>
      <c r="AF46" s="516"/>
      <c r="AG46" s="516"/>
      <c r="AH46" s="516"/>
      <c r="AI46" s="516"/>
      <c r="AJ46" s="516"/>
      <c r="AK46" s="516"/>
      <c r="AL46" s="516"/>
    </row>
    <row r="47" spans="2:38">
      <c r="Y47" s="516"/>
      <c r="Z47" s="516"/>
      <c r="AA47" s="516"/>
      <c r="AB47" s="516"/>
      <c r="AC47" s="516"/>
      <c r="AD47" s="516"/>
      <c r="AE47" s="516"/>
      <c r="AF47" s="516"/>
      <c r="AG47" s="516"/>
      <c r="AH47" s="516"/>
      <c r="AI47" s="516"/>
      <c r="AJ47" s="516"/>
      <c r="AK47" s="516"/>
      <c r="AL47" s="516"/>
    </row>
    <row r="48" spans="2:38">
      <c r="B48" s="247" t="s">
        <v>228</v>
      </c>
      <c r="C48" s="342" t="str">
        <f>'RFPR cover'!$C$14</f>
        <v>£m 12/13</v>
      </c>
      <c r="D48" s="178">
        <f>'R9 - RAV'!D50</f>
        <v>18.799885722624985</v>
      </c>
      <c r="E48" s="179">
        <f>'R9 - RAV'!E50</f>
        <v>19.465407358423111</v>
      </c>
      <c r="F48" s="179">
        <f>'R9 - RAV'!F50</f>
        <v>19.923029973917316</v>
      </c>
      <c r="G48" s="179">
        <f>'R9 - RAV'!G50</f>
        <v>20.396745452968176</v>
      </c>
      <c r="H48" s="179">
        <f>'R9 - RAV'!H50</f>
        <v>21.0679494094422</v>
      </c>
      <c r="I48" s="179">
        <f>'R9 - RAV'!I50</f>
        <v>21.76509516536856</v>
      </c>
      <c r="J48" s="179">
        <f>'R9 - RAV'!J50</f>
        <v>22.48544015994398</v>
      </c>
      <c r="K48" s="180">
        <f>'R9 - RAV'!K50</f>
        <v>23.204702259932709</v>
      </c>
      <c r="M48" s="95">
        <f>SUM(D48:INDEX(D48:K48,0,MATCH('RFPR cover'!$C$7,$D$6:$K$6,0)))</f>
        <v>167.10825550262103</v>
      </c>
      <c r="N48" s="95">
        <f>SUM(D48:K48)</f>
        <v>167.10825550262103</v>
      </c>
      <c r="Y48" s="516"/>
      <c r="Z48" s="516"/>
      <c r="AA48" s="516"/>
      <c r="AB48" s="516"/>
      <c r="AC48" s="516"/>
      <c r="AD48" s="516"/>
      <c r="AE48" s="516"/>
      <c r="AF48" s="516"/>
      <c r="AG48" s="516"/>
      <c r="AH48" s="516"/>
      <c r="AI48" s="516"/>
      <c r="AJ48" s="516"/>
      <c r="AK48" s="516"/>
      <c r="AL48" s="516"/>
    </row>
    <row r="49" spans="2:38">
      <c r="B49" s="247" t="s">
        <v>102</v>
      </c>
      <c r="C49" s="342" t="str">
        <f>'RFPR cover'!$C$14</f>
        <v>£m 12/13</v>
      </c>
      <c r="D49" s="251">
        <f>'R4 - Totex'!D35+'R4 - Totex'!D63</f>
        <v>9.102477807347082</v>
      </c>
      <c r="E49" s="251">
        <f>'R4 - Totex'!E35+'R4 - Totex'!E63</f>
        <v>12.857101654815141</v>
      </c>
      <c r="F49" s="251">
        <f>'R4 - Totex'!F35+'R4 - Totex'!F63</f>
        <v>-16.178747525055169</v>
      </c>
      <c r="G49" s="251">
        <f>'R4 - Totex'!G35+'R4 - Totex'!G63</f>
        <v>10.856348111336661</v>
      </c>
      <c r="H49" s="251">
        <f>'R4 - Totex'!H35+'R4 - Totex'!H63</f>
        <v>10.926332769909102</v>
      </c>
      <c r="I49" s="251">
        <f>'R4 - Totex'!I35+'R4 - Totex'!I63</f>
        <v>-1.9691236443442737</v>
      </c>
      <c r="J49" s="251">
        <f>'R4 - Totex'!J35+'R4 - Totex'!J63</f>
        <v>1.5485584348030876</v>
      </c>
      <c r="K49" s="251">
        <f>'R4 - Totex'!K35+'R4 - Totex'!K63</f>
        <v>1.9386253587065099</v>
      </c>
      <c r="M49" s="95">
        <f>SUM(D49:INDEX(D49:K49,0,MATCH('RFPR cover'!$C$7,$D$6:$K$6,0)))</f>
        <v>29.081572967518145</v>
      </c>
      <c r="N49" s="95">
        <f>SUM(D49:K49)</f>
        <v>29.081572967518145</v>
      </c>
      <c r="Y49" s="516"/>
      <c r="Z49" s="516"/>
      <c r="AA49" s="516"/>
      <c r="AB49" s="516"/>
      <c r="AC49" s="516"/>
      <c r="AD49" s="516"/>
      <c r="AE49" s="516"/>
      <c r="AF49" s="516"/>
      <c r="AG49" s="516"/>
      <c r="AH49" s="516"/>
      <c r="AI49" s="516"/>
      <c r="AJ49" s="516"/>
      <c r="AK49" s="516"/>
      <c r="AL49" s="516"/>
    </row>
    <row r="50" spans="2:38">
      <c r="B50" s="249" t="s">
        <v>110</v>
      </c>
      <c r="C50" s="342" t="str">
        <f>'RFPR cover'!$C$14</f>
        <v>£m 12/13</v>
      </c>
      <c r="D50" s="242">
        <f>'R4 - Totex'!D79</f>
        <v>2.9410510772183733</v>
      </c>
      <c r="E50" s="181">
        <f>'R4 - Totex'!E79</f>
        <v>2.9398680699164812</v>
      </c>
      <c r="F50" s="181">
        <f>'R4 - Totex'!F79</f>
        <v>2.8348809004701465</v>
      </c>
      <c r="G50" s="181">
        <f>'R4 - Totex'!G79</f>
        <v>3.0169952927851424</v>
      </c>
      <c r="H50" s="181">
        <f>'R4 - Totex'!H79</f>
        <v>2.7638608984720676</v>
      </c>
      <c r="I50" s="181">
        <f>'R4 - Totex'!I79</f>
        <v>2.7703815232428126</v>
      </c>
      <c r="J50" s="181">
        <f>'R4 - Totex'!J79</f>
        <v>2.6773375046056018</v>
      </c>
      <c r="K50" s="182">
        <f>'R4 - Totex'!K79</f>
        <v>2.7242961369218883</v>
      </c>
      <c r="M50" s="95">
        <f>SUM(D50:INDEX(D50:K50,0,MATCH('RFPR cover'!$C$7,$D$6:$K$6,0)))</f>
        <v>22.668671403632516</v>
      </c>
      <c r="N50" s="95">
        <f t="shared" ref="N50:N57" si="15">SUM(D50:K50)</f>
        <v>22.668671403632516</v>
      </c>
      <c r="Y50" s="516"/>
      <c r="Z50" s="516"/>
      <c r="AA50" s="516"/>
      <c r="AB50" s="516"/>
      <c r="AC50" s="516"/>
      <c r="AD50" s="516"/>
      <c r="AE50" s="516"/>
      <c r="AF50" s="516"/>
      <c r="AG50" s="516"/>
      <c r="AH50" s="516"/>
      <c r="AI50" s="516"/>
      <c r="AJ50" s="516"/>
      <c r="AK50" s="516"/>
      <c r="AL50" s="516"/>
    </row>
    <row r="51" spans="2:38">
      <c r="B51" s="250" t="str">
        <f>'R5 - Output Incentives'!B39</f>
        <v>Broad measure of customer service</v>
      </c>
      <c r="C51" s="342" t="str">
        <f>'RFPR cover'!$C$14</f>
        <v>£m 12/13</v>
      </c>
      <c r="D51" s="242">
        <f>'R5 - Output Incentives'!D39</f>
        <v>2.0995200000000009</v>
      </c>
      <c r="E51" s="181">
        <f>'R5 - Output Incentives'!E39</f>
        <v>1.9907370000000002</v>
      </c>
      <c r="F51" s="181">
        <f>'R5 - Output Incentives'!F39</f>
        <v>2.2315499999999999</v>
      </c>
      <c r="G51" s="181">
        <f>'R5 - Output Incentives'!G39</f>
        <v>2.1732300000000002</v>
      </c>
      <c r="H51" s="181">
        <f>'R5 - Output Incentives'!H39</f>
        <v>1.73583</v>
      </c>
      <c r="I51" s="181">
        <f>'R5 - Output Incentives'!I39</f>
        <v>1.73583</v>
      </c>
      <c r="J51" s="181">
        <f>'R5 - Output Incentives'!J39</f>
        <v>1.5350211109566674</v>
      </c>
      <c r="K51" s="182">
        <f>'R5 - Output Incentives'!K39</f>
        <v>1.6072499999999998</v>
      </c>
      <c r="M51" s="95">
        <f>SUM(D51:INDEX(D51:K51,0,MATCH('RFPR cover'!$C$7,$D$6:$K$6,0)))</f>
        <v>15.10896811095667</v>
      </c>
      <c r="N51" s="95">
        <f t="shared" si="15"/>
        <v>15.10896811095667</v>
      </c>
      <c r="Y51" s="516"/>
      <c r="Z51" s="516"/>
      <c r="AA51" s="516"/>
      <c r="AB51" s="516"/>
      <c r="AC51" s="516"/>
      <c r="AD51" s="516"/>
      <c r="AE51" s="516"/>
      <c r="AF51" s="516"/>
      <c r="AG51" s="516"/>
      <c r="AH51" s="516"/>
      <c r="AI51" s="516"/>
      <c r="AJ51" s="516"/>
      <c r="AK51" s="516"/>
      <c r="AL51" s="516"/>
    </row>
    <row r="52" spans="2:38">
      <c r="B52" s="250" t="str">
        <f>'R5 - Output Incentives'!B40</f>
        <v>Interruptions-related quality of service</v>
      </c>
      <c r="C52" s="342" t="str">
        <f>'RFPR cover'!$C$14</f>
        <v>£m 12/13</v>
      </c>
      <c r="D52" s="242">
        <f>'R5 - Output Incentives'!D40</f>
        <v>3.4955884580880436</v>
      </c>
      <c r="E52" s="181">
        <f>'R5 - Output Incentives'!E40</f>
        <v>3.7934423193323394</v>
      </c>
      <c r="F52" s="181">
        <f>'R5 - Output Incentives'!F40</f>
        <v>2.0287275411603911</v>
      </c>
      <c r="G52" s="181">
        <f>'R5 - Output Incentives'!G40</f>
        <v>3.9285400000000004</v>
      </c>
      <c r="H52" s="181">
        <f>'R5 - Output Incentives'!H40</f>
        <v>3.9581091944132281</v>
      </c>
      <c r="I52" s="181">
        <f>'R5 - Output Incentives'!I40</f>
        <v>4.1400695207959348</v>
      </c>
      <c r="J52" s="181">
        <f>'R5 - Output Incentives'!J40</f>
        <v>3.5596944444444434</v>
      </c>
      <c r="K52" s="182">
        <f>'R5 - Output Incentives'!K40</f>
        <v>2.4971203703703697</v>
      </c>
      <c r="M52" s="95">
        <f>SUM(D52:INDEX(D52:K52,0,MATCH('RFPR cover'!$C$7,$D$6:$K$6,0)))</f>
        <v>27.40129184860475</v>
      </c>
      <c r="N52" s="95">
        <f t="shared" si="15"/>
        <v>27.40129184860475</v>
      </c>
      <c r="Y52" s="516"/>
      <c r="Z52" s="516"/>
      <c r="AA52" s="516"/>
      <c r="AB52" s="516"/>
      <c r="AC52" s="516"/>
      <c r="AD52" s="516"/>
      <c r="AE52" s="516"/>
      <c r="AF52" s="516"/>
      <c r="AG52" s="516"/>
      <c r="AH52" s="516"/>
      <c r="AI52" s="516"/>
      <c r="AJ52" s="516"/>
      <c r="AK52" s="516"/>
      <c r="AL52" s="516"/>
    </row>
    <row r="53" spans="2:38">
      <c r="B53" s="250" t="str">
        <f>'R5 - Output Incentives'!B41</f>
        <v>Incentive on connections engagement</v>
      </c>
      <c r="C53" s="342" t="str">
        <f>'RFPR cover'!$C$14</f>
        <v>£m 12/13</v>
      </c>
      <c r="D53" s="242">
        <f>'R5 - Output Incentives'!D41</f>
        <v>0</v>
      </c>
      <c r="E53" s="181">
        <f>'R5 - Output Incentives'!E41</f>
        <v>0</v>
      </c>
      <c r="F53" s="181">
        <f>'R5 - Output Incentives'!F41</f>
        <v>0</v>
      </c>
      <c r="G53" s="181">
        <f>'R5 - Output Incentives'!G41</f>
        <v>0</v>
      </c>
      <c r="H53" s="181">
        <f>'R5 - Output Incentives'!H41</f>
        <v>0</v>
      </c>
      <c r="I53" s="181">
        <f>'R5 - Output Incentives'!I41</f>
        <v>0</v>
      </c>
      <c r="J53" s="181">
        <f>'R5 - Output Incentives'!J41</f>
        <v>0</v>
      </c>
      <c r="K53" s="182">
        <f>'R5 - Output Incentives'!K41</f>
        <v>0</v>
      </c>
      <c r="M53" s="95">
        <f>SUM(D53:INDEX(D53:K53,0,MATCH('RFPR cover'!$C$7,$D$6:$K$6,0)))</f>
        <v>0</v>
      </c>
      <c r="N53" s="95">
        <f t="shared" si="15"/>
        <v>0</v>
      </c>
      <c r="Y53" s="516"/>
      <c r="Z53" s="516"/>
      <c r="AA53" s="516"/>
      <c r="AB53" s="516"/>
      <c r="AC53" s="516"/>
      <c r="AD53" s="516"/>
      <c r="AE53" s="516"/>
      <c r="AF53" s="516"/>
      <c r="AG53" s="516"/>
      <c r="AH53" s="516"/>
      <c r="AI53" s="516"/>
      <c r="AJ53" s="516"/>
      <c r="AK53" s="516"/>
      <c r="AL53" s="516"/>
    </row>
    <row r="54" spans="2:38">
      <c r="B54" s="250" t="str">
        <f>'R5 - Output Incentives'!B42</f>
        <v>Time to Connect Incentive</v>
      </c>
      <c r="C54" s="342" t="str">
        <f>'RFPR cover'!$C$14</f>
        <v>£m 12/13</v>
      </c>
      <c r="D54" s="242">
        <f>'R5 - Output Incentives'!D42</f>
        <v>0.37025100000000016</v>
      </c>
      <c r="E54" s="181">
        <f>'R5 - Output Incentives'!E42</f>
        <v>0.54106673318481424</v>
      </c>
      <c r="F54" s="181">
        <f>'R5 - Output Incentives'!F42</f>
        <v>0.60093900000000011</v>
      </c>
      <c r="G54" s="181">
        <f>'R5 - Output Incentives'!G42</f>
        <v>0.63666000000000011</v>
      </c>
      <c r="H54" s="181">
        <f>'R5 - Output Incentives'!H42</f>
        <v>0.64800000000000013</v>
      </c>
      <c r="I54" s="181">
        <f>'R5 - Output Incentives'!I42</f>
        <v>0.55150861794117756</v>
      </c>
      <c r="J54" s="181">
        <f>'R5 - Output Incentives'!J42</f>
        <v>0.46618882639274567</v>
      </c>
      <c r="K54" s="182">
        <f>'R5 - Output Incentives'!K42</f>
        <v>0.37014851747589089</v>
      </c>
      <c r="M54" s="95">
        <f>SUM(D54:INDEX(D54:K54,0,MATCH('RFPR cover'!$C$7,$D$6:$K$6,0)))</f>
        <v>4.1847626949946282</v>
      </c>
      <c r="N54" s="95">
        <f t="shared" si="15"/>
        <v>4.1847626949946282</v>
      </c>
      <c r="Y54" s="516"/>
      <c r="Z54" s="516"/>
      <c r="AA54" s="516"/>
      <c r="AB54" s="516"/>
      <c r="AC54" s="516"/>
      <c r="AD54" s="516"/>
      <c r="AE54" s="516"/>
      <c r="AF54" s="516"/>
      <c r="AG54" s="516"/>
      <c r="AH54" s="516"/>
      <c r="AI54" s="516"/>
      <c r="AJ54" s="516"/>
      <c r="AK54" s="516"/>
      <c r="AL54" s="516"/>
    </row>
    <row r="55" spans="2:38">
      <c r="B55" s="250" t="str">
        <f>'R5 - Output Incentives'!B43</f>
        <v>Losses discretionary reward scheme</v>
      </c>
      <c r="C55" s="342" t="str">
        <f>'RFPR cover'!$C$14</f>
        <v>£m 12/13</v>
      </c>
      <c r="D55" s="242">
        <f>'R5 - Output Incentives'!D43</f>
        <v>0</v>
      </c>
      <c r="E55" s="181">
        <f>'R5 - Output Incentives'!E43</f>
        <v>3.2400000000000005E-2</v>
      </c>
      <c r="F55" s="181">
        <f>'R5 - Output Incentives'!F43</f>
        <v>0</v>
      </c>
      <c r="G55" s="181">
        <f>'R5 - Output Incentives'!G43</f>
        <v>0</v>
      </c>
      <c r="H55" s="181">
        <f>'R5 - Output Incentives'!H43</f>
        <v>0</v>
      </c>
      <c r="I55" s="181">
        <f>'R5 - Output Incentives'!I43</f>
        <v>0</v>
      </c>
      <c r="J55" s="181">
        <f>'R5 - Output Incentives'!J43</f>
        <v>0</v>
      </c>
      <c r="K55" s="182">
        <f>'R5 - Output Incentives'!K43</f>
        <v>0</v>
      </c>
      <c r="M55" s="95">
        <f>SUM(D55:INDEX(D55:K55,0,MATCH('RFPR cover'!$C$7,$D$6:$K$6,0)))</f>
        <v>3.2400000000000005E-2</v>
      </c>
      <c r="N55" s="95">
        <f t="shared" si="15"/>
        <v>3.2400000000000005E-2</v>
      </c>
      <c r="Y55" s="516"/>
      <c r="Z55" s="516"/>
      <c r="AA55" s="516"/>
      <c r="AB55" s="516"/>
      <c r="AC55" s="516"/>
      <c r="AD55" s="516"/>
      <c r="AE55" s="516"/>
      <c r="AF55" s="516"/>
      <c r="AG55" s="516"/>
      <c r="AH55" s="516"/>
      <c r="AI55" s="516"/>
      <c r="AJ55" s="516"/>
      <c r="AK55" s="516"/>
      <c r="AL55" s="516"/>
    </row>
    <row r="56" spans="2:38">
      <c r="B56" s="247" t="s">
        <v>492</v>
      </c>
      <c r="C56" s="342" t="str">
        <f>'RFPR cover'!$C$14</f>
        <v>£m 12/13</v>
      </c>
      <c r="D56" s="242">
        <f>-'R6 - Innovation'!D28</f>
        <v>0.71666805354301499</v>
      </c>
      <c r="E56" s="181">
        <f>-'R6 - Innovation'!E28</f>
        <v>-7.8096628174718491E-2</v>
      </c>
      <c r="F56" s="181">
        <f>-'R6 - Innovation'!F28</f>
        <v>0.292764832234784</v>
      </c>
      <c r="G56" s="181">
        <f>-'R6 - Innovation'!G28</f>
        <v>-6.1715431615062051E-2</v>
      </c>
      <c r="H56" s="181">
        <f>-'R6 - Innovation'!H28</f>
        <v>-9.130454883499288E-2</v>
      </c>
      <c r="I56" s="181">
        <f>-'R6 - Innovation'!I28</f>
        <v>-7.0990326073284912E-2</v>
      </c>
      <c r="J56" s="181">
        <f>-'R6 - Innovation'!J28</f>
        <v>-7.8742356246665687E-2</v>
      </c>
      <c r="K56" s="182">
        <f>-'R6 - Innovation'!K28</f>
        <v>-5.0374694989137776E-2</v>
      </c>
      <c r="M56" s="95">
        <f>SUM(D56:INDEX(D56:K56,0,MATCH('RFPR cover'!$C$7,$D$6:$K$6,0)))</f>
        <v>0.57820889984393709</v>
      </c>
      <c r="N56" s="95">
        <f t="shared" si="15"/>
        <v>0.57820889984393709</v>
      </c>
      <c r="Y56" s="516"/>
      <c r="Z56" s="516"/>
      <c r="AA56" s="516"/>
      <c r="AB56" s="516"/>
      <c r="AC56" s="516"/>
      <c r="AD56" s="516"/>
      <c r="AE56" s="516"/>
      <c r="AF56" s="516"/>
      <c r="AG56" s="516"/>
      <c r="AH56" s="516"/>
      <c r="AI56" s="516"/>
      <c r="AJ56" s="516"/>
      <c r="AK56" s="516"/>
      <c r="AL56" s="516"/>
    </row>
    <row r="57" spans="2:38">
      <c r="B57" s="247" t="s">
        <v>35</v>
      </c>
      <c r="C57" s="342" t="str">
        <f>'RFPR cover'!$C$14</f>
        <v>£m 12/13</v>
      </c>
      <c r="D57" s="243">
        <f>-'R13 - Other Activities '!D8</f>
        <v>-4.5269491545021344E-5</v>
      </c>
      <c r="E57" s="243">
        <f>-'R13 - Other Activities '!E8</f>
        <v>0</v>
      </c>
      <c r="F57" s="243">
        <f>-'R13 - Other Activities '!F8</f>
        <v>-2.162760814527204E-5</v>
      </c>
      <c r="G57" s="243">
        <f>-'R13 - Other Activities '!G8</f>
        <v>-2.0986355838876579E-5</v>
      </c>
      <c r="H57" s="243">
        <f>-'R13 - Other Activities '!H8</f>
        <v>-2.0456790484513596E-5</v>
      </c>
      <c r="I57" s="243">
        <f>-'R13 - Other Activities '!I8</f>
        <v>-3.638098257112457E-3</v>
      </c>
      <c r="J57" s="243">
        <f>-'R13 - Other Activities '!J8</f>
        <v>-2.3846861234525547</v>
      </c>
      <c r="K57" s="243">
        <f>-'R13 - Other Activities '!K8</f>
        <v>-8.8875006406295828E-4</v>
      </c>
      <c r="M57" s="95">
        <f>SUM(D57:INDEX(D57:K57,0,MATCH('RFPR cover'!$C$7,$D$6:$K$6,0)))</f>
        <v>-2.3893213120197441</v>
      </c>
      <c r="N57" s="95">
        <f t="shared" si="15"/>
        <v>-2.3893213120197441</v>
      </c>
      <c r="Y57" s="516"/>
      <c r="Z57" s="516"/>
      <c r="AA57" s="516"/>
      <c r="AB57" s="516"/>
      <c r="AC57" s="516"/>
      <c r="AD57" s="516"/>
      <c r="AE57" s="516"/>
      <c r="AF57" s="516"/>
      <c r="AG57" s="516"/>
      <c r="AH57" s="516"/>
      <c r="AI57" s="516"/>
      <c r="AJ57" s="516"/>
      <c r="AK57" s="516"/>
      <c r="AL57" s="516"/>
    </row>
    <row r="58" spans="2:38">
      <c r="B58" s="248" t="s">
        <v>103</v>
      </c>
      <c r="C58" s="342" t="str">
        <f>'RFPR cover'!$C$14</f>
        <v>£m 12/13</v>
      </c>
      <c r="D58" s="244">
        <f t="shared" ref="D58:K58" si="16">SUM(D48:D57)</f>
        <v>37.525396849329958</v>
      </c>
      <c r="E58" s="143">
        <f t="shared" si="16"/>
        <v>41.541926507497173</v>
      </c>
      <c r="F58" s="143">
        <f t="shared" si="16"/>
        <v>11.733123095119325</v>
      </c>
      <c r="G58" s="143">
        <f t="shared" si="16"/>
        <v>40.946782439119076</v>
      </c>
      <c r="H58" s="143">
        <f t="shared" si="16"/>
        <v>41.00875726661112</v>
      </c>
      <c r="I58" s="143">
        <f t="shared" si="16"/>
        <v>28.919132758673808</v>
      </c>
      <c r="J58" s="143">
        <f t="shared" si="16"/>
        <v>29.808812001447308</v>
      </c>
      <c r="K58" s="144">
        <f t="shared" si="16"/>
        <v>32.290879198354169</v>
      </c>
      <c r="M58" s="142">
        <f>SUM(M48:M57)</f>
        <v>263.77481011615197</v>
      </c>
      <c r="N58" s="144">
        <f>SUM(N48:N57)</f>
        <v>263.77481011615197</v>
      </c>
      <c r="Y58" s="516"/>
      <c r="Z58" s="516"/>
      <c r="AA58" s="516"/>
      <c r="AB58" s="516"/>
      <c r="AC58" s="516"/>
      <c r="AD58" s="516"/>
      <c r="AE58" s="516"/>
      <c r="AF58" s="516"/>
      <c r="AG58" s="516"/>
      <c r="AH58" s="516"/>
      <c r="AI58" s="516"/>
      <c r="AJ58" s="516"/>
      <c r="AK58" s="516"/>
      <c r="AL58" s="516"/>
    </row>
    <row r="59" spans="2:38">
      <c r="B59" s="247" t="s">
        <v>431</v>
      </c>
      <c r="C59" s="342" t="str">
        <f>'RFPR cover'!$C$14</f>
        <v>£m 12/13</v>
      </c>
      <c r="D59" s="242">
        <f>'R7 - Financing'!D88+'R10 - Tax'!D89</f>
        <v>-12.216570834018579</v>
      </c>
      <c r="E59" s="242">
        <f>'R7 - Financing'!E88+'R10 - Tax'!E89</f>
        <v>-6.9061966457642514</v>
      </c>
      <c r="F59" s="242">
        <f>'R7 - Financing'!F88+'R10 - Tax'!F89</f>
        <v>-0.91849788179747716</v>
      </c>
      <c r="G59" s="242">
        <f>'R7 - Financing'!G88+'R10 - Tax'!G89</f>
        <v>-4.5151901838777695</v>
      </c>
      <c r="H59" s="242">
        <f>'R7 - Financing'!H88+'R10 - Tax'!H89</f>
        <v>-8.5877405418347514</v>
      </c>
      <c r="I59" s="242">
        <f>'R7 - Financing'!I88+'R10 - Tax'!I89</f>
        <v>-13.312758851278259</v>
      </c>
      <c r="J59" s="242">
        <f>'R7 - Financing'!J88+'R10 - Tax'!J89</f>
        <v>11.750721428485505</v>
      </c>
      <c r="K59" s="242">
        <f>'R7 - Financing'!K88+'R10 - Tax'!K89</f>
        <v>43.404953067551027</v>
      </c>
      <c r="M59" s="95">
        <f>SUM(D59:INDEX(D59:K59,0,MATCH('RFPR cover'!$C$7,$D$6:$K$6,0)))</f>
        <v>8.698719557465445</v>
      </c>
      <c r="N59" s="95">
        <f>SUM(D59:K59)</f>
        <v>8.698719557465445</v>
      </c>
      <c r="Y59" s="516"/>
      <c r="Z59" s="516"/>
      <c r="AA59" s="516"/>
      <c r="AB59" s="516"/>
      <c r="AC59" s="516"/>
      <c r="AD59" s="516"/>
      <c r="AE59" s="516"/>
      <c r="AF59" s="516"/>
      <c r="AG59" s="516"/>
      <c r="AH59" s="516"/>
      <c r="AI59" s="516"/>
      <c r="AJ59" s="516"/>
      <c r="AK59" s="516"/>
      <c r="AL59" s="516"/>
    </row>
    <row r="60" spans="2:38">
      <c r="B60" s="247" t="s">
        <v>426</v>
      </c>
      <c r="C60" s="342" t="str">
        <f>'RFPR cover'!$C$14</f>
        <v>£m 12/13</v>
      </c>
      <c r="D60" s="242">
        <f>'R7 - Financing'!D90+'R10 - Tax'!D90</f>
        <v>0.59217359716092499</v>
      </c>
      <c r="E60" s="242">
        <f>'R7 - Financing'!E90+'R10 - Tax'!E90</f>
        <v>0.62411643167448783</v>
      </c>
      <c r="F60" s="242">
        <f>'R7 - Financing'!F90+'R10 - Tax'!F90</f>
        <v>0.78419510804779613</v>
      </c>
      <c r="G60" s="242">
        <f>'R7 - Financing'!G90+'R10 - Tax'!G90</f>
        <v>1.1228738949176906</v>
      </c>
      <c r="H60" s="242">
        <f>'R7 - Financing'!H90+'R10 - Tax'!H90</f>
        <v>1.7436483373792524</v>
      </c>
      <c r="I60" s="242">
        <f>'R7 - Financing'!I90+'R10 - Tax'!I90</f>
        <v>1.7690840086967703</v>
      </c>
      <c r="J60" s="242">
        <f>'R7 - Financing'!J90+'R10 - Tax'!J90</f>
        <v>-0.90797708032862889</v>
      </c>
      <c r="K60" s="242">
        <f>'R7 - Financing'!K90+'R10 - Tax'!K90</f>
        <v>-7.1097946699325139</v>
      </c>
      <c r="M60" s="95">
        <f>SUM(D60:INDEX(D60:K60,0,MATCH('RFPR cover'!$C$7,$D$6:$K$6,0)))</f>
        <v>-1.3816803723842197</v>
      </c>
      <c r="N60" s="95">
        <f>SUM(D60:K60)</f>
        <v>-1.3816803723842197</v>
      </c>
      <c r="Y60" s="516"/>
      <c r="Z60" s="516"/>
      <c r="AA60" s="516"/>
      <c r="AB60" s="516"/>
      <c r="AC60" s="516"/>
      <c r="AD60" s="516"/>
      <c r="AE60" s="516"/>
      <c r="AF60" s="516"/>
      <c r="AG60" s="516"/>
      <c r="AH60" s="516"/>
      <c r="AI60" s="516"/>
      <c r="AJ60" s="516"/>
      <c r="AK60" s="516"/>
      <c r="AL60" s="516"/>
    </row>
    <row r="61" spans="2:38">
      <c r="B61" s="247" t="s">
        <v>432</v>
      </c>
      <c r="C61" s="342" t="str">
        <f>'RFPR cover'!$C$14</f>
        <v>£m 12/13</v>
      </c>
      <c r="D61" s="242">
        <f>'R10 - Tax'!D82-'R10 - Tax'!D89</f>
        <v>1.4843464836537121</v>
      </c>
      <c r="E61" s="242">
        <f>'R10 - Tax'!E82-'R10 - Tax'!E89</f>
        <v>6.0323776179636841</v>
      </c>
      <c r="F61" s="242">
        <f>'R10 - Tax'!F82-'R10 - Tax'!F89</f>
        <v>5.2775953799261162</v>
      </c>
      <c r="G61" s="242">
        <f>'R10 - Tax'!G82-'R10 - Tax'!G89</f>
        <v>4.2736916507953291</v>
      </c>
      <c r="H61" s="242">
        <f>'R10 - Tax'!H82-'R10 - Tax'!H89</f>
        <v>1.7404170061634727</v>
      </c>
      <c r="I61" s="242">
        <f>'R10 - Tax'!I82-'R10 - Tax'!I89</f>
        <v>-3.9173199096174551</v>
      </c>
      <c r="J61" s="242">
        <f>'R10 - Tax'!J82-'R10 - Tax'!J89</f>
        <v>1.2419528520091685</v>
      </c>
      <c r="K61" s="242">
        <f>'R10 - Tax'!K82-'R10 - Tax'!K89</f>
        <v>3.5286782656355662</v>
      </c>
      <c r="M61" s="95">
        <f>SUM(D61:INDEX(D61:K61,0,MATCH('RFPR cover'!$C$7,$D$6:$K$6,0)))</f>
        <v>19.661739346529597</v>
      </c>
      <c r="N61" s="95">
        <f>SUM(D61:K61)</f>
        <v>19.661739346529597</v>
      </c>
      <c r="Y61" s="516"/>
      <c r="Z61" s="516"/>
      <c r="AA61" s="516"/>
      <c r="AB61" s="516"/>
      <c r="AC61" s="516"/>
      <c r="AD61" s="516"/>
      <c r="AE61" s="516"/>
      <c r="AF61" s="516"/>
      <c r="AG61" s="516"/>
      <c r="AH61" s="516"/>
      <c r="AI61" s="516"/>
      <c r="AJ61" s="516"/>
      <c r="AK61" s="516"/>
      <c r="AL61" s="516"/>
    </row>
    <row r="62" spans="2:38">
      <c r="B62" s="247" t="s">
        <v>427</v>
      </c>
      <c r="C62" s="342" t="str">
        <f>'RFPR cover'!$C$14</f>
        <v>£m 12/13</v>
      </c>
      <c r="D62" s="242">
        <f>'R10 - Tax'!D84-'R10 - Tax'!D90</f>
        <v>-8.8817841970012523E-16</v>
      </c>
      <c r="E62" s="242">
        <f>'R10 - Tax'!E84-'R10 - Tax'!E90</f>
        <v>-6.6613381477509392E-16</v>
      </c>
      <c r="F62" s="242">
        <f>'R10 - Tax'!F84-'R10 - Tax'!F90</f>
        <v>0</v>
      </c>
      <c r="G62" s="242">
        <f>'R10 - Tax'!G84-'R10 - Tax'!G90</f>
        <v>-1.1102230246251565E-15</v>
      </c>
      <c r="H62" s="242">
        <f>'R10 - Tax'!H84-'R10 - Tax'!H90</f>
        <v>4.4408920985006262E-16</v>
      </c>
      <c r="I62" s="242">
        <f>'R10 - Tax'!I84-'R10 - Tax'!I90</f>
        <v>4.4408920985006262E-16</v>
      </c>
      <c r="J62" s="242">
        <f>'R10 - Tax'!J84-'R10 - Tax'!J90</f>
        <v>0</v>
      </c>
      <c r="K62" s="242">
        <f>'R10 - Tax'!K84-'R10 - Tax'!K90</f>
        <v>0</v>
      </c>
      <c r="M62" s="95">
        <f>SUM(D62:INDEX(D62:K62,0,MATCH('RFPR cover'!$C$7,$D$6:$K$6,0)))</f>
        <v>-1.7763568394002505E-15</v>
      </c>
      <c r="N62" s="95">
        <f>SUM(D62:K62)</f>
        <v>-1.7763568394002505E-15</v>
      </c>
      <c r="Y62" s="516"/>
      <c r="Z62" s="516"/>
      <c r="AA62" s="516"/>
      <c r="AB62" s="516"/>
      <c r="AC62" s="516"/>
      <c r="AD62" s="516"/>
      <c r="AE62" s="516"/>
      <c r="AF62" s="516"/>
      <c r="AG62" s="516"/>
      <c r="AH62" s="516"/>
      <c r="AI62" s="516"/>
      <c r="AJ62" s="516"/>
      <c r="AK62" s="516"/>
      <c r="AL62" s="516"/>
    </row>
    <row r="63" spans="2:38">
      <c r="B63" s="248" t="s">
        <v>104</v>
      </c>
      <c r="C63" s="342" t="str">
        <f>'RFPR cover'!$C$14</f>
        <v>£m 12/13</v>
      </c>
      <c r="D63" s="245">
        <f>SUM(D58:D62)</f>
        <v>27.385346096126018</v>
      </c>
      <c r="E63" s="146">
        <f t="shared" ref="E63:K63" si="17">SUM(E58:E62)</f>
        <v>41.292223911371089</v>
      </c>
      <c r="F63" s="146">
        <f t="shared" si="17"/>
        <v>16.876415701295759</v>
      </c>
      <c r="G63" s="146">
        <f t="shared" si="17"/>
        <v>41.828157800954322</v>
      </c>
      <c r="H63" s="146">
        <f t="shared" si="17"/>
        <v>35.905082068319096</v>
      </c>
      <c r="I63" s="146">
        <f t="shared" si="17"/>
        <v>13.458138006474865</v>
      </c>
      <c r="J63" s="146">
        <f t="shared" si="17"/>
        <v>41.893509201613355</v>
      </c>
      <c r="K63" s="147">
        <f t="shared" si="17"/>
        <v>72.114715861608246</v>
      </c>
      <c r="M63" s="145">
        <f>SUM(M58:M62)</f>
        <v>290.7535886477628</v>
      </c>
      <c r="N63" s="147">
        <f>SUM(N58:N62)</f>
        <v>290.7535886477628</v>
      </c>
      <c r="Y63" s="516"/>
      <c r="Z63" s="516"/>
      <c r="AA63" s="516"/>
      <c r="AB63" s="516"/>
      <c r="AC63" s="516"/>
      <c r="AD63" s="516"/>
      <c r="AE63" s="516"/>
      <c r="AF63" s="516"/>
      <c r="AG63" s="516"/>
      <c r="AH63" s="516"/>
      <c r="AI63" s="516"/>
      <c r="AJ63" s="516"/>
      <c r="AK63" s="516"/>
      <c r="AL63" s="516"/>
    </row>
    <row r="64" spans="2:38">
      <c r="B64" s="247"/>
      <c r="D64" s="420"/>
      <c r="Y64" s="516"/>
      <c r="Z64" s="516"/>
      <c r="AA64" s="516"/>
      <c r="AB64" s="516"/>
      <c r="AC64" s="516"/>
      <c r="AD64" s="516"/>
      <c r="AE64" s="516"/>
      <c r="AF64" s="516"/>
      <c r="AG64" s="516"/>
      <c r="AH64" s="516"/>
      <c r="AI64" s="516"/>
      <c r="AJ64" s="516"/>
      <c r="AK64" s="516"/>
      <c r="AL64" s="516"/>
    </row>
    <row r="65" spans="2:38">
      <c r="B65" s="247" t="s">
        <v>232</v>
      </c>
      <c r="C65" s="342" t="str">
        <f>'RFPR cover'!$C$14</f>
        <v>£m 12/13</v>
      </c>
      <c r="D65" s="241">
        <f>'R9 - RAV'!D46</f>
        <v>293.7482144160154</v>
      </c>
      <c r="E65" s="179">
        <f>'R9 - RAV'!E46</f>
        <v>304.14698997536112</v>
      </c>
      <c r="F65" s="179">
        <f>'R9 - RAV'!F46</f>
        <v>311.29734334245808</v>
      </c>
      <c r="G65" s="179">
        <f>'R9 - RAV'!G46</f>
        <v>318.69914770262773</v>
      </c>
      <c r="H65" s="179">
        <f>'R9 - RAV'!H46</f>
        <v>329.18670952253439</v>
      </c>
      <c r="I65" s="179">
        <f>'R9 - RAV'!I46</f>
        <v>340.07961195888373</v>
      </c>
      <c r="J65" s="179">
        <f>'R9 - RAV'!J46</f>
        <v>351.3350024991247</v>
      </c>
      <c r="K65" s="180">
        <f>'R9 - RAV'!K46</f>
        <v>362.5734728114486</v>
      </c>
      <c r="Y65" s="516"/>
      <c r="Z65" s="516"/>
      <c r="AA65" s="516"/>
      <c r="AB65" s="516"/>
      <c r="AC65" s="516"/>
      <c r="AD65" s="516"/>
      <c r="AE65" s="516"/>
      <c r="AF65" s="516"/>
      <c r="AG65" s="516"/>
      <c r="AH65" s="516"/>
      <c r="AI65" s="516"/>
      <c r="AJ65" s="516"/>
      <c r="AK65" s="516"/>
      <c r="AL65" s="516"/>
    </row>
    <row r="66" spans="2:38">
      <c r="B66" s="247" t="s">
        <v>107</v>
      </c>
      <c r="C66" s="342" t="str">
        <f>'RFPR cover'!$C$14</f>
        <v>£m 12/13</v>
      </c>
      <c r="D66" s="246">
        <f>'R8 - Net Debt'!D62</f>
        <v>307.58603442160546</v>
      </c>
      <c r="E66" s="183">
        <f>'R8 - Net Debt'!E62</f>
        <v>324.10803334252563</v>
      </c>
      <c r="F66" s="183">
        <f>'R8 - Net Debt'!F62</f>
        <v>351.36708180929594</v>
      </c>
      <c r="G66" s="183">
        <f>'R8 - Net Debt'!G62</f>
        <v>367.30906450420775</v>
      </c>
      <c r="H66" s="183">
        <f>'R8 - Net Debt'!H62</f>
        <v>394.13854798845045</v>
      </c>
      <c r="I66" s="183">
        <f>'R8 - Net Debt'!I62</f>
        <v>399.23122818677609</v>
      </c>
      <c r="J66" s="183">
        <f>'R8 - Net Debt'!J62</f>
        <v>427.93594999453626</v>
      </c>
      <c r="K66" s="184">
        <f>'R8 - Net Debt'!K62</f>
        <v>478.55303204259593</v>
      </c>
      <c r="Y66" s="516"/>
      <c r="Z66" s="516"/>
      <c r="AA66" s="516"/>
      <c r="AB66" s="516"/>
      <c r="AC66" s="516"/>
      <c r="AD66" s="516"/>
      <c r="AE66" s="516"/>
      <c r="AF66" s="516"/>
      <c r="AG66" s="516"/>
      <c r="AH66" s="516"/>
      <c r="AI66" s="516"/>
      <c r="AJ66" s="516"/>
      <c r="AK66" s="516"/>
      <c r="AL66" s="516"/>
    </row>
    <row r="67" spans="2:38">
      <c r="Y67" s="516"/>
      <c r="Z67" s="516"/>
      <c r="AA67" s="516"/>
      <c r="AB67" s="516"/>
      <c r="AC67" s="516"/>
      <c r="AD67" s="516"/>
      <c r="AE67" s="516"/>
      <c r="AF67" s="516"/>
      <c r="AG67" s="516"/>
      <c r="AH67" s="516"/>
      <c r="AI67" s="516"/>
      <c r="AJ67" s="516"/>
      <c r="AK67" s="516"/>
      <c r="AL67" s="516"/>
    </row>
  </sheetData>
  <conditionalFormatting sqref="D5:K6">
    <cfRule type="expression" dxfId="99"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M71"/>
  <sheetViews>
    <sheetView showGridLines="0" zoomScale="60" zoomScaleNormal="60" workbookViewId="0">
      <pane ySplit="6" topLeftCell="A13" activePane="bottomLeft" state="frozen"/>
      <selection activeCell="I11" sqref="I11"/>
      <selection pane="bottomLeft" activeCell="M39" sqref="M39"/>
    </sheetView>
  </sheetViews>
  <sheetFormatPr defaultRowHeight="12.75"/>
  <cols>
    <col min="1" max="1" width="8.375" customWidth="1"/>
    <col min="2" max="2" width="64.375" style="213" customWidth="1"/>
    <col min="3" max="3" width="13.375" style="136" customWidth="1"/>
    <col min="4" max="11" width="11.125" customWidth="1"/>
    <col min="12" max="12" width="5" style="42" customWidth="1"/>
  </cols>
  <sheetData>
    <row r="1" spans="1:12" s="31" customFormat="1" ht="20.25">
      <c r="A1" s="889" t="s">
        <v>119</v>
      </c>
      <c r="B1" s="890"/>
      <c r="C1" s="275"/>
      <c r="D1" s="274"/>
      <c r="E1" s="274"/>
      <c r="F1" s="274"/>
      <c r="G1" s="274"/>
      <c r="H1" s="274"/>
      <c r="I1" s="274"/>
      <c r="J1" s="274"/>
      <c r="K1" s="274"/>
      <c r="L1" s="276"/>
    </row>
    <row r="2" spans="1:12" s="31" customFormat="1" ht="20.25">
      <c r="A2" s="878" t="str">
        <f>'RFPR cover'!C5</f>
        <v>NGED-SWALES</v>
      </c>
      <c r="B2" s="891"/>
      <c r="C2" s="134"/>
      <c r="D2" s="29"/>
      <c r="E2" s="29"/>
      <c r="F2" s="29"/>
      <c r="G2" s="29"/>
      <c r="H2" s="29"/>
      <c r="I2" s="27"/>
      <c r="J2" s="27"/>
      <c r="K2" s="27"/>
      <c r="L2" s="123"/>
    </row>
    <row r="3" spans="1:12" s="31" customFormat="1" ht="20.25">
      <c r="A3" s="881">
        <f>'RFPR cover'!C7</f>
        <v>2023</v>
      </c>
      <c r="B3" s="892"/>
      <c r="C3" s="277"/>
      <c r="D3" s="260"/>
      <c r="E3" s="260"/>
      <c r="F3" s="260"/>
      <c r="G3" s="260"/>
      <c r="H3" s="260"/>
      <c r="I3" s="255"/>
      <c r="J3" s="255"/>
      <c r="K3" s="255"/>
      <c r="L3" s="261"/>
    </row>
    <row r="4" spans="1:12" s="35" customFormat="1" ht="12.75" customHeight="1">
      <c r="B4" s="225"/>
      <c r="C4" s="138"/>
      <c r="L4" s="58"/>
    </row>
    <row r="5" spans="1:12" s="2" customFormat="1">
      <c r="B5" s="129"/>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L5" s="54"/>
    </row>
    <row r="6" spans="1:12" s="2" customFormat="1">
      <c r="B6" s="129"/>
      <c r="C6" s="136"/>
      <c r="D6" s="90">
        <f>'RFPR cover'!$C$13</f>
        <v>2016</v>
      </c>
      <c r="E6" s="91">
        <f>D6+1</f>
        <v>2017</v>
      </c>
      <c r="F6" s="91">
        <f t="shared" ref="F6:K6" si="0">E6+1</f>
        <v>2018</v>
      </c>
      <c r="G6" s="91">
        <f t="shared" si="0"/>
        <v>2019</v>
      </c>
      <c r="H6" s="91">
        <f t="shared" si="0"/>
        <v>2020</v>
      </c>
      <c r="I6" s="91">
        <f t="shared" si="0"/>
        <v>2021</v>
      </c>
      <c r="J6" s="91">
        <f t="shared" si="0"/>
        <v>2022</v>
      </c>
      <c r="K6" s="91">
        <f t="shared" si="0"/>
        <v>2023</v>
      </c>
      <c r="L6" s="54"/>
    </row>
    <row r="7" spans="1:12" s="2" customFormat="1">
      <c r="B7" s="736"/>
      <c r="C7" s="152"/>
      <c r="D7" s="50"/>
      <c r="E7" s="50"/>
      <c r="F7" s="50"/>
      <c r="G7" s="50"/>
      <c r="H7" s="50"/>
      <c r="I7" s="50"/>
      <c r="J7" s="50"/>
      <c r="K7" s="50"/>
      <c r="L7" s="58"/>
    </row>
    <row r="8" spans="1:12" s="2" customFormat="1">
      <c r="B8" s="737" t="s">
        <v>155</v>
      </c>
      <c r="C8" s="150"/>
      <c r="D8" s="81"/>
      <c r="E8" s="81"/>
      <c r="F8" s="81"/>
      <c r="G8" s="81"/>
      <c r="H8" s="81"/>
      <c r="I8" s="81"/>
      <c r="J8" s="81"/>
      <c r="K8" s="81"/>
      <c r="L8" s="272"/>
    </row>
    <row r="9" spans="1:12" s="35" customFormat="1">
      <c r="A9" s="2"/>
      <c r="B9" s="738"/>
      <c r="C9" s="138"/>
      <c r="L9" s="58"/>
    </row>
    <row r="10" spans="1:12" s="2" customFormat="1">
      <c r="B10" s="739" t="s">
        <v>379</v>
      </c>
      <c r="C10" s="151" t="str">
        <f>'RFPR cover'!$C$14</f>
        <v>£m 12/13</v>
      </c>
      <c r="D10" s="592">
        <v>198.7</v>
      </c>
      <c r="E10" s="592">
        <v>203.6</v>
      </c>
      <c r="F10" s="592">
        <v>208.2</v>
      </c>
      <c r="G10" s="592">
        <v>210.3</v>
      </c>
      <c r="H10" s="592">
        <v>212.4</v>
      </c>
      <c r="I10" s="592">
        <v>214.5</v>
      </c>
      <c r="J10" s="592">
        <v>216.7</v>
      </c>
      <c r="K10" s="593">
        <v>218.9</v>
      </c>
      <c r="L10" s="58"/>
    </row>
    <row r="11" spans="1:12" s="2" customFormat="1">
      <c r="B11" s="739" t="s">
        <v>380</v>
      </c>
      <c r="C11" s="151" t="str">
        <f>'RFPR cover'!$C$14</f>
        <v>£m 12/13</v>
      </c>
      <c r="D11" s="592">
        <v>0</v>
      </c>
      <c r="E11" s="592">
        <v>-0.1</v>
      </c>
      <c r="F11" s="592">
        <v>-2.9</v>
      </c>
      <c r="G11" s="592">
        <v>-4.8</v>
      </c>
      <c r="H11" s="592">
        <v>-5.0999999999999996</v>
      </c>
      <c r="I11" s="592">
        <v>-12.7</v>
      </c>
      <c r="J11" s="592">
        <v>-27.7</v>
      </c>
      <c r="K11" s="593">
        <v>-34.1</v>
      </c>
      <c r="L11" s="58"/>
    </row>
    <row r="12" spans="1:12" s="2" customFormat="1">
      <c r="B12" s="739" t="s">
        <v>147</v>
      </c>
      <c r="C12" s="151" t="str">
        <f>'RFPR cover'!$C$14</f>
        <v>£m 12/13</v>
      </c>
      <c r="D12" s="592">
        <v>0</v>
      </c>
      <c r="E12" s="592">
        <v>0</v>
      </c>
      <c r="F12" s="592">
        <v>-4.3816203582429871</v>
      </c>
      <c r="G12" s="592">
        <v>-0.80136571156188618</v>
      </c>
      <c r="H12" s="592">
        <v>0.51160452926113109</v>
      </c>
      <c r="I12" s="592">
        <v>-0.21529599905367428</v>
      </c>
      <c r="J12" s="592">
        <v>-1.8498597546171625</v>
      </c>
      <c r="K12" s="593">
        <v>-2.5937580684479551</v>
      </c>
      <c r="L12" s="58"/>
    </row>
    <row r="13" spans="1:12" s="2" customFormat="1">
      <c r="B13" s="739" t="s">
        <v>369</v>
      </c>
      <c r="C13" s="152" t="s">
        <v>127</v>
      </c>
      <c r="D13" s="592">
        <v>1.0820000000000001</v>
      </c>
      <c r="E13" s="592">
        <v>1.087</v>
      </c>
      <c r="F13" s="592">
        <v>1.121</v>
      </c>
      <c r="G13" s="592">
        <v>1.159</v>
      </c>
      <c r="H13" s="592">
        <v>1.198</v>
      </c>
      <c r="I13" s="592">
        <v>1.2170000000000001</v>
      </c>
      <c r="J13" s="592">
        <v>1.238</v>
      </c>
      <c r="K13" s="593">
        <v>1.321</v>
      </c>
      <c r="L13" s="58"/>
    </row>
    <row r="14" spans="1:12" s="2" customFormat="1">
      <c r="B14" s="740" t="s">
        <v>196</v>
      </c>
      <c r="C14" s="266" t="s">
        <v>128</v>
      </c>
      <c r="D14" s="614">
        <f>SUM(D10:D12)*D13</f>
        <v>214.99340000000001</v>
      </c>
      <c r="E14" s="615">
        <f t="shared" ref="E14:K14" si="1">SUM(E10:E12)*E13</f>
        <v>221.2045</v>
      </c>
      <c r="F14" s="615">
        <f t="shared" si="1"/>
        <v>225.22950357840958</v>
      </c>
      <c r="G14" s="615">
        <f t="shared" si="1"/>
        <v>237.24571714029977</v>
      </c>
      <c r="H14" s="615">
        <f t="shared" si="1"/>
        <v>248.95830222605483</v>
      </c>
      <c r="I14" s="615">
        <f t="shared" si="1"/>
        <v>245.32858476915172</v>
      </c>
      <c r="J14" s="615">
        <f t="shared" si="1"/>
        <v>231.69187362378395</v>
      </c>
      <c r="K14" s="616">
        <f t="shared" si="1"/>
        <v>240.69444559158026</v>
      </c>
      <c r="L14" s="58"/>
    </row>
    <row r="15" spans="1:12" s="2" customFormat="1">
      <c r="B15" s="213" t="s">
        <v>131</v>
      </c>
      <c r="C15" s="152" t="s">
        <v>128</v>
      </c>
      <c r="D15" s="596">
        <f>'R5 - Output Incentives'!D102</f>
        <v>6.3768655592999988</v>
      </c>
      <c r="E15" s="597">
        <f>'R5 - Output Incentives'!E102</f>
        <v>6.3824136960794364</v>
      </c>
      <c r="F15" s="598">
        <f>'R5 - Output Incentives'!F102</f>
        <v>8.489102325617857</v>
      </c>
      <c r="G15" s="598">
        <f>'R5 - Output Incentives'!G102</f>
        <v>9.2338242356814355</v>
      </c>
      <c r="H15" s="598">
        <f>'R5 - Output Incentives'!H102</f>
        <v>7.1483228476707845</v>
      </c>
      <c r="I15" s="598">
        <f>'R5 - Output Incentives'!I102</f>
        <v>10.324292878002531</v>
      </c>
      <c r="J15" s="598">
        <f>'R5 - Output Incentives'!J102</f>
        <v>9.9272922941138777</v>
      </c>
      <c r="K15" s="599">
        <f>'R5 - Output Incentives'!K102</f>
        <v>10.536088530544932</v>
      </c>
      <c r="L15" s="58"/>
    </row>
    <row r="16" spans="1:12" s="2" customFormat="1">
      <c r="B16" s="741" t="s">
        <v>381</v>
      </c>
      <c r="C16" s="152" t="s">
        <v>128</v>
      </c>
      <c r="D16" s="592">
        <v>0</v>
      </c>
      <c r="E16" s="592">
        <v>0</v>
      </c>
      <c r="F16" s="592">
        <v>3.7551331511570671</v>
      </c>
      <c r="G16" s="592">
        <v>1.6318803380130085</v>
      </c>
      <c r="H16" s="592">
        <v>-7.7473457513862014</v>
      </c>
      <c r="I16" s="592">
        <v>-7.9201644401963529</v>
      </c>
      <c r="J16" s="592">
        <v>-7.0023883069720219</v>
      </c>
      <c r="K16" s="595">
        <v>29.804292910418397</v>
      </c>
      <c r="L16" s="58"/>
    </row>
    <row r="17" spans="2:12" s="2" customFormat="1">
      <c r="B17" s="741" t="s">
        <v>134</v>
      </c>
      <c r="C17" s="152" t="s">
        <v>128</v>
      </c>
      <c r="D17" s="596">
        <f>'R6 - Innovation'!D12</f>
        <v>0.21694374899999994</v>
      </c>
      <c r="E17" s="597">
        <f>'R6 - Innovation'!E12</f>
        <v>0.76123361700000014</v>
      </c>
      <c r="F17" s="598">
        <f>'R6 - Innovation'!F12</f>
        <v>1.0520399999999999</v>
      </c>
      <c r="G17" s="598">
        <f>'R6 - Innovation'!G12</f>
        <v>0.64313999999999993</v>
      </c>
      <c r="H17" s="598">
        <f>'R6 - Innovation'!H12</f>
        <v>0.97612109999999996</v>
      </c>
      <c r="I17" s="598">
        <f>'R6 - Innovation'!I12</f>
        <v>0.76815</v>
      </c>
      <c r="J17" s="598">
        <f>'R6 - Innovation'!J12</f>
        <v>0.90124380000000004</v>
      </c>
      <c r="K17" s="599">
        <f>'R6 - Innovation'!K12</f>
        <v>0.65079000000000009</v>
      </c>
      <c r="L17" s="58"/>
    </row>
    <row r="18" spans="2:12" s="2" customFormat="1">
      <c r="B18" s="741" t="s">
        <v>133</v>
      </c>
      <c r="C18" s="152" t="s">
        <v>128</v>
      </c>
      <c r="D18" s="596">
        <f>'R6 - Innovation'!D17</f>
        <v>0.77248340000000004</v>
      </c>
      <c r="E18" s="597">
        <f>'R6 - Innovation'!E17</f>
        <v>4.1034769999999998E-2</v>
      </c>
      <c r="F18" s="598">
        <f>'R6 - Innovation'!F17</f>
        <v>0.11890733000000001</v>
      </c>
      <c r="G18" s="598">
        <f>'R6 - Innovation'!G17</f>
        <v>0.32313185999999999</v>
      </c>
      <c r="H18" s="598">
        <f>'R6 - Innovation'!H17</f>
        <v>4.4316729999999999E-2</v>
      </c>
      <c r="I18" s="598">
        <f>'R6 - Innovation'!I17</f>
        <v>-0.11959524000000001</v>
      </c>
      <c r="J18" s="598">
        <f>'R6 - Innovation'!J17</f>
        <v>2.648787E-2</v>
      </c>
      <c r="K18" s="599">
        <f>'R6 - Innovation'!K17</f>
        <v>-0.12446910999999999</v>
      </c>
      <c r="L18" s="58"/>
    </row>
    <row r="19" spans="2:12" s="2" customFormat="1">
      <c r="B19" s="912" t="s">
        <v>579</v>
      </c>
      <c r="C19" s="152" t="s">
        <v>128</v>
      </c>
      <c r="D19" s="592">
        <v>-6.5175072810179859</v>
      </c>
      <c r="E19" s="592">
        <v>-1.3695501806035144</v>
      </c>
      <c r="F19" s="592">
        <v>0</v>
      </c>
      <c r="G19" s="592">
        <v>0</v>
      </c>
      <c r="H19" s="592">
        <v>0</v>
      </c>
      <c r="I19" s="592">
        <v>0</v>
      </c>
      <c r="J19" s="592">
        <v>0</v>
      </c>
      <c r="K19" s="595">
        <v>0</v>
      </c>
      <c r="L19" s="58"/>
    </row>
    <row r="20" spans="2:12" s="2" customFormat="1">
      <c r="B20" s="946" t="s">
        <v>647</v>
      </c>
      <c r="C20" s="152" t="s">
        <v>128</v>
      </c>
      <c r="D20" s="592">
        <v>0</v>
      </c>
      <c r="E20" s="592">
        <v>0</v>
      </c>
      <c r="F20" s="592">
        <v>0</v>
      </c>
      <c r="G20" s="592">
        <v>0</v>
      </c>
      <c r="H20" s="592">
        <v>0</v>
      </c>
      <c r="I20" s="592">
        <v>0</v>
      </c>
      <c r="J20" s="592">
        <v>-0.29000557201572441</v>
      </c>
      <c r="K20" s="595">
        <v>-0.29215318688055625</v>
      </c>
      <c r="L20" s="58"/>
    </row>
    <row r="21" spans="2:12" s="2" customFormat="1">
      <c r="B21" s="540" t="s">
        <v>243</v>
      </c>
      <c r="C21" s="152" t="s">
        <v>128</v>
      </c>
      <c r="D21" s="592">
        <v>0</v>
      </c>
      <c r="E21" s="592">
        <v>0</v>
      </c>
      <c r="F21" s="592">
        <v>0</v>
      </c>
      <c r="G21" s="592">
        <v>0</v>
      </c>
      <c r="H21" s="592">
        <v>0</v>
      </c>
      <c r="I21" s="592">
        <v>0</v>
      </c>
      <c r="J21" s="592">
        <v>0</v>
      </c>
      <c r="K21" s="595">
        <v>0</v>
      </c>
      <c r="L21" s="58"/>
    </row>
    <row r="22" spans="2:12" s="2" customFormat="1">
      <c r="B22" s="540" t="s">
        <v>243</v>
      </c>
      <c r="C22" s="152" t="s">
        <v>128</v>
      </c>
      <c r="D22" s="592">
        <v>0</v>
      </c>
      <c r="E22" s="592">
        <v>0</v>
      </c>
      <c r="F22" s="592">
        <v>0</v>
      </c>
      <c r="G22" s="592">
        <v>0</v>
      </c>
      <c r="H22" s="592">
        <v>0</v>
      </c>
      <c r="I22" s="592">
        <v>0</v>
      </c>
      <c r="J22" s="592">
        <v>0</v>
      </c>
      <c r="K22" s="595">
        <v>0</v>
      </c>
      <c r="L22" s="58"/>
    </row>
    <row r="23" spans="2:12" s="2" customFormat="1">
      <c r="B23" s="540" t="s">
        <v>243</v>
      </c>
      <c r="C23" s="152" t="s">
        <v>128</v>
      </c>
      <c r="D23" s="592">
        <v>0</v>
      </c>
      <c r="E23" s="592">
        <v>0</v>
      </c>
      <c r="F23" s="592">
        <v>0</v>
      </c>
      <c r="G23" s="592">
        <v>0</v>
      </c>
      <c r="H23" s="592">
        <v>0</v>
      </c>
      <c r="I23" s="592">
        <v>0</v>
      </c>
      <c r="J23" s="592">
        <v>0</v>
      </c>
      <c r="K23" s="595">
        <v>0</v>
      </c>
      <c r="L23" s="58"/>
    </row>
    <row r="24" spans="2:12" s="2" customFormat="1">
      <c r="B24" s="540" t="s">
        <v>243</v>
      </c>
      <c r="C24" s="152" t="s">
        <v>128</v>
      </c>
      <c r="D24" s="592">
        <v>0</v>
      </c>
      <c r="E24" s="592">
        <v>0</v>
      </c>
      <c r="F24" s="592">
        <v>0</v>
      </c>
      <c r="G24" s="592">
        <v>0</v>
      </c>
      <c r="H24" s="592">
        <v>0</v>
      </c>
      <c r="I24" s="592">
        <v>0</v>
      </c>
      <c r="J24" s="592">
        <v>0</v>
      </c>
      <c r="K24" s="595">
        <v>0</v>
      </c>
      <c r="L24" s="58"/>
    </row>
    <row r="25" spans="2:12" s="2" customFormat="1">
      <c r="B25" s="741" t="s">
        <v>135</v>
      </c>
      <c r="C25" s="152" t="s">
        <v>128</v>
      </c>
      <c r="D25" s="592">
        <v>0</v>
      </c>
      <c r="E25" s="592">
        <v>-11.355385148499607</v>
      </c>
      <c r="F25" s="592">
        <v>-3.2351157673678363</v>
      </c>
      <c r="G25" s="592">
        <v>1.6015813780968391</v>
      </c>
      <c r="H25" s="592">
        <v>-5.5762081120217868</v>
      </c>
      <c r="I25" s="592">
        <v>1.5320368614474369</v>
      </c>
      <c r="J25" s="592">
        <v>-1.0794196868366157</v>
      </c>
      <c r="K25" s="595">
        <v>-6.4768571264929307</v>
      </c>
      <c r="L25" s="58"/>
    </row>
    <row r="26" spans="2:12" s="2" customFormat="1">
      <c r="B26" s="736" t="s">
        <v>148</v>
      </c>
      <c r="C26" s="152" t="s">
        <v>128</v>
      </c>
      <c r="D26" s="600">
        <f>SUM(D14:D24,-D25)</f>
        <v>215.842185427282</v>
      </c>
      <c r="E26" s="601">
        <f t="shared" ref="E26:K26" si="2">SUM(E14:E24,-E25)</f>
        <v>238.37501705097552</v>
      </c>
      <c r="F26" s="601">
        <f t="shared" si="2"/>
        <v>241.87980215255234</v>
      </c>
      <c r="G26" s="601">
        <f t="shared" si="2"/>
        <v>247.47611219589734</v>
      </c>
      <c r="H26" s="601">
        <f t="shared" si="2"/>
        <v>254.95592526436121</v>
      </c>
      <c r="I26" s="601">
        <f t="shared" si="2"/>
        <v>246.84923110551046</v>
      </c>
      <c r="J26" s="601">
        <f t="shared" si="2"/>
        <v>236.33392339574669</v>
      </c>
      <c r="K26" s="602">
        <f t="shared" si="2"/>
        <v>287.74585186215592</v>
      </c>
      <c r="L26" s="58"/>
    </row>
    <row r="27" spans="2:12" s="2" customFormat="1">
      <c r="B27" s="225"/>
      <c r="C27" s="138"/>
      <c r="D27" s="55"/>
      <c r="E27" s="55"/>
      <c r="F27" s="55"/>
      <c r="G27" s="61"/>
      <c r="H27" s="61"/>
      <c r="I27" s="61"/>
      <c r="J27" s="61"/>
      <c r="K27" s="61"/>
      <c r="L27" s="58"/>
    </row>
    <row r="28" spans="2:12" s="2" customFormat="1">
      <c r="B28" s="225" t="s">
        <v>150</v>
      </c>
      <c r="C28" s="138"/>
      <c r="D28" s="600">
        <f>IF(ISBLANK(D33),0,D33-D26)</f>
        <v>-3.1145116372819643</v>
      </c>
      <c r="E28" s="601">
        <f t="shared" ref="E28:K28" si="3">IF(ISBLANK(E33),0,E33-E26)</f>
        <v>1.5441041790244867</v>
      </c>
      <c r="F28" s="601">
        <f t="shared" si="3"/>
        <v>-5.3587181625523499</v>
      </c>
      <c r="G28" s="601">
        <f t="shared" si="3"/>
        <v>1.4587082141026997</v>
      </c>
      <c r="H28" s="601">
        <f t="shared" si="3"/>
        <v>-1.038158564361197</v>
      </c>
      <c r="I28" s="601">
        <f t="shared" si="3"/>
        <v>-6.2712448784852768</v>
      </c>
      <c r="J28" s="601">
        <f t="shared" si="3"/>
        <v>17.532853274253313</v>
      </c>
      <c r="K28" s="602">
        <f t="shared" si="3"/>
        <v>-0.42020485215596182</v>
      </c>
      <c r="L28" s="58"/>
    </row>
    <row r="29" spans="2:12" s="2" customFormat="1">
      <c r="B29" s="225"/>
      <c r="C29" s="138"/>
      <c r="D29" s="35"/>
      <c r="E29" s="35"/>
      <c r="F29" s="35"/>
      <c r="G29" s="35"/>
      <c r="H29" s="35"/>
      <c r="I29" s="35"/>
      <c r="J29" s="35"/>
      <c r="K29" s="35"/>
      <c r="L29" s="58"/>
    </row>
    <row r="30" spans="2:12" s="2" customFormat="1">
      <c r="B30" s="225"/>
      <c r="C30" s="138"/>
      <c r="D30" s="35"/>
      <c r="E30" s="35"/>
      <c r="F30" s="35"/>
      <c r="G30" s="35"/>
      <c r="H30" s="35"/>
      <c r="I30" s="35"/>
      <c r="J30" s="35"/>
      <c r="K30" s="35"/>
      <c r="L30" s="58"/>
    </row>
    <row r="31" spans="2:12" s="2" customFormat="1">
      <c r="B31" s="737" t="s">
        <v>193</v>
      </c>
      <c r="C31" s="150"/>
      <c r="D31" s="81"/>
      <c r="E31" s="81"/>
      <c r="F31" s="81"/>
      <c r="G31" s="81"/>
      <c r="H31" s="81"/>
      <c r="I31" s="81"/>
      <c r="J31" s="81"/>
      <c r="K31" s="81"/>
      <c r="L31" s="273"/>
    </row>
    <row r="32" spans="2:12" s="2" customFormat="1">
      <c r="B32" s="225"/>
      <c r="C32" s="138"/>
      <c r="D32" s="35"/>
      <c r="E32" s="35"/>
      <c r="F32" s="35"/>
      <c r="G32" s="35"/>
      <c r="H32" s="35"/>
      <c r="I32" s="35"/>
      <c r="J32" s="35"/>
      <c r="K32" s="35"/>
      <c r="L32" s="58"/>
    </row>
    <row r="33" spans="2:12" s="2" customFormat="1">
      <c r="B33" s="738" t="s">
        <v>149</v>
      </c>
      <c r="C33" s="138"/>
      <c r="D33" s="592">
        <v>212.72767379000004</v>
      </c>
      <c r="E33" s="592">
        <v>239.91912123</v>
      </c>
      <c r="F33" s="592">
        <v>236.52108398999999</v>
      </c>
      <c r="G33" s="592">
        <v>248.93482041000004</v>
      </c>
      <c r="H33" s="592">
        <v>253.91776670000002</v>
      </c>
      <c r="I33" s="592">
        <v>240.57798622702518</v>
      </c>
      <c r="J33" s="592">
        <v>253.86677667000001</v>
      </c>
      <c r="K33" s="623">
        <v>287.32564700999995</v>
      </c>
      <c r="L33" s="58"/>
    </row>
    <row r="34" spans="2:12" s="2" customFormat="1">
      <c r="B34" s="129"/>
      <c r="C34" s="136"/>
      <c r="L34" s="58"/>
    </row>
    <row r="35" spans="2:12" s="2" customFormat="1">
      <c r="B35" s="393" t="s">
        <v>136</v>
      </c>
      <c r="C35" s="136"/>
      <c r="L35" s="58"/>
    </row>
    <row r="36" spans="2:12" s="2" customFormat="1">
      <c r="B36" s="865" t="s">
        <v>137</v>
      </c>
      <c r="C36" s="152" t="s">
        <v>128</v>
      </c>
      <c r="D36" s="592">
        <v>0</v>
      </c>
      <c r="E36" s="592">
        <v>0</v>
      </c>
      <c r="F36" s="592">
        <v>0</v>
      </c>
      <c r="G36" s="592">
        <v>0</v>
      </c>
      <c r="H36" s="592">
        <v>0</v>
      </c>
      <c r="I36" s="592">
        <v>0</v>
      </c>
      <c r="J36" s="592">
        <v>0</v>
      </c>
      <c r="K36" s="603">
        <v>0</v>
      </c>
      <c r="L36" s="58"/>
    </row>
    <row r="37" spans="2:12" s="2" customFormat="1">
      <c r="B37" s="865" t="s">
        <v>138</v>
      </c>
      <c r="C37" s="152" t="s">
        <v>128</v>
      </c>
      <c r="D37" s="592">
        <v>1.2174</v>
      </c>
      <c r="E37" s="592">
        <v>1.1036000000000001</v>
      </c>
      <c r="F37" s="592">
        <v>0.98809999999999998</v>
      </c>
      <c r="G37" s="592">
        <v>0.93400000000000005</v>
      </c>
      <c r="H37" s="592">
        <v>0.838098546</v>
      </c>
      <c r="I37" s="592">
        <v>0.78585302400000001</v>
      </c>
      <c r="J37" s="592">
        <v>0.72699999999999998</v>
      </c>
      <c r="K37" s="604">
        <v>0.63669999999999993</v>
      </c>
      <c r="L37" s="58"/>
    </row>
    <row r="38" spans="2:12" s="2" customFormat="1">
      <c r="B38" s="865" t="s">
        <v>139</v>
      </c>
      <c r="C38" s="152" t="s">
        <v>128</v>
      </c>
      <c r="D38" s="592">
        <v>4.1289999999999996</v>
      </c>
      <c r="E38" s="592">
        <v>37.105240045750001</v>
      </c>
      <c r="F38" s="592">
        <v>37.630099999999999</v>
      </c>
      <c r="G38" s="592">
        <v>23.5501</v>
      </c>
      <c r="H38" s="592">
        <v>26.951672869999999</v>
      </c>
      <c r="I38" s="592">
        <v>30.49349458</v>
      </c>
      <c r="J38" s="592">
        <v>32.088999999999999</v>
      </c>
      <c r="K38" s="604">
        <v>30.2209</v>
      </c>
      <c r="L38" s="58"/>
    </row>
    <row r="39" spans="2:12" s="2" customFormat="1">
      <c r="B39" s="865" t="s">
        <v>140</v>
      </c>
      <c r="C39" s="152" t="s">
        <v>128</v>
      </c>
      <c r="D39" s="592">
        <v>0</v>
      </c>
      <c r="E39" s="592">
        <v>0</v>
      </c>
      <c r="F39" s="592">
        <v>0</v>
      </c>
      <c r="G39" s="592">
        <v>0</v>
      </c>
      <c r="H39" s="592">
        <v>0</v>
      </c>
      <c r="I39" s="592">
        <v>0</v>
      </c>
      <c r="J39" s="592">
        <v>0</v>
      </c>
      <c r="K39" s="604">
        <v>0</v>
      </c>
      <c r="L39" s="58"/>
    </row>
    <row r="40" spans="2:12" s="2" customFormat="1">
      <c r="B40" s="865" t="s">
        <v>141</v>
      </c>
      <c r="C40" s="152" t="s">
        <v>128</v>
      </c>
      <c r="D40" s="592">
        <v>0</v>
      </c>
      <c r="E40" s="592">
        <v>0</v>
      </c>
      <c r="F40" s="592">
        <v>0</v>
      </c>
      <c r="G40" s="592">
        <v>0</v>
      </c>
      <c r="H40" s="592">
        <v>0</v>
      </c>
      <c r="I40" s="592">
        <v>0</v>
      </c>
      <c r="J40" s="592">
        <v>0</v>
      </c>
      <c r="K40" s="604">
        <v>0</v>
      </c>
      <c r="L40" s="58"/>
    </row>
    <row r="41" spans="2:12" s="2" customFormat="1">
      <c r="B41" s="865" t="s">
        <v>142</v>
      </c>
      <c r="C41" s="152" t="s">
        <v>128</v>
      </c>
      <c r="D41" s="592">
        <v>2.4264000000000001</v>
      </c>
      <c r="E41" s="592">
        <v>2.1886000000000001</v>
      </c>
      <c r="F41" s="592">
        <v>4.0274999999999999</v>
      </c>
      <c r="G41" s="592">
        <v>5.0038</v>
      </c>
      <c r="H41" s="592">
        <v>4.9657826780000001</v>
      </c>
      <c r="I41" s="592">
        <v>0.68960463000000005</v>
      </c>
      <c r="J41" s="592">
        <v>2.3530000000000002</v>
      </c>
      <c r="K41" s="604">
        <v>2.7687000000000004</v>
      </c>
      <c r="L41" s="58"/>
    </row>
    <row r="42" spans="2:12" s="2" customFormat="1">
      <c r="B42" s="865" t="s">
        <v>143</v>
      </c>
      <c r="C42" s="152" t="s">
        <v>128</v>
      </c>
      <c r="D42" s="592">
        <v>0</v>
      </c>
      <c r="E42" s="592">
        <v>0</v>
      </c>
      <c r="F42" s="592">
        <v>0</v>
      </c>
      <c r="G42" s="592">
        <v>0</v>
      </c>
      <c r="H42" s="592">
        <v>0</v>
      </c>
      <c r="I42" s="592">
        <v>0</v>
      </c>
      <c r="J42" s="592">
        <v>0</v>
      </c>
      <c r="K42" s="604">
        <v>0</v>
      </c>
      <c r="L42" s="58"/>
    </row>
    <row r="43" spans="2:12" s="2" customFormat="1">
      <c r="B43" s="866" t="s">
        <v>144</v>
      </c>
      <c r="C43" s="152" t="s">
        <v>128</v>
      </c>
      <c r="D43" s="592">
        <v>0</v>
      </c>
      <c r="E43" s="592">
        <v>0</v>
      </c>
      <c r="F43" s="592">
        <v>0</v>
      </c>
      <c r="G43" s="592">
        <v>0</v>
      </c>
      <c r="H43" s="592">
        <v>0</v>
      </c>
      <c r="I43" s="592">
        <v>0</v>
      </c>
      <c r="J43" s="592">
        <v>0</v>
      </c>
      <c r="K43" s="606">
        <v>0</v>
      </c>
      <c r="L43" s="58"/>
    </row>
    <row r="44" spans="2:12" s="2" customFormat="1">
      <c r="B44" s="864" t="s">
        <v>521</v>
      </c>
      <c r="C44" s="152" t="s">
        <v>128</v>
      </c>
      <c r="D44" s="592">
        <v>0</v>
      </c>
      <c r="E44" s="592">
        <v>0</v>
      </c>
      <c r="F44" s="592">
        <v>0</v>
      </c>
      <c r="G44" s="592">
        <v>0</v>
      </c>
      <c r="H44" s="592">
        <v>0</v>
      </c>
      <c r="I44" s="592">
        <v>0</v>
      </c>
      <c r="J44" s="592">
        <v>0</v>
      </c>
      <c r="K44" s="606">
        <v>0</v>
      </c>
      <c r="L44" s="58"/>
    </row>
    <row r="45" spans="2:12" s="2" customFormat="1">
      <c r="B45" s="393" t="s">
        <v>176</v>
      </c>
      <c r="C45" s="152" t="s">
        <v>128</v>
      </c>
      <c r="D45" s="607">
        <f>SUM(D36:D44)</f>
        <v>7.7727999999999993</v>
      </c>
      <c r="E45" s="608">
        <f t="shared" ref="E45:K45" si="4">SUM(E36:E44)</f>
        <v>40.397440045750002</v>
      </c>
      <c r="F45" s="608">
        <f t="shared" si="4"/>
        <v>42.645700000000005</v>
      </c>
      <c r="G45" s="608">
        <f t="shared" si="4"/>
        <v>29.487900000000003</v>
      </c>
      <c r="H45" s="608">
        <f t="shared" si="4"/>
        <v>32.755554094000004</v>
      </c>
      <c r="I45" s="608">
        <f t="shared" si="4"/>
        <v>31.968952234000003</v>
      </c>
      <c r="J45" s="608">
        <f t="shared" si="4"/>
        <v>35.168999999999997</v>
      </c>
      <c r="K45" s="609">
        <f t="shared" si="4"/>
        <v>33.626300000000001</v>
      </c>
      <c r="L45" s="58"/>
    </row>
    <row r="46" spans="2:12" s="2" customFormat="1">
      <c r="B46" s="129"/>
      <c r="C46" s="136"/>
      <c r="L46" s="58"/>
    </row>
    <row r="47" spans="2:12" s="2" customFormat="1">
      <c r="B47" s="393" t="s">
        <v>145</v>
      </c>
      <c r="C47" s="136"/>
      <c r="L47" s="54"/>
    </row>
    <row r="48" spans="2:12" s="2" customFormat="1">
      <c r="B48" s="540" t="s">
        <v>580</v>
      </c>
      <c r="C48" s="152" t="s">
        <v>128</v>
      </c>
      <c r="D48" s="592">
        <v>1.4123940700000002</v>
      </c>
      <c r="E48" s="592">
        <v>1.5781962919999999</v>
      </c>
      <c r="F48" s="592">
        <v>1.9098928800000003</v>
      </c>
      <c r="G48" s="592">
        <v>1.71462746</v>
      </c>
      <c r="H48" s="592">
        <v>2.0812996999900002</v>
      </c>
      <c r="I48" s="592">
        <v>2.0997141899899998</v>
      </c>
      <c r="J48" s="592">
        <v>1.5918853000100004</v>
      </c>
      <c r="K48" s="592">
        <v>1.24602682846</v>
      </c>
      <c r="L48" s="58"/>
    </row>
    <row r="49" spans="2:12" s="2" customFormat="1">
      <c r="B49" s="540" t="s">
        <v>581</v>
      </c>
      <c r="C49" s="152" t="s">
        <v>128</v>
      </c>
      <c r="D49" s="592">
        <v>-0.33719300000000002</v>
      </c>
      <c r="E49" s="592">
        <v>-0.35262568001</v>
      </c>
      <c r="F49" s="592">
        <v>-0.27200004</v>
      </c>
      <c r="G49" s="592">
        <v>-0.27158536</v>
      </c>
      <c r="H49" s="592">
        <v>-0.24219570000000001</v>
      </c>
      <c r="I49" s="592">
        <v>-0.32859740000000004</v>
      </c>
      <c r="J49" s="592">
        <v>-0.33000367999999997</v>
      </c>
      <c r="K49" s="592">
        <v>-0.36209842999999997</v>
      </c>
      <c r="L49" s="58"/>
    </row>
    <row r="50" spans="2:12" s="2" customFormat="1">
      <c r="B50" s="540" t="s">
        <v>582</v>
      </c>
      <c r="C50" s="152" t="s">
        <v>128</v>
      </c>
      <c r="D50" s="592">
        <v>-0.96548358000000012</v>
      </c>
      <c r="E50" s="592">
        <v>1.6866510799999999</v>
      </c>
      <c r="F50" s="592">
        <v>-1.0636072700000001</v>
      </c>
      <c r="G50" s="592">
        <v>-0.52263194000000002</v>
      </c>
      <c r="H50" s="592">
        <v>-1.0043165999999999</v>
      </c>
      <c r="I50" s="592">
        <v>-0.62487837000000002</v>
      </c>
      <c r="J50" s="592">
        <v>-0.91101423000000004</v>
      </c>
      <c r="K50" s="592">
        <v>-0.53060155000000009</v>
      </c>
      <c r="L50" s="58"/>
    </row>
    <row r="51" spans="2:12" s="2" customFormat="1">
      <c r="B51" s="540" t="s">
        <v>583</v>
      </c>
      <c r="C51" s="152" t="s">
        <v>128</v>
      </c>
      <c r="D51" s="592">
        <v>25.659099999999999</v>
      </c>
      <c r="E51" s="592">
        <v>0</v>
      </c>
      <c r="F51" s="592">
        <v>0</v>
      </c>
      <c r="G51" s="592">
        <v>0</v>
      </c>
      <c r="H51" s="592">
        <v>0</v>
      </c>
      <c r="I51" s="592">
        <v>0</v>
      </c>
      <c r="J51" s="592">
        <v>0</v>
      </c>
      <c r="K51" s="592">
        <v>0</v>
      </c>
      <c r="L51" s="58"/>
    </row>
    <row r="52" spans="2:12" s="2" customFormat="1">
      <c r="B52" s="540" t="s">
        <v>584</v>
      </c>
      <c r="C52" s="152" t="s">
        <v>128</v>
      </c>
      <c r="D52" s="592">
        <v>-26.252399999999998</v>
      </c>
      <c r="E52" s="592">
        <v>-31.95034004575</v>
      </c>
      <c r="F52" s="592">
        <v>-33.854799999999997</v>
      </c>
      <c r="G52" s="592">
        <v>-20.103242189015599</v>
      </c>
      <c r="H52" s="592">
        <v>-23.756599999999999</v>
      </c>
      <c r="I52" s="592">
        <v>-25.658999999999999</v>
      </c>
      <c r="J52" s="592">
        <v>-23.088000000000001</v>
      </c>
      <c r="K52" s="592">
        <v>-25.017099999999999</v>
      </c>
      <c r="L52" s="58"/>
    </row>
    <row r="53" spans="2:12" s="2" customFormat="1">
      <c r="B53" s="540" t="s">
        <v>585</v>
      </c>
      <c r="C53" s="152" t="s">
        <v>128</v>
      </c>
      <c r="D53" s="592">
        <v>0.59330000000000005</v>
      </c>
      <c r="E53" s="592">
        <v>0</v>
      </c>
      <c r="F53" s="592">
        <v>0</v>
      </c>
      <c r="G53" s="592">
        <v>0</v>
      </c>
      <c r="H53" s="592">
        <v>0</v>
      </c>
      <c r="I53" s="592">
        <v>0</v>
      </c>
      <c r="J53" s="592">
        <v>0</v>
      </c>
      <c r="K53" s="592">
        <v>0</v>
      </c>
      <c r="L53" s="58"/>
    </row>
    <row r="54" spans="2:12" s="2" customFormat="1">
      <c r="B54" s="540" t="s">
        <v>154</v>
      </c>
      <c r="C54" s="152" t="s">
        <v>128</v>
      </c>
      <c r="D54" s="592">
        <v>0</v>
      </c>
      <c r="E54" s="592">
        <v>0</v>
      </c>
      <c r="F54" s="592">
        <v>0</v>
      </c>
      <c r="G54" s="592">
        <v>0</v>
      </c>
      <c r="H54" s="592">
        <v>-0.1</v>
      </c>
      <c r="I54" s="592">
        <v>0</v>
      </c>
      <c r="J54" s="592">
        <v>-0.1</v>
      </c>
      <c r="K54" s="592">
        <v>0</v>
      </c>
      <c r="L54" s="58"/>
    </row>
    <row r="55" spans="2:12" s="2" customFormat="1">
      <c r="B55" s="912" t="s">
        <v>669</v>
      </c>
      <c r="C55" s="152" t="s">
        <v>128</v>
      </c>
      <c r="D55" s="592">
        <v>0</v>
      </c>
      <c r="E55" s="592">
        <v>0</v>
      </c>
      <c r="F55" s="592">
        <v>0</v>
      </c>
      <c r="G55" s="592">
        <v>0</v>
      </c>
      <c r="H55" s="592">
        <v>0</v>
      </c>
      <c r="I55" s="592">
        <v>0</v>
      </c>
      <c r="J55" s="592">
        <v>7.5534999999999997</v>
      </c>
      <c r="K55" s="592">
        <v>7.9548999999999994</v>
      </c>
      <c r="L55" s="58"/>
    </row>
    <row r="56" spans="2:12" s="2" customFormat="1">
      <c r="B56" s="540" t="s">
        <v>243</v>
      </c>
      <c r="C56" s="152" t="s">
        <v>128</v>
      </c>
      <c r="D56" s="592">
        <v>0</v>
      </c>
      <c r="E56" s="592">
        <v>0</v>
      </c>
      <c r="F56" s="592">
        <v>0</v>
      </c>
      <c r="G56" s="592">
        <v>0</v>
      </c>
      <c r="H56" s="592">
        <v>0</v>
      </c>
      <c r="I56" s="592">
        <v>0</v>
      </c>
      <c r="J56" s="592">
        <v>0</v>
      </c>
      <c r="K56" s="592"/>
      <c r="L56" s="58"/>
    </row>
    <row r="57" spans="2:12" s="2" customFormat="1">
      <c r="B57" s="540" t="s">
        <v>243</v>
      </c>
      <c r="C57" s="152" t="s">
        <v>128</v>
      </c>
      <c r="D57" s="592">
        <v>0</v>
      </c>
      <c r="E57" s="592">
        <v>0</v>
      </c>
      <c r="F57" s="592">
        <v>0</v>
      </c>
      <c r="G57" s="592">
        <v>0</v>
      </c>
      <c r="H57" s="592">
        <v>0</v>
      </c>
      <c r="I57" s="592">
        <v>0</v>
      </c>
      <c r="J57" s="592">
        <v>0</v>
      </c>
      <c r="K57" s="592"/>
      <c r="L57" s="58"/>
    </row>
    <row r="58" spans="2:12" s="2" customFormat="1">
      <c r="B58" s="540" t="s">
        <v>243</v>
      </c>
      <c r="C58" s="152" t="s">
        <v>128</v>
      </c>
      <c r="D58" s="592">
        <v>0</v>
      </c>
      <c r="E58" s="592">
        <v>0</v>
      </c>
      <c r="F58" s="592">
        <v>0</v>
      </c>
      <c r="G58" s="592">
        <v>0</v>
      </c>
      <c r="H58" s="592">
        <v>0</v>
      </c>
      <c r="I58" s="592">
        <v>0</v>
      </c>
      <c r="J58" s="592">
        <v>0</v>
      </c>
      <c r="K58" s="592"/>
      <c r="L58" s="58"/>
    </row>
    <row r="59" spans="2:12" s="2" customFormat="1">
      <c r="B59" s="540" t="s">
        <v>243</v>
      </c>
      <c r="C59" s="152" t="s">
        <v>128</v>
      </c>
      <c r="D59" s="592">
        <v>0</v>
      </c>
      <c r="E59" s="592">
        <v>0</v>
      </c>
      <c r="F59" s="592">
        <v>0</v>
      </c>
      <c r="G59" s="592">
        <v>0</v>
      </c>
      <c r="H59" s="592">
        <v>0</v>
      </c>
      <c r="I59" s="592">
        <v>0</v>
      </c>
      <c r="J59" s="592">
        <v>0</v>
      </c>
      <c r="K59" s="592"/>
      <c r="L59" s="58"/>
    </row>
    <row r="60" spans="2:12" s="2" customFormat="1">
      <c r="B60" s="540" t="s">
        <v>243</v>
      </c>
      <c r="C60" s="152" t="s">
        <v>128</v>
      </c>
      <c r="D60" s="592">
        <v>0</v>
      </c>
      <c r="E60" s="592">
        <v>0</v>
      </c>
      <c r="F60" s="592">
        <v>0</v>
      </c>
      <c r="G60" s="592">
        <v>0</v>
      </c>
      <c r="H60" s="592">
        <v>0</v>
      </c>
      <c r="I60" s="592">
        <v>0</v>
      </c>
      <c r="J60" s="592">
        <v>0</v>
      </c>
      <c r="K60" s="592"/>
      <c r="L60" s="58"/>
    </row>
    <row r="61" spans="2:12" s="2" customFormat="1">
      <c r="B61" s="540" t="s">
        <v>243</v>
      </c>
      <c r="C61" s="152" t="s">
        <v>128</v>
      </c>
      <c r="D61" s="592">
        <v>0</v>
      </c>
      <c r="E61" s="592">
        <v>0</v>
      </c>
      <c r="F61" s="592">
        <v>0</v>
      </c>
      <c r="G61" s="592">
        <v>0</v>
      </c>
      <c r="H61" s="592">
        <v>0</v>
      </c>
      <c r="I61" s="592">
        <v>0</v>
      </c>
      <c r="J61" s="592">
        <v>0</v>
      </c>
      <c r="K61" s="592"/>
      <c r="L61" s="58"/>
    </row>
    <row r="62" spans="2:12" s="2" customFormat="1">
      <c r="B62" s="540" t="s">
        <v>243</v>
      </c>
      <c r="C62" s="152" t="s">
        <v>128</v>
      </c>
      <c r="D62" s="592">
        <v>0</v>
      </c>
      <c r="E62" s="592">
        <v>0</v>
      </c>
      <c r="F62" s="592">
        <v>0</v>
      </c>
      <c r="G62" s="592">
        <v>0</v>
      </c>
      <c r="H62" s="592">
        <v>0</v>
      </c>
      <c r="I62" s="592">
        <v>0</v>
      </c>
      <c r="J62" s="592">
        <v>0</v>
      </c>
      <c r="K62" s="592"/>
      <c r="L62" s="58"/>
    </row>
    <row r="63" spans="2:12" s="2" customFormat="1">
      <c r="B63" s="742" t="s">
        <v>154</v>
      </c>
      <c r="C63" s="152" t="s">
        <v>128</v>
      </c>
      <c r="D63" s="592">
        <v>0</v>
      </c>
      <c r="E63" s="592">
        <v>0</v>
      </c>
      <c r="F63" s="592">
        <v>0</v>
      </c>
      <c r="G63" s="592">
        <v>0</v>
      </c>
      <c r="H63" s="592">
        <v>0</v>
      </c>
      <c r="I63" s="592">
        <v>0</v>
      </c>
      <c r="J63" s="592">
        <v>0</v>
      </c>
      <c r="K63" s="592">
        <v>0.1</v>
      </c>
      <c r="L63" s="58"/>
    </row>
    <row r="64" spans="2:12" s="2" customFormat="1">
      <c r="B64" s="738" t="s">
        <v>177</v>
      </c>
      <c r="C64" s="152" t="s">
        <v>128</v>
      </c>
      <c r="D64" s="600">
        <f t="shared" ref="D64:K64" si="5">SUM(D48:D63)</f>
        <v>0.10971749000000208</v>
      </c>
      <c r="E64" s="601">
        <f t="shared" si="5"/>
        <v>-29.038118353760002</v>
      </c>
      <c r="F64" s="601">
        <f t="shared" si="5"/>
        <v>-33.280514429999997</v>
      </c>
      <c r="G64" s="601">
        <f t="shared" si="5"/>
        <v>-19.1828320290156</v>
      </c>
      <c r="H64" s="601">
        <f t="shared" si="5"/>
        <v>-23.021812600010001</v>
      </c>
      <c r="I64" s="601">
        <f t="shared" si="5"/>
        <v>-24.51276158001</v>
      </c>
      <c r="J64" s="601">
        <f t="shared" si="5"/>
        <v>-15.283632609990001</v>
      </c>
      <c r="K64" s="602">
        <f t="shared" si="5"/>
        <v>-16.608873151539999</v>
      </c>
      <c r="L64" s="58"/>
    </row>
    <row r="65" spans="1:13" s="2" customFormat="1">
      <c r="B65" s="225"/>
      <c r="C65" s="138"/>
      <c r="D65" s="56"/>
      <c r="E65" s="56"/>
      <c r="F65" s="56"/>
      <c r="G65" s="56"/>
      <c r="H65" s="56"/>
      <c r="I65" s="56"/>
      <c r="J65" s="56"/>
      <c r="K65" s="56"/>
      <c r="L65" s="58"/>
    </row>
    <row r="66" spans="1:13" s="2" customFormat="1">
      <c r="B66" s="738" t="s">
        <v>146</v>
      </c>
      <c r="C66" s="152" t="s">
        <v>128</v>
      </c>
      <c r="D66" s="611">
        <f t="shared" ref="D66:K66" si="6">D33+D45+D64</f>
        <v>220.61019128000004</v>
      </c>
      <c r="E66" s="612">
        <f t="shared" si="6"/>
        <v>251.27844292199001</v>
      </c>
      <c r="F66" s="612">
        <f t="shared" si="6"/>
        <v>245.88626956000002</v>
      </c>
      <c r="G66" s="612">
        <f t="shared" si="6"/>
        <v>259.23988838098444</v>
      </c>
      <c r="H66" s="612">
        <f t="shared" si="6"/>
        <v>263.65150819399003</v>
      </c>
      <c r="I66" s="612">
        <f t="shared" si="6"/>
        <v>248.03417688101521</v>
      </c>
      <c r="J66" s="612">
        <f t="shared" si="6"/>
        <v>273.75214406001004</v>
      </c>
      <c r="K66" s="613">
        <f t="shared" si="6"/>
        <v>304.34307385845995</v>
      </c>
      <c r="L66" s="58"/>
      <c r="M66" s="323"/>
    </row>
    <row r="67" spans="1:13" s="2" customFormat="1">
      <c r="B67" s="738" t="s">
        <v>194</v>
      </c>
      <c r="C67" s="152" t="s">
        <v>128</v>
      </c>
      <c r="D67" s="592">
        <v>220.6</v>
      </c>
      <c r="E67" s="592">
        <v>251.2</v>
      </c>
      <c r="F67" s="592">
        <v>245.8</v>
      </c>
      <c r="G67" s="592">
        <v>259.2</v>
      </c>
      <c r="H67" s="592">
        <v>263.60000000000002</v>
      </c>
      <c r="I67" s="592">
        <v>248</v>
      </c>
      <c r="J67" s="592">
        <v>273.8</v>
      </c>
      <c r="K67" s="592">
        <v>304.3</v>
      </c>
      <c r="L67" s="58"/>
      <c r="M67" s="323"/>
    </row>
    <row r="68" spans="1:13" s="2" customFormat="1">
      <c r="B68" s="225" t="s">
        <v>122</v>
      </c>
      <c r="C68" s="138"/>
      <c r="D68" s="115" t="str">
        <f>IF(ABS(D66-D67)&lt;'RFPR cover'!$F$14,"OK","Error")</f>
        <v>OK</v>
      </c>
      <c r="E68" s="115" t="str">
        <f>IF(ABS(E66-E67)&lt;'RFPR cover'!$F$14,"OK","Error")</f>
        <v>OK</v>
      </c>
      <c r="F68" s="115" t="str">
        <f>IF(ABS(F66-F67)&lt;'RFPR cover'!$F$14,"OK","Error")</f>
        <v>OK</v>
      </c>
      <c r="G68" s="115" t="str">
        <f>IF(ABS(G66-G67)&lt;'RFPR cover'!$F$14,"OK","Error")</f>
        <v>OK</v>
      </c>
      <c r="H68" s="115" t="str">
        <f>IF(ABS(H66-H67)&lt;'RFPR cover'!$F$14,"OK","Error")</f>
        <v>OK</v>
      </c>
      <c r="I68" s="115" t="str">
        <f>IF(ABS(I66-I67)&lt;'RFPR cover'!$F$14,"OK","Error")</f>
        <v>OK</v>
      </c>
      <c r="J68" s="115" t="str">
        <f>IF(ABS(J66-J67)&lt;'RFPR cover'!$F$14,"OK","Error")</f>
        <v>OK</v>
      </c>
      <c r="K68" s="115" t="str">
        <f>IF(ABS(K66-K67)&lt;'RFPR cover'!$F$14,"OK","Error")</f>
        <v>OK</v>
      </c>
      <c r="L68" s="58"/>
    </row>
    <row r="69" spans="1:13" s="2" customFormat="1">
      <c r="B69" s="129"/>
      <c r="C69" s="138"/>
      <c r="D69" s="48"/>
      <c r="E69" s="48"/>
      <c r="F69" s="48"/>
      <c r="G69" s="48"/>
      <c r="H69" s="48"/>
      <c r="I69" s="48"/>
      <c r="J69" s="48"/>
      <c r="K69" s="48"/>
      <c r="L69" s="58"/>
    </row>
    <row r="70" spans="1:13" s="2" customFormat="1">
      <c r="B70" s="129"/>
      <c r="C70" s="136"/>
      <c r="L70" s="54"/>
    </row>
    <row r="71" spans="1:13" s="2" customFormat="1">
      <c r="A71" s="81"/>
      <c r="B71" s="743"/>
      <c r="C71" s="150"/>
      <c r="D71" s="81"/>
      <c r="E71" s="81"/>
      <c r="F71" s="81"/>
      <c r="G71" s="81"/>
      <c r="H71" s="81"/>
      <c r="I71" s="81"/>
      <c r="J71" s="81"/>
      <c r="K71" s="81"/>
      <c r="L71" s="272"/>
    </row>
  </sheetData>
  <conditionalFormatting sqref="D6:K6">
    <cfRule type="expression" dxfId="98" priority="32">
      <formula>AND(D$5="Actuals",E$5="Forecast")</formula>
    </cfRule>
  </conditionalFormatting>
  <conditionalFormatting sqref="D5:K5">
    <cfRule type="expression" dxfId="97" priority="25">
      <formula>AND(D$5="Actuals",E$5="Forecast")</formula>
    </cfRule>
  </conditionalFormatting>
  <conditionalFormatting sqref="D45:I45 D28:H28 D68:K68 D64:I64 K33 K64 D66:I66 K66 K36:K45">
    <cfRule type="expression" dxfId="96" priority="24">
      <formula>D$5="Forecast"</formula>
    </cfRule>
  </conditionalFormatting>
  <conditionalFormatting sqref="I14:I15 I28 I17:I18 I26 K28 K10:K26">
    <cfRule type="expression" dxfId="95" priority="23">
      <formula>I$5="Forecast"</formula>
    </cfRule>
  </conditionalFormatting>
  <conditionalFormatting sqref="H14:H15 H26 H17:H18">
    <cfRule type="expression" dxfId="94" priority="22">
      <formula>H$5="Forecast"</formula>
    </cfRule>
  </conditionalFormatting>
  <conditionalFormatting sqref="G14:G15 G26 G17:G18">
    <cfRule type="expression" dxfId="93" priority="21">
      <formula>G$5="Forecast"</formula>
    </cfRule>
  </conditionalFormatting>
  <conditionalFormatting sqref="J28 J14:J15 J26 J17:J18">
    <cfRule type="expression" dxfId="92" priority="14">
      <formula>J$5="Forecast"</formula>
    </cfRule>
  </conditionalFormatting>
  <conditionalFormatting sqref="J45 J64 J66">
    <cfRule type="expression" dxfId="91" priority="9">
      <formula>J$5="Forecast"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M86"/>
  <sheetViews>
    <sheetView showGridLines="0" zoomScale="60" zoomScaleNormal="60" workbookViewId="0">
      <pane ySplit="6" topLeftCell="A46" activePane="bottomLeft" state="frozen"/>
      <selection activeCell="I11" sqref="I11"/>
      <selection pane="bottomLeft" activeCell="K27" sqref="K27"/>
    </sheetView>
  </sheetViews>
  <sheetFormatPr defaultRowHeight="12.75"/>
  <cols>
    <col min="1" max="1" width="8.375" customWidth="1"/>
    <col min="2" max="2" width="74.5" customWidth="1"/>
    <col min="3" max="3" width="13.375" style="136" customWidth="1"/>
    <col min="4" max="11" width="11.125" customWidth="1"/>
    <col min="12" max="12" width="5" customWidth="1"/>
  </cols>
  <sheetData>
    <row r="1" spans="1:12" s="31" customFormat="1" ht="20.25">
      <c r="A1" s="893" t="s">
        <v>306</v>
      </c>
      <c r="B1" s="894"/>
      <c r="C1" s="148"/>
      <c r="D1" s="121"/>
      <c r="E1" s="121"/>
      <c r="F1" s="121"/>
      <c r="G1" s="121"/>
      <c r="H1" s="121"/>
      <c r="I1" s="121"/>
      <c r="J1" s="121"/>
      <c r="K1" s="121"/>
      <c r="L1" s="122"/>
    </row>
    <row r="2" spans="1:12" s="31" customFormat="1" ht="20.25">
      <c r="A2" s="878" t="str">
        <f>'RFPR cover'!C5</f>
        <v>NGED-SWALES</v>
      </c>
      <c r="B2" s="870"/>
      <c r="C2" s="134"/>
      <c r="D2" s="29"/>
      <c r="E2" s="29"/>
      <c r="F2" s="29"/>
      <c r="G2" s="29"/>
      <c r="H2" s="29"/>
      <c r="I2" s="27"/>
      <c r="J2" s="27"/>
      <c r="K2" s="27"/>
      <c r="L2" s="123"/>
    </row>
    <row r="3" spans="1:12" s="31" customFormat="1" ht="20.25">
      <c r="A3" s="895">
        <f>'RFPR cover'!C7</f>
        <v>2023</v>
      </c>
      <c r="B3" s="896"/>
      <c r="C3" s="149"/>
      <c r="D3" s="124"/>
      <c r="E3" s="124"/>
      <c r="F3" s="124"/>
      <c r="G3" s="124"/>
      <c r="H3" s="124"/>
      <c r="I3" s="28"/>
      <c r="J3" s="28"/>
      <c r="K3" s="28"/>
      <c r="L3" s="125"/>
    </row>
    <row r="4" spans="1:12" s="2" customFormat="1" ht="12.75" customHeight="1">
      <c r="C4" s="136"/>
    </row>
    <row r="5" spans="1:12" s="2" customFormat="1">
      <c r="B5" s="3"/>
      <c r="C5" s="136"/>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Actuals</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C7" s="136"/>
    </row>
    <row r="8" spans="1:12" s="2" customFormat="1">
      <c r="B8" s="51" t="s">
        <v>312</v>
      </c>
      <c r="C8" s="137"/>
      <c r="D8" s="51"/>
      <c r="E8" s="51"/>
      <c r="F8" s="51"/>
      <c r="G8" s="51"/>
      <c r="H8" s="51"/>
      <c r="I8" s="51"/>
      <c r="J8" s="51"/>
      <c r="K8" s="51"/>
      <c r="L8" s="35"/>
    </row>
    <row r="9" spans="1:12" s="2" customFormat="1">
      <c r="B9" s="129" t="s">
        <v>160</v>
      </c>
      <c r="C9" s="152" t="s">
        <v>128</v>
      </c>
      <c r="D9" s="592">
        <v>141.49812031000025</v>
      </c>
      <c r="E9" s="592">
        <v>144.35600000000002</v>
      </c>
      <c r="F9" s="592">
        <v>151.88500000000002</v>
      </c>
      <c r="G9" s="592">
        <v>145.74800000000002</v>
      </c>
      <c r="H9" s="592">
        <v>138.1</v>
      </c>
      <c r="I9" s="592">
        <v>162.30000000000001</v>
      </c>
      <c r="J9" s="592">
        <v>156.80000000000001</v>
      </c>
      <c r="K9" s="592">
        <v>186.7</v>
      </c>
    </row>
    <row r="10" spans="1:12" s="2" customFormat="1">
      <c r="B10" s="129" t="s">
        <v>161</v>
      </c>
      <c r="C10" s="152" t="s">
        <v>128</v>
      </c>
      <c r="D10" s="592">
        <v>-3.0469999999976904E-5</v>
      </c>
      <c r="E10" s="592">
        <v>1.3</v>
      </c>
      <c r="F10" s="592">
        <v>1.1000000000000001</v>
      </c>
      <c r="G10" s="592">
        <v>2</v>
      </c>
      <c r="H10" s="592">
        <v>1.1000000000000001</v>
      </c>
      <c r="I10" s="592">
        <v>1.8</v>
      </c>
      <c r="J10" s="592">
        <v>2.4</v>
      </c>
      <c r="K10" s="592">
        <v>2.2999999999999998</v>
      </c>
    </row>
    <row r="11" spans="1:12" s="2" customFormat="1" ht="29.25" customHeight="1">
      <c r="B11" s="130" t="s">
        <v>448</v>
      </c>
      <c r="C11" s="152" t="s">
        <v>128</v>
      </c>
      <c r="D11" s="592">
        <v>-1.228</v>
      </c>
      <c r="E11" s="592">
        <v>0</v>
      </c>
      <c r="F11" s="592">
        <v>0</v>
      </c>
      <c r="G11" s="592">
        <v>0</v>
      </c>
      <c r="H11" s="592">
        <v>0</v>
      </c>
      <c r="I11" s="592">
        <v>0</v>
      </c>
      <c r="J11" s="592">
        <v>0</v>
      </c>
      <c r="K11" s="592">
        <v>0</v>
      </c>
    </row>
    <row r="12" spans="1:12" s="2" customFormat="1">
      <c r="B12" s="129" t="s">
        <v>162</v>
      </c>
      <c r="C12" s="152" t="s">
        <v>128</v>
      </c>
      <c r="D12" s="592">
        <v>-26.2624</v>
      </c>
      <c r="E12" s="592">
        <v>-33.477437860000002</v>
      </c>
      <c r="F12" s="592">
        <v>-35.374176420000005</v>
      </c>
      <c r="G12" s="592">
        <v>-23.905204299999998</v>
      </c>
      <c r="H12" s="592">
        <v>-26.211667200000004</v>
      </c>
      <c r="I12" s="592">
        <v>-27.62192018</v>
      </c>
      <c r="J12" s="592">
        <v>-26.090100639999996</v>
      </c>
      <c r="K12" s="592">
        <v>-28.565339719999997</v>
      </c>
    </row>
    <row r="13" spans="1:12" s="2" customFormat="1">
      <c r="B13" s="129" t="s">
        <v>163</v>
      </c>
      <c r="C13" s="152" t="s">
        <v>128</v>
      </c>
      <c r="D13" s="592">
        <v>-0.2</v>
      </c>
      <c r="E13" s="592">
        <v>0.44400000000000001</v>
      </c>
      <c r="F13" s="592">
        <v>0.51500000000000001</v>
      </c>
      <c r="G13" s="592">
        <v>0.95199999999999996</v>
      </c>
      <c r="H13" s="592">
        <v>0</v>
      </c>
      <c r="I13" s="592">
        <v>0</v>
      </c>
      <c r="J13" s="592">
        <v>0</v>
      </c>
      <c r="K13" s="592">
        <v>0</v>
      </c>
    </row>
    <row r="14" spans="1:12" s="2" customFormat="1">
      <c r="B14" s="129" t="s">
        <v>164</v>
      </c>
      <c r="C14" s="152" t="s">
        <v>128</v>
      </c>
      <c r="D14" s="592">
        <v>0</v>
      </c>
      <c r="E14" s="592">
        <v>0</v>
      </c>
      <c r="F14" s="592">
        <v>0</v>
      </c>
      <c r="G14" s="592">
        <v>0</v>
      </c>
      <c r="H14" s="592">
        <v>0</v>
      </c>
      <c r="I14" s="592">
        <v>0</v>
      </c>
      <c r="J14" s="592">
        <v>0</v>
      </c>
      <c r="K14" s="592">
        <v>0</v>
      </c>
    </row>
    <row r="15" spans="1:12" s="2" customFormat="1">
      <c r="A15" s="3">
        <v>1</v>
      </c>
      <c r="B15" s="840" t="s">
        <v>667</v>
      </c>
      <c r="C15" s="152" t="s">
        <v>128</v>
      </c>
      <c r="D15" s="592">
        <v>0</v>
      </c>
      <c r="E15" s="592">
        <v>0</v>
      </c>
      <c r="F15" s="592">
        <v>0</v>
      </c>
      <c r="G15" s="592">
        <v>0</v>
      </c>
      <c r="H15" s="592">
        <v>0</v>
      </c>
      <c r="I15" s="592">
        <v>0</v>
      </c>
      <c r="J15" s="592">
        <v>-0.2</v>
      </c>
      <c r="K15" s="592">
        <v>-0.1</v>
      </c>
    </row>
    <row r="16" spans="1:12" s="2" customFormat="1">
      <c r="A16" s="3">
        <v>2</v>
      </c>
      <c r="B16" s="840" t="s">
        <v>243</v>
      </c>
      <c r="C16" s="152" t="s">
        <v>128</v>
      </c>
      <c r="D16" s="592">
        <v>0</v>
      </c>
      <c r="E16" s="592">
        <v>0</v>
      </c>
      <c r="F16" s="592">
        <v>0</v>
      </c>
      <c r="G16" s="592">
        <v>0</v>
      </c>
      <c r="H16" s="592">
        <v>0</v>
      </c>
      <c r="I16" s="592">
        <v>0</v>
      </c>
      <c r="J16" s="592">
        <v>0</v>
      </c>
      <c r="K16" s="592">
        <v>0</v>
      </c>
    </row>
    <row r="17" spans="1:11" s="2" customFormat="1">
      <c r="A17" s="3">
        <v>3</v>
      </c>
      <c r="B17" s="840" t="s">
        <v>243</v>
      </c>
      <c r="C17" s="152" t="s">
        <v>128</v>
      </c>
      <c r="D17" s="592">
        <v>0</v>
      </c>
      <c r="E17" s="592">
        <v>0</v>
      </c>
      <c r="F17" s="592">
        <v>0</v>
      </c>
      <c r="G17" s="592">
        <v>0</v>
      </c>
      <c r="H17" s="592">
        <v>0</v>
      </c>
      <c r="I17" s="592">
        <v>0</v>
      </c>
      <c r="J17" s="592">
        <v>0</v>
      </c>
      <c r="K17" s="592">
        <v>0</v>
      </c>
    </row>
    <row r="18" spans="1:11" s="2" customFormat="1">
      <c r="B18" s="12" t="s">
        <v>165</v>
      </c>
      <c r="C18" s="152" t="s">
        <v>128</v>
      </c>
      <c r="D18" s="618">
        <f>SUM(D9:D17)</f>
        <v>113.80768984000022</v>
      </c>
      <c r="E18" s="619">
        <f t="shared" ref="E18:K18" si="1">SUM(E9:E17)</f>
        <v>112.62256214000003</v>
      </c>
      <c r="F18" s="619">
        <f t="shared" si="1"/>
        <v>118.12582358000002</v>
      </c>
      <c r="G18" s="619">
        <f t="shared" si="1"/>
        <v>124.79479570000002</v>
      </c>
      <c r="H18" s="619">
        <f t="shared" si="1"/>
        <v>112.98833279999998</v>
      </c>
      <c r="I18" s="619">
        <f t="shared" ref="I18" si="2">SUM(I9:I17)</f>
        <v>136.47807982000003</v>
      </c>
      <c r="J18" s="619">
        <f t="shared" si="1"/>
        <v>132.90989936000003</v>
      </c>
      <c r="K18" s="620">
        <f t="shared" si="1"/>
        <v>160.33466028000001</v>
      </c>
    </row>
    <row r="19" spans="1:11" s="2" customFormat="1">
      <c r="B19" s="129" t="s">
        <v>166</v>
      </c>
      <c r="C19" s="152" t="s">
        <v>128</v>
      </c>
      <c r="D19" s="592">
        <v>80.09999999999998</v>
      </c>
      <c r="E19" s="592">
        <v>72.199999999999989</v>
      </c>
      <c r="F19" s="592">
        <v>73.478000000000009</v>
      </c>
      <c r="G19" s="592">
        <v>82.3</v>
      </c>
      <c r="H19" s="592">
        <v>77.599999999999994</v>
      </c>
      <c r="I19" s="592">
        <v>77.899999999999991</v>
      </c>
      <c r="J19" s="592">
        <v>84.4</v>
      </c>
      <c r="K19" s="592">
        <v>167.5</v>
      </c>
    </row>
    <row r="20" spans="1:11" s="2" customFormat="1">
      <c r="A20" s="3">
        <v>1</v>
      </c>
      <c r="B20" s="840" t="s">
        <v>243</v>
      </c>
      <c r="C20" s="152" t="s">
        <v>128</v>
      </c>
      <c r="D20" s="592">
        <v>0</v>
      </c>
      <c r="E20" s="592">
        <v>0</v>
      </c>
      <c r="F20" s="592">
        <v>0</v>
      </c>
      <c r="G20" s="592">
        <v>0</v>
      </c>
      <c r="H20" s="592">
        <v>0</v>
      </c>
      <c r="I20" s="592">
        <v>0</v>
      </c>
      <c r="J20" s="592">
        <v>0</v>
      </c>
      <c r="K20" s="592">
        <v>0</v>
      </c>
    </row>
    <row r="21" spans="1:11" s="2" customFormat="1">
      <c r="A21" s="3">
        <v>2</v>
      </c>
      <c r="B21" s="840" t="s">
        <v>243</v>
      </c>
      <c r="C21" s="152" t="s">
        <v>128</v>
      </c>
      <c r="D21" s="592">
        <v>0</v>
      </c>
      <c r="E21" s="592">
        <v>0</v>
      </c>
      <c r="F21" s="592">
        <v>0</v>
      </c>
      <c r="G21" s="592">
        <v>0</v>
      </c>
      <c r="H21" s="592">
        <v>0</v>
      </c>
      <c r="I21" s="592">
        <v>0</v>
      </c>
      <c r="J21" s="592">
        <v>0</v>
      </c>
      <c r="K21" s="592">
        <v>0</v>
      </c>
    </row>
    <row r="22" spans="1:11" s="2" customFormat="1">
      <c r="A22" s="3">
        <v>3</v>
      </c>
      <c r="B22" s="840" t="s">
        <v>243</v>
      </c>
      <c r="C22" s="152" t="s">
        <v>128</v>
      </c>
      <c r="D22" s="592">
        <v>0</v>
      </c>
      <c r="E22" s="592">
        <v>0</v>
      </c>
      <c r="F22" s="592">
        <v>0</v>
      </c>
      <c r="G22" s="592">
        <v>0</v>
      </c>
      <c r="H22" s="592">
        <v>0</v>
      </c>
      <c r="I22" s="592">
        <v>0</v>
      </c>
      <c r="J22" s="592">
        <v>0</v>
      </c>
      <c r="K22" s="592">
        <v>0</v>
      </c>
    </row>
    <row r="23" spans="1:11" s="2" customFormat="1">
      <c r="B23" s="12" t="s">
        <v>167</v>
      </c>
      <c r="C23" s="152" t="s">
        <v>128</v>
      </c>
      <c r="D23" s="607">
        <f>SUM(D18:D22)</f>
        <v>193.90768984000022</v>
      </c>
      <c r="E23" s="608">
        <f t="shared" ref="E23:K23" si="3">SUM(E18:E22)</f>
        <v>184.82256214</v>
      </c>
      <c r="F23" s="608">
        <f t="shared" si="3"/>
        <v>191.60382358000004</v>
      </c>
      <c r="G23" s="608">
        <f t="shared" si="3"/>
        <v>207.09479570000002</v>
      </c>
      <c r="H23" s="608">
        <f t="shared" si="3"/>
        <v>190.58833279999999</v>
      </c>
      <c r="I23" s="608">
        <f t="shared" ref="I23" si="4">SUM(I18:I22)</f>
        <v>214.37807982000004</v>
      </c>
      <c r="J23" s="608">
        <f t="shared" si="3"/>
        <v>217.30989936000003</v>
      </c>
      <c r="K23" s="609">
        <f t="shared" si="3"/>
        <v>327.83466027999998</v>
      </c>
    </row>
    <row r="24" spans="1:11" s="2" customFormat="1">
      <c r="C24" s="136"/>
      <c r="D24" s="52"/>
      <c r="E24" s="52"/>
      <c r="F24" s="52"/>
      <c r="G24" s="52"/>
      <c r="H24" s="52"/>
      <c r="I24" s="52"/>
      <c r="J24" s="52"/>
      <c r="K24" s="52"/>
    </row>
    <row r="25" spans="1:11" s="2" customFormat="1">
      <c r="B25" s="12" t="s">
        <v>438</v>
      </c>
      <c r="C25" s="152" t="s">
        <v>128</v>
      </c>
      <c r="D25" s="54"/>
    </row>
    <row r="26" spans="1:11" s="2" customFormat="1">
      <c r="A26" s="3">
        <v>1</v>
      </c>
      <c r="B26" s="518" t="s">
        <v>586</v>
      </c>
      <c r="C26" s="152" t="s">
        <v>128</v>
      </c>
      <c r="D26" s="592">
        <v>1.0396000000000001</v>
      </c>
      <c r="E26" s="592">
        <v>-0.1</v>
      </c>
      <c r="F26" s="592">
        <v>-0.1</v>
      </c>
      <c r="G26" s="592">
        <v>-0.1</v>
      </c>
      <c r="H26" s="592">
        <v>0.1</v>
      </c>
      <c r="I26" s="592">
        <v>-0.2</v>
      </c>
      <c r="J26" s="592">
        <v>0</v>
      </c>
      <c r="K26" s="970">
        <v>0</v>
      </c>
    </row>
    <row r="27" spans="1:11" s="2" customFormat="1">
      <c r="A27" s="3">
        <v>2</v>
      </c>
      <c r="B27" s="518" t="s">
        <v>587</v>
      </c>
      <c r="C27" s="152" t="s">
        <v>128</v>
      </c>
      <c r="D27" s="592">
        <v>-5.4570280000000002</v>
      </c>
      <c r="E27" s="592">
        <v>-5.4585019199999998</v>
      </c>
      <c r="F27" s="592">
        <v>-5.0146439599999999</v>
      </c>
      <c r="G27" s="592">
        <v>-5.3433354299999998</v>
      </c>
      <c r="H27" s="592">
        <v>-5.6345033200000003</v>
      </c>
      <c r="I27" s="592">
        <v>-5.8106154400000003</v>
      </c>
      <c r="J27" s="592">
        <v>-6.0924874600000001</v>
      </c>
      <c r="K27" s="592">
        <v>-51.041037649999993</v>
      </c>
    </row>
    <row r="28" spans="1:11" s="2" customFormat="1">
      <c r="A28" s="3">
        <v>3</v>
      </c>
      <c r="B28" s="518" t="s">
        <v>588</v>
      </c>
      <c r="C28" s="152" t="s">
        <v>128</v>
      </c>
      <c r="D28" s="592">
        <v>31.192900000000002</v>
      </c>
      <c r="E28" s="592">
        <v>-1.2065092695000046</v>
      </c>
      <c r="F28" s="592">
        <v>1.8832032599999997</v>
      </c>
      <c r="G28" s="592">
        <v>-1.10906919</v>
      </c>
      <c r="H28" s="592">
        <v>-0.96646897999999992</v>
      </c>
      <c r="I28" s="592">
        <v>-1.3807545999999999</v>
      </c>
      <c r="J28" s="592">
        <v>0.33807223999999991</v>
      </c>
      <c r="K28" s="592">
        <v>-0.4</v>
      </c>
    </row>
    <row r="29" spans="1:11" s="2" customFormat="1">
      <c r="A29" s="3">
        <v>4</v>
      </c>
      <c r="B29" s="518" t="s">
        <v>589</v>
      </c>
      <c r="C29" s="152" t="s">
        <v>128</v>
      </c>
      <c r="D29" s="592">
        <v>0.68873906000000007</v>
      </c>
      <c r="E29" s="592">
        <v>-0.29580800000000002</v>
      </c>
      <c r="F29" s="592">
        <v>-0.419545</v>
      </c>
      <c r="G29" s="592">
        <v>-1.8498205700000001</v>
      </c>
      <c r="H29" s="592">
        <v>1.60004605</v>
      </c>
      <c r="I29" s="592">
        <v>-1.1115055199999999</v>
      </c>
      <c r="J29" s="592">
        <v>0.73628634999999998</v>
      </c>
      <c r="K29" s="592">
        <v>-3.21642128</v>
      </c>
    </row>
    <row r="30" spans="1:11" s="2" customFormat="1">
      <c r="A30" s="3">
        <v>5</v>
      </c>
      <c r="B30" s="518" t="s">
        <v>590</v>
      </c>
      <c r="C30" s="152" t="s">
        <v>128</v>
      </c>
      <c r="D30" s="592">
        <v>0.39391049650000021</v>
      </c>
      <c r="E30" s="592">
        <v>0.78517884749999989</v>
      </c>
      <c r="F30" s="592">
        <v>0.29738070350000001</v>
      </c>
      <c r="G30" s="592">
        <v>0.25759861649999999</v>
      </c>
      <c r="H30" s="592">
        <v>0.70980070249999994</v>
      </c>
      <c r="I30" s="592">
        <v>0.21424217400000001</v>
      </c>
      <c r="J30" s="592">
        <v>0.58572197949999993</v>
      </c>
      <c r="K30" s="592">
        <v>0</v>
      </c>
    </row>
    <row r="31" spans="1:11" s="2" customFormat="1">
      <c r="A31" s="3">
        <v>6</v>
      </c>
      <c r="B31" s="518" t="s">
        <v>591</v>
      </c>
      <c r="C31" s="152" t="s">
        <v>128</v>
      </c>
      <c r="D31" s="592">
        <v>-1.4129990700000001</v>
      </c>
      <c r="E31" s="592">
        <v>-1.5781962919999999</v>
      </c>
      <c r="F31" s="592">
        <v>-1.9098928800000003</v>
      </c>
      <c r="G31" s="592">
        <v>-1.71462746</v>
      </c>
      <c r="H31" s="592">
        <v>-2.0708793299900004</v>
      </c>
      <c r="I31" s="592">
        <v>-2.0997141899899998</v>
      </c>
      <c r="J31" s="592">
        <v>-1.5918853000100004</v>
      </c>
      <c r="K31" s="592">
        <v>-2.3258495099999998</v>
      </c>
    </row>
    <row r="32" spans="1:11" s="2" customFormat="1">
      <c r="A32" s="3">
        <v>7</v>
      </c>
      <c r="B32" s="518" t="s">
        <v>592</v>
      </c>
      <c r="C32" s="152" t="s">
        <v>128</v>
      </c>
      <c r="D32" s="592">
        <v>0.33719300000000002</v>
      </c>
      <c r="E32" s="592">
        <v>0.35262568001</v>
      </c>
      <c r="F32" s="592">
        <v>0.27200004</v>
      </c>
      <c r="G32" s="592">
        <v>0.27158536</v>
      </c>
      <c r="H32" s="592">
        <v>0.24219570000000001</v>
      </c>
      <c r="I32" s="592">
        <v>0.32859740000000004</v>
      </c>
      <c r="J32" s="592">
        <v>0.33000367999999997</v>
      </c>
      <c r="K32" s="592">
        <v>0.24272294999999997</v>
      </c>
    </row>
    <row r="33" spans="1:13" s="2" customFormat="1">
      <c r="A33" s="3">
        <v>8</v>
      </c>
      <c r="B33" s="518" t="s">
        <v>593</v>
      </c>
      <c r="C33" s="152" t="s">
        <v>128</v>
      </c>
      <c r="D33" s="592">
        <v>-0.45589822466792673</v>
      </c>
      <c r="E33" s="592">
        <v>-0.41012676310229507</v>
      </c>
      <c r="F33" s="592">
        <v>-0.47261780472367554</v>
      </c>
      <c r="G33" s="592">
        <v>-0.54325863703113997</v>
      </c>
      <c r="H33" s="592">
        <v>-0.15905017168242458</v>
      </c>
      <c r="I33" s="592">
        <v>-0.15734423762234823</v>
      </c>
      <c r="J33" s="592">
        <v>-0.13332989633547446</v>
      </c>
      <c r="K33" s="592">
        <v>-0.88902973096000004</v>
      </c>
    </row>
    <row r="34" spans="1:13" s="2" customFormat="1">
      <c r="A34" s="3">
        <v>9</v>
      </c>
      <c r="B34" s="518" t="s">
        <v>594</v>
      </c>
      <c r="C34" s="152" t="s">
        <v>128</v>
      </c>
      <c r="D34" s="592">
        <v>-7.75910900655217</v>
      </c>
      <c r="E34" s="592">
        <v>1.6862300000000006</v>
      </c>
      <c r="F34" s="592">
        <v>0.97299999999999998</v>
      </c>
      <c r="G34" s="592">
        <v>-1.3629589999999998</v>
      </c>
      <c r="H34" s="592">
        <v>2.6092878275000002</v>
      </c>
      <c r="I34" s="592">
        <v>-0.20426995999999992</v>
      </c>
      <c r="J34" s="592">
        <v>-0.55653364999999999</v>
      </c>
      <c r="K34" s="592">
        <v>-4.0179030038164417E-3</v>
      </c>
    </row>
    <row r="35" spans="1:13" s="2" customFormat="1">
      <c r="A35" s="3">
        <v>10</v>
      </c>
      <c r="B35" s="518" t="s">
        <v>595</v>
      </c>
      <c r="C35" s="152" t="s">
        <v>128</v>
      </c>
      <c r="D35" s="592">
        <v>-3.7117371022943892</v>
      </c>
      <c r="E35" s="592">
        <v>27.706819089400621</v>
      </c>
      <c r="F35" s="592">
        <v>0.5210999999999999</v>
      </c>
      <c r="G35" s="592">
        <v>26.331793835058487</v>
      </c>
      <c r="H35" s="592">
        <v>25.986946830346387</v>
      </c>
      <c r="I35" s="592">
        <v>23.978786649494545</v>
      </c>
      <c r="J35" s="592">
        <v>-5.2527835574480122</v>
      </c>
      <c r="K35" s="592">
        <v>-39.716957963863727</v>
      </c>
    </row>
    <row r="36" spans="1:13" s="2" customFormat="1">
      <c r="A36" s="3">
        <v>11</v>
      </c>
      <c r="B36" s="518" t="s">
        <v>596</v>
      </c>
      <c r="C36" s="152" t="s">
        <v>128</v>
      </c>
      <c r="D36" s="592">
        <v>0.76063291</v>
      </c>
      <c r="E36" s="592">
        <v>39.195450905802133</v>
      </c>
      <c r="F36" s="592">
        <v>-10.05731001945043</v>
      </c>
      <c r="G36" s="592">
        <v>-0.54239722266319568</v>
      </c>
      <c r="H36" s="592">
        <v>0</v>
      </c>
      <c r="I36" s="592">
        <v>0</v>
      </c>
      <c r="J36" s="592">
        <v>5.8490000000000002</v>
      </c>
      <c r="K36" s="592">
        <v>0.80054694666666659</v>
      </c>
    </row>
    <row r="37" spans="1:13" s="2" customFormat="1">
      <c r="A37" s="3">
        <v>12</v>
      </c>
      <c r="B37" s="518" t="s">
        <v>597</v>
      </c>
      <c r="C37" s="152" t="s">
        <v>128</v>
      </c>
      <c r="D37" s="592">
        <v>0</v>
      </c>
      <c r="E37" s="592">
        <v>-0.5031919775</v>
      </c>
      <c r="F37" s="592">
        <v>-4.0894021546981687</v>
      </c>
      <c r="G37" s="592">
        <v>-3.44398225902194</v>
      </c>
      <c r="H37" s="592">
        <v>-3.6798658125219408</v>
      </c>
      <c r="I37" s="592">
        <v>-3.0588143403389694</v>
      </c>
      <c r="J37" s="592">
        <v>2.4</v>
      </c>
      <c r="K37" s="592">
        <v>0.37956416308783419</v>
      </c>
    </row>
    <row r="38" spans="1:13" s="2" customFormat="1">
      <c r="A38" s="3">
        <v>13</v>
      </c>
      <c r="B38" s="518" t="s">
        <v>598</v>
      </c>
      <c r="C38" s="152" t="s">
        <v>128</v>
      </c>
      <c r="D38" s="592">
        <v>0</v>
      </c>
      <c r="E38" s="592">
        <v>0</v>
      </c>
      <c r="F38" s="592">
        <v>-0.1537544849293595</v>
      </c>
      <c r="G38" s="592">
        <v>-0.15493562321765042</v>
      </c>
      <c r="H38" s="592">
        <v>-0.20392383691013777</v>
      </c>
      <c r="I38" s="592">
        <v>0.21412207821325574</v>
      </c>
      <c r="J38" s="592">
        <v>-0.27227080384881652</v>
      </c>
      <c r="K38" s="592">
        <v>5.4736000000000002</v>
      </c>
    </row>
    <row r="39" spans="1:13" s="2" customFormat="1">
      <c r="A39" s="3">
        <v>14</v>
      </c>
      <c r="B39" s="518" t="s">
        <v>599</v>
      </c>
      <c r="C39" s="152" t="s">
        <v>128</v>
      </c>
      <c r="D39" s="592">
        <v>-0.20930000000000001</v>
      </c>
      <c r="E39" s="592">
        <v>0</v>
      </c>
      <c r="F39" s="592">
        <v>0</v>
      </c>
      <c r="G39" s="592">
        <v>0</v>
      </c>
      <c r="H39" s="592">
        <v>0</v>
      </c>
      <c r="I39" s="592">
        <v>0</v>
      </c>
      <c r="J39" s="592">
        <v>0</v>
      </c>
      <c r="K39" s="592"/>
    </row>
    <row r="40" spans="1:13" s="2" customFormat="1">
      <c r="A40" s="3">
        <v>15</v>
      </c>
      <c r="B40" s="518" t="s">
        <v>600</v>
      </c>
      <c r="C40" s="152" t="s">
        <v>128</v>
      </c>
      <c r="D40" s="592">
        <v>-1.3</v>
      </c>
      <c r="E40" s="592">
        <v>1.1000000000000001</v>
      </c>
      <c r="F40" s="592">
        <v>0.65</v>
      </c>
      <c r="G40" s="592">
        <v>6.9452835387892264E-2</v>
      </c>
      <c r="H40" s="592">
        <v>3.1726732557302739E-2</v>
      </c>
      <c r="I40" s="592">
        <v>0.5503893162434963</v>
      </c>
      <c r="J40" s="592">
        <v>0.86</v>
      </c>
      <c r="K40" s="592"/>
    </row>
    <row r="41" spans="1:13" s="2" customFormat="1">
      <c r="A41" s="3">
        <v>16</v>
      </c>
      <c r="B41" s="518" t="s">
        <v>601</v>
      </c>
      <c r="C41" s="152" t="s">
        <v>128</v>
      </c>
      <c r="D41" s="592">
        <v>0</v>
      </c>
      <c r="E41" s="592">
        <v>0</v>
      </c>
      <c r="F41" s="592">
        <v>0</v>
      </c>
      <c r="G41" s="592">
        <v>-1</v>
      </c>
      <c r="H41" s="592">
        <v>0</v>
      </c>
      <c r="I41" s="592">
        <v>0</v>
      </c>
      <c r="J41" s="592">
        <v>0</v>
      </c>
      <c r="K41" s="592">
        <v>-2.0761461553206075</v>
      </c>
    </row>
    <row r="42" spans="1:13" s="2" customFormat="1">
      <c r="A42" s="3">
        <v>17</v>
      </c>
      <c r="B42" s="944" t="s">
        <v>641</v>
      </c>
      <c r="C42" s="152" t="s">
        <v>128</v>
      </c>
      <c r="D42" s="592">
        <v>0</v>
      </c>
      <c r="E42" s="592">
        <v>0</v>
      </c>
      <c r="F42" s="592">
        <v>0</v>
      </c>
      <c r="G42" s="592">
        <v>0.55700000000000005</v>
      </c>
      <c r="H42" s="592">
        <v>0.25425180479999998</v>
      </c>
      <c r="I42" s="592">
        <v>0.90625778999999995</v>
      </c>
      <c r="J42" s="592">
        <v>-1.8972615750000004</v>
      </c>
      <c r="K42" s="592">
        <v>0.46307470000000001</v>
      </c>
    </row>
    <row r="43" spans="1:13" s="2" customFormat="1">
      <c r="A43" s="3">
        <v>18</v>
      </c>
      <c r="B43" s="518" t="s">
        <v>602</v>
      </c>
      <c r="C43" s="152" t="s">
        <v>128</v>
      </c>
      <c r="D43" s="592">
        <v>0</v>
      </c>
      <c r="E43" s="592">
        <v>0</v>
      </c>
      <c r="F43" s="592">
        <v>0</v>
      </c>
      <c r="G43" s="592">
        <v>0</v>
      </c>
      <c r="H43" s="592">
        <v>0.2619368097708048</v>
      </c>
      <c r="I43" s="592">
        <v>1.1299999999999999</v>
      </c>
      <c r="J43" s="592">
        <v>0</v>
      </c>
      <c r="K43" s="592"/>
    </row>
    <row r="44" spans="1:13" s="2" customFormat="1">
      <c r="A44" s="3">
        <v>19</v>
      </c>
      <c r="B44" s="518" t="s">
        <v>603</v>
      </c>
      <c r="C44" s="152" t="s">
        <v>128</v>
      </c>
      <c r="D44" s="592">
        <v>0</v>
      </c>
      <c r="E44" s="592">
        <v>0</v>
      </c>
      <c r="F44" s="592">
        <v>0</v>
      </c>
      <c r="G44" s="592">
        <v>0</v>
      </c>
      <c r="H44" s="592">
        <v>0.33864498232151163</v>
      </c>
      <c r="I44" s="592">
        <v>0</v>
      </c>
      <c r="J44" s="592">
        <v>0</v>
      </c>
      <c r="K44" s="592">
        <v>-2.5173742800000012</v>
      </c>
    </row>
    <row r="45" spans="1:13" s="2" customFormat="1">
      <c r="A45" s="3">
        <v>20</v>
      </c>
      <c r="B45" s="518" t="s">
        <v>668</v>
      </c>
      <c r="C45" s="152" t="s">
        <v>128</v>
      </c>
      <c r="D45" s="592">
        <v>0</v>
      </c>
      <c r="E45" s="592">
        <v>0</v>
      </c>
      <c r="F45" s="592">
        <v>0</v>
      </c>
      <c r="G45" s="592">
        <v>0</v>
      </c>
      <c r="H45" s="592">
        <v>0</v>
      </c>
      <c r="I45" s="592">
        <v>0</v>
      </c>
      <c r="J45" s="592">
        <v>0</v>
      </c>
      <c r="K45" s="970"/>
    </row>
    <row r="46" spans="1:13" s="2" customFormat="1">
      <c r="B46" s="12" t="s">
        <v>391</v>
      </c>
      <c r="C46" s="152" t="s">
        <v>128</v>
      </c>
      <c r="D46" s="607">
        <f>SUM(D26:D45)</f>
        <v>14.106904062985514</v>
      </c>
      <c r="E46" s="608">
        <f t="shared" ref="E46:K46" si="5">SUM(E26:E45)</f>
        <v>61.273970300610458</v>
      </c>
      <c r="F46" s="608">
        <f t="shared" si="5"/>
        <v>-17.620482300301632</v>
      </c>
      <c r="G46" s="608">
        <f t="shared" si="5"/>
        <v>10.323045255012453</v>
      </c>
      <c r="H46" s="608">
        <f t="shared" si="5"/>
        <v>19.420145988691502</v>
      </c>
      <c r="I46" s="608">
        <f t="shared" si="5"/>
        <v>13.299377119999981</v>
      </c>
      <c r="J46" s="608">
        <f t="shared" si="5"/>
        <v>-4.697467993142304</v>
      </c>
      <c r="K46" s="609">
        <f t="shared" si="5"/>
        <v>-94.827325713393606</v>
      </c>
      <c r="M46" s="323"/>
    </row>
    <row r="47" spans="1:13" s="2" customFormat="1">
      <c r="C47" s="136"/>
      <c r="D47" s="53"/>
      <c r="E47" s="52"/>
      <c r="F47" s="52"/>
      <c r="G47" s="52"/>
      <c r="H47" s="52"/>
      <c r="I47" s="52"/>
      <c r="J47" s="52"/>
      <c r="K47" s="52"/>
    </row>
    <row r="48" spans="1:13" s="2" customFormat="1">
      <c r="B48" s="12" t="s">
        <v>437</v>
      </c>
      <c r="C48" s="152" t="s">
        <v>128</v>
      </c>
      <c r="D48" s="607">
        <f>D46+D23</f>
        <v>208.01459390298572</v>
      </c>
      <c r="E48" s="608">
        <f t="shared" ref="E48:K48" si="6">E46+E23</f>
        <v>246.09653244061047</v>
      </c>
      <c r="F48" s="608">
        <f t="shared" si="6"/>
        <v>173.98334127969841</v>
      </c>
      <c r="G48" s="608">
        <f t="shared" si="6"/>
        <v>217.41784095501248</v>
      </c>
      <c r="H48" s="608">
        <f t="shared" si="6"/>
        <v>210.00847878869149</v>
      </c>
      <c r="I48" s="608">
        <f t="shared" si="6"/>
        <v>227.67745694000001</v>
      </c>
      <c r="J48" s="608">
        <f t="shared" si="6"/>
        <v>212.61243136685772</v>
      </c>
      <c r="K48" s="609">
        <f t="shared" si="6"/>
        <v>233.00733456660637</v>
      </c>
    </row>
    <row r="49" spans="1:13" s="2" customFormat="1">
      <c r="B49" s="2" t="s">
        <v>392</v>
      </c>
      <c r="C49" s="152" t="s">
        <v>128</v>
      </c>
      <c r="D49" s="592">
        <v>208.02189999999999</v>
      </c>
      <c r="E49" s="592">
        <v>246.0652</v>
      </c>
      <c r="F49" s="592">
        <v>173.96509999999998</v>
      </c>
      <c r="G49" s="592">
        <v>217.4380922128</v>
      </c>
      <c r="H49" s="592">
        <v>210.01635180479997</v>
      </c>
      <c r="I49" s="592">
        <v>227.67407068</v>
      </c>
      <c r="J49" s="592">
        <v>212.60649833150003</v>
      </c>
      <c r="K49" s="592">
        <v>233.01205086194</v>
      </c>
    </row>
    <row r="50" spans="1:13" s="2" customFormat="1">
      <c r="C50" s="136" t="s">
        <v>395</v>
      </c>
      <c r="D50" s="624" t="str">
        <f>IF(D$5="Actuals",IF(ABS(D48-D49)&lt;1,"OK","ERROR"),"N/A")</f>
        <v>OK</v>
      </c>
      <c r="E50" s="625" t="str">
        <f t="shared" ref="E50:K50" si="7">IF(E$5="Actuals",IF(ABS(E48-E49)&lt;1,"OK","ERROR"),"N/A")</f>
        <v>OK</v>
      </c>
      <c r="F50" s="625" t="str">
        <f t="shared" si="7"/>
        <v>OK</v>
      </c>
      <c r="G50" s="625" t="str">
        <f t="shared" si="7"/>
        <v>OK</v>
      </c>
      <c r="H50" s="625" t="str">
        <f t="shared" si="7"/>
        <v>OK</v>
      </c>
      <c r="I50" s="625" t="str">
        <f t="shared" si="7"/>
        <v>OK</v>
      </c>
      <c r="J50" s="625" t="str">
        <f t="shared" si="7"/>
        <v>OK</v>
      </c>
      <c r="K50" s="626" t="str">
        <f t="shared" si="7"/>
        <v>OK</v>
      </c>
    </row>
    <row r="51" spans="1:13" s="2" customFormat="1">
      <c r="B51" s="2" t="s">
        <v>84</v>
      </c>
      <c r="C51" s="136"/>
      <c r="D51" s="54"/>
    </row>
    <row r="52" spans="1:13" s="2" customFormat="1">
      <c r="B52" s="12" t="s">
        <v>393</v>
      </c>
      <c r="C52" s="152"/>
      <c r="D52" s="54"/>
    </row>
    <row r="53" spans="1:13" s="2" customFormat="1">
      <c r="A53" s="3">
        <v>1</v>
      </c>
      <c r="B53" s="912" t="s">
        <v>604</v>
      </c>
      <c r="C53" s="152" t="s">
        <v>128</v>
      </c>
      <c r="D53" s="592">
        <v>29.483699999999995</v>
      </c>
      <c r="E53" s="592">
        <v>28.276400000000002</v>
      </c>
      <c r="F53" s="592">
        <v>25.249499999999998</v>
      </c>
      <c r="G53" s="592">
        <v>26.872692212800001</v>
      </c>
      <c r="H53" s="592">
        <v>27.215951804800007</v>
      </c>
      <c r="I53" s="592">
        <v>28.449470679999997</v>
      </c>
      <c r="J53" s="592">
        <v>23.726100000000002</v>
      </c>
      <c r="K53" s="593">
        <v>25.266646946666665</v>
      </c>
      <c r="M53" s="323"/>
    </row>
    <row r="54" spans="1:13" s="2" customFormat="1">
      <c r="A54" s="3">
        <v>2</v>
      </c>
      <c r="B54" s="912" t="s">
        <v>605</v>
      </c>
      <c r="C54" s="152" t="s">
        <v>128</v>
      </c>
      <c r="D54" s="592">
        <v>26.028500000000001</v>
      </c>
      <c r="E54" s="592">
        <v>54.065297091412312</v>
      </c>
      <c r="F54" s="592">
        <v>-1.3815976000000003</v>
      </c>
      <c r="G54" s="592">
        <v>25.458667759999997</v>
      </c>
      <c r="H54" s="592">
        <v>24.580086860000002</v>
      </c>
      <c r="I54" s="592">
        <v>25.122141679999999</v>
      </c>
      <c r="J54" s="592">
        <v>4.4673292800000004</v>
      </c>
      <c r="K54" s="593">
        <v>5.24067653</v>
      </c>
      <c r="M54" s="323"/>
    </row>
    <row r="55" spans="1:13" s="2" customFormat="1">
      <c r="A55" s="3">
        <v>3</v>
      </c>
      <c r="B55" s="912" t="s">
        <v>606</v>
      </c>
      <c r="C55" s="152" t="s">
        <v>128</v>
      </c>
      <c r="D55" s="592">
        <v>7.5765000000000011</v>
      </c>
      <c r="E55" s="592">
        <v>9.9310702201766432</v>
      </c>
      <c r="F55" s="592">
        <v>9.5063704890174652</v>
      </c>
      <c r="G55" s="592">
        <v>14.28863393050872</v>
      </c>
      <c r="H55" s="592">
        <v>12.121766762703935</v>
      </c>
      <c r="I55" s="592">
        <v>3.8755960227080894</v>
      </c>
      <c r="J55" s="592">
        <v>10.380243935285009</v>
      </c>
      <c r="K55" s="593">
        <v>7.2356424847586727</v>
      </c>
      <c r="M55" s="323"/>
    </row>
    <row r="56" spans="1:13" s="2" customFormat="1">
      <c r="A56" s="3">
        <v>4</v>
      </c>
      <c r="B56" s="912" t="s">
        <v>607</v>
      </c>
      <c r="C56" s="152" t="s">
        <v>128</v>
      </c>
      <c r="D56" s="592">
        <v>2.9344000000000006</v>
      </c>
      <c r="E56" s="592">
        <v>3.0134000000000003</v>
      </c>
      <c r="F56" s="592">
        <v>3.0656558699999996</v>
      </c>
      <c r="G56" s="592">
        <v>2.9035633600000001</v>
      </c>
      <c r="H56" s="592">
        <v>2.6428114537988834</v>
      </c>
      <c r="I56" s="592">
        <v>2.4563480983861239</v>
      </c>
      <c r="J56" s="592">
        <v>7.2382335725229305</v>
      </c>
      <c r="K56" s="595">
        <v>4.7459101437732905</v>
      </c>
      <c r="M56" s="323"/>
    </row>
    <row r="57" spans="1:13" s="2" customFormat="1">
      <c r="A57" s="3">
        <v>5</v>
      </c>
      <c r="B57" s="517" t="s">
        <v>243</v>
      </c>
      <c r="C57" s="152" t="s">
        <v>128</v>
      </c>
      <c r="D57" s="592">
        <v>0</v>
      </c>
      <c r="E57" s="592">
        <v>0</v>
      </c>
      <c r="F57" s="592">
        <v>0</v>
      </c>
      <c r="G57" s="592">
        <v>0</v>
      </c>
      <c r="H57" s="592">
        <v>0</v>
      </c>
      <c r="I57" s="592">
        <v>0</v>
      </c>
      <c r="J57" s="592">
        <v>0</v>
      </c>
      <c r="K57" s="595">
        <v>0</v>
      </c>
    </row>
    <row r="58" spans="1:13" s="2" customFormat="1">
      <c r="A58" s="3">
        <v>6</v>
      </c>
      <c r="B58" s="517" t="s">
        <v>243</v>
      </c>
      <c r="C58" s="152" t="s">
        <v>128</v>
      </c>
      <c r="D58" s="592">
        <v>0</v>
      </c>
      <c r="E58" s="592">
        <v>0</v>
      </c>
      <c r="F58" s="592">
        <v>0</v>
      </c>
      <c r="G58" s="592">
        <v>0</v>
      </c>
      <c r="H58" s="592">
        <v>0</v>
      </c>
      <c r="I58" s="592">
        <v>0</v>
      </c>
      <c r="J58" s="592">
        <v>0</v>
      </c>
      <c r="K58" s="595">
        <v>0</v>
      </c>
    </row>
    <row r="59" spans="1:13" s="2" customFormat="1">
      <c r="A59" s="3">
        <v>7</v>
      </c>
      <c r="B59" s="517" t="s">
        <v>243</v>
      </c>
      <c r="C59" s="152" t="s">
        <v>128</v>
      </c>
      <c r="D59" s="592">
        <v>0</v>
      </c>
      <c r="E59" s="592">
        <v>0</v>
      </c>
      <c r="F59" s="592">
        <v>0</v>
      </c>
      <c r="G59" s="592">
        <v>0</v>
      </c>
      <c r="H59" s="592">
        <v>0</v>
      </c>
      <c r="I59" s="592">
        <v>0</v>
      </c>
      <c r="J59" s="592">
        <v>0</v>
      </c>
      <c r="K59" s="595">
        <v>0</v>
      </c>
    </row>
    <row r="60" spans="1:13" s="2" customFormat="1">
      <c r="A60" s="3">
        <v>8</v>
      </c>
      <c r="B60" s="517" t="s">
        <v>243</v>
      </c>
      <c r="C60" s="152" t="s">
        <v>128</v>
      </c>
      <c r="D60" s="592">
        <v>0</v>
      </c>
      <c r="E60" s="592">
        <v>0</v>
      </c>
      <c r="F60" s="592">
        <v>0</v>
      </c>
      <c r="G60" s="592">
        <v>0</v>
      </c>
      <c r="H60" s="592">
        <v>0</v>
      </c>
      <c r="I60" s="592">
        <v>0</v>
      </c>
      <c r="J60" s="592">
        <v>0</v>
      </c>
      <c r="K60" s="595">
        <v>0</v>
      </c>
    </row>
    <row r="61" spans="1:13" s="2" customFormat="1">
      <c r="A61" s="3">
        <v>9</v>
      </c>
      <c r="B61" s="517" t="s">
        <v>243</v>
      </c>
      <c r="C61" s="152" t="s">
        <v>128</v>
      </c>
      <c r="D61" s="592">
        <v>0</v>
      </c>
      <c r="E61" s="592">
        <v>0</v>
      </c>
      <c r="F61" s="592">
        <v>0</v>
      </c>
      <c r="G61" s="592">
        <v>0</v>
      </c>
      <c r="H61" s="592">
        <v>0</v>
      </c>
      <c r="I61" s="592">
        <v>0</v>
      </c>
      <c r="J61" s="592">
        <v>0</v>
      </c>
      <c r="K61" s="595">
        <v>0</v>
      </c>
    </row>
    <row r="62" spans="1:13" s="2" customFormat="1">
      <c r="A62" s="3">
        <v>10</v>
      </c>
      <c r="B62" s="517" t="s">
        <v>243</v>
      </c>
      <c r="C62" s="152" t="s">
        <v>128</v>
      </c>
      <c r="D62" s="592">
        <v>0</v>
      </c>
      <c r="E62" s="592">
        <v>0</v>
      </c>
      <c r="F62" s="592">
        <v>0</v>
      </c>
      <c r="G62" s="592">
        <v>0</v>
      </c>
      <c r="H62" s="592">
        <v>0</v>
      </c>
      <c r="I62" s="592">
        <v>0</v>
      </c>
      <c r="J62" s="592">
        <v>0</v>
      </c>
      <c r="K62" s="595">
        <v>0</v>
      </c>
    </row>
    <row r="63" spans="1:13" s="2" customFormat="1">
      <c r="A63" s="3">
        <v>11</v>
      </c>
      <c r="B63" s="517" t="s">
        <v>243</v>
      </c>
      <c r="C63" s="152" t="s">
        <v>128</v>
      </c>
      <c r="D63" s="592">
        <v>0</v>
      </c>
      <c r="E63" s="592">
        <v>0</v>
      </c>
      <c r="F63" s="592">
        <v>0</v>
      </c>
      <c r="G63" s="592">
        <v>0</v>
      </c>
      <c r="H63" s="592">
        <v>0</v>
      </c>
      <c r="I63" s="592">
        <v>0</v>
      </c>
      <c r="J63" s="592">
        <v>0</v>
      </c>
      <c r="K63" s="595">
        <v>0</v>
      </c>
    </row>
    <row r="64" spans="1:13" s="2" customFormat="1">
      <c r="A64" s="3">
        <v>12</v>
      </c>
      <c r="B64" s="517" t="s">
        <v>243</v>
      </c>
      <c r="C64" s="152" t="s">
        <v>128</v>
      </c>
      <c r="D64" s="592">
        <v>0</v>
      </c>
      <c r="E64" s="592">
        <v>0</v>
      </c>
      <c r="F64" s="592">
        <v>0</v>
      </c>
      <c r="G64" s="592">
        <v>0</v>
      </c>
      <c r="H64" s="592">
        <v>0</v>
      </c>
      <c r="I64" s="592">
        <v>0</v>
      </c>
      <c r="J64" s="592">
        <v>0</v>
      </c>
      <c r="K64" s="595">
        <v>0</v>
      </c>
    </row>
    <row r="65" spans="1:11" s="2" customFormat="1">
      <c r="A65" s="3">
        <v>13</v>
      </c>
      <c r="B65" s="517" t="s">
        <v>243</v>
      </c>
      <c r="C65" s="152" t="s">
        <v>128</v>
      </c>
      <c r="D65" s="592">
        <v>0</v>
      </c>
      <c r="E65" s="592">
        <v>0</v>
      </c>
      <c r="F65" s="592">
        <v>0</v>
      </c>
      <c r="G65" s="592">
        <v>0</v>
      </c>
      <c r="H65" s="592">
        <v>0</v>
      </c>
      <c r="I65" s="592">
        <v>0</v>
      </c>
      <c r="J65" s="592">
        <v>0</v>
      </c>
      <c r="K65" s="595">
        <v>0</v>
      </c>
    </row>
    <row r="66" spans="1:11" s="2" customFormat="1">
      <c r="A66" s="3">
        <v>14</v>
      </c>
      <c r="B66" s="517" t="s">
        <v>243</v>
      </c>
      <c r="C66" s="152" t="s">
        <v>128</v>
      </c>
      <c r="D66" s="592">
        <v>0</v>
      </c>
      <c r="E66" s="592">
        <v>0</v>
      </c>
      <c r="F66" s="592">
        <v>0</v>
      </c>
      <c r="G66" s="592">
        <v>0</v>
      </c>
      <c r="H66" s="592">
        <v>0</v>
      </c>
      <c r="I66" s="592">
        <v>0</v>
      </c>
      <c r="J66" s="592">
        <v>0</v>
      </c>
      <c r="K66" s="595">
        <v>0</v>
      </c>
    </row>
    <row r="67" spans="1:11" s="2" customFormat="1">
      <c r="A67" s="3">
        <v>15</v>
      </c>
      <c r="B67" s="517" t="s">
        <v>243</v>
      </c>
      <c r="C67" s="152" t="s">
        <v>128</v>
      </c>
      <c r="D67" s="592">
        <v>0</v>
      </c>
      <c r="E67" s="592">
        <v>0</v>
      </c>
      <c r="F67" s="592">
        <v>0</v>
      </c>
      <c r="G67" s="592">
        <v>0</v>
      </c>
      <c r="H67" s="592">
        <v>0</v>
      </c>
      <c r="I67" s="592">
        <v>0</v>
      </c>
      <c r="J67" s="592">
        <v>0</v>
      </c>
      <c r="K67" s="595">
        <v>0</v>
      </c>
    </row>
    <row r="68" spans="1:11" s="2" customFormat="1">
      <c r="A68" s="3">
        <v>16</v>
      </c>
      <c r="B68" s="517" t="s">
        <v>243</v>
      </c>
      <c r="C68" s="152" t="s">
        <v>128</v>
      </c>
      <c r="D68" s="592">
        <v>0</v>
      </c>
      <c r="E68" s="592">
        <v>0</v>
      </c>
      <c r="F68" s="592">
        <v>0</v>
      </c>
      <c r="G68" s="592">
        <v>0</v>
      </c>
      <c r="H68" s="592">
        <v>0</v>
      </c>
      <c r="I68" s="592">
        <v>0</v>
      </c>
      <c r="J68" s="592">
        <v>0</v>
      </c>
      <c r="K68" s="595">
        <v>0</v>
      </c>
    </row>
    <row r="69" spans="1:11" s="2" customFormat="1">
      <c r="A69" s="3">
        <v>17</v>
      </c>
      <c r="B69" s="517" t="s">
        <v>243</v>
      </c>
      <c r="C69" s="152" t="s">
        <v>128</v>
      </c>
      <c r="D69" s="592">
        <v>0</v>
      </c>
      <c r="E69" s="592">
        <v>0</v>
      </c>
      <c r="F69" s="592">
        <v>0</v>
      </c>
      <c r="G69" s="592">
        <v>0</v>
      </c>
      <c r="H69" s="592">
        <v>0</v>
      </c>
      <c r="I69" s="592">
        <v>0</v>
      </c>
      <c r="J69" s="592">
        <v>0</v>
      </c>
      <c r="K69" s="595">
        <v>0</v>
      </c>
    </row>
    <row r="70" spans="1:11" s="2" customFormat="1">
      <c r="A70" s="3">
        <v>18</v>
      </c>
      <c r="B70" s="517" t="s">
        <v>243</v>
      </c>
      <c r="C70" s="152" t="s">
        <v>128</v>
      </c>
      <c r="D70" s="592">
        <v>0</v>
      </c>
      <c r="E70" s="592">
        <v>0</v>
      </c>
      <c r="F70" s="592">
        <v>0</v>
      </c>
      <c r="G70" s="592">
        <v>0</v>
      </c>
      <c r="H70" s="592">
        <v>0</v>
      </c>
      <c r="I70" s="592">
        <v>0</v>
      </c>
      <c r="J70" s="592">
        <v>0</v>
      </c>
      <c r="K70" s="595">
        <v>0</v>
      </c>
    </row>
    <row r="71" spans="1:11" s="2" customFormat="1">
      <c r="A71" s="3">
        <v>19</v>
      </c>
      <c r="B71" s="517" t="s">
        <v>243</v>
      </c>
      <c r="C71" s="152" t="s">
        <v>128</v>
      </c>
      <c r="D71" s="592">
        <v>0</v>
      </c>
      <c r="E71" s="592">
        <v>0</v>
      </c>
      <c r="F71" s="592">
        <v>0</v>
      </c>
      <c r="G71" s="592">
        <v>0</v>
      </c>
      <c r="H71" s="592">
        <v>0</v>
      </c>
      <c r="I71" s="592">
        <v>0</v>
      </c>
      <c r="J71" s="592">
        <v>0</v>
      </c>
      <c r="K71" s="595">
        <v>0</v>
      </c>
    </row>
    <row r="72" spans="1:11" s="2" customFormat="1">
      <c r="A72" s="3">
        <v>20</v>
      </c>
      <c r="B72" s="517" t="s">
        <v>243</v>
      </c>
      <c r="C72" s="152" t="s">
        <v>128</v>
      </c>
      <c r="D72" s="592">
        <v>0</v>
      </c>
      <c r="E72" s="592">
        <v>0</v>
      </c>
      <c r="F72" s="592">
        <v>0</v>
      </c>
      <c r="G72" s="592">
        <v>0</v>
      </c>
      <c r="H72" s="592">
        <v>0</v>
      </c>
      <c r="I72" s="592">
        <v>0</v>
      </c>
      <c r="J72" s="592">
        <v>0</v>
      </c>
      <c r="K72" s="595">
        <v>0</v>
      </c>
    </row>
    <row r="73" spans="1:11" s="2" customFormat="1">
      <c r="A73" s="3">
        <v>21</v>
      </c>
      <c r="B73" s="517" t="s">
        <v>243</v>
      </c>
      <c r="C73" s="152" t="s">
        <v>128</v>
      </c>
      <c r="D73" s="592">
        <v>0</v>
      </c>
      <c r="E73" s="592">
        <v>0</v>
      </c>
      <c r="F73" s="592">
        <v>0</v>
      </c>
      <c r="G73" s="592">
        <v>0</v>
      </c>
      <c r="H73" s="592">
        <v>0</v>
      </c>
      <c r="I73" s="592">
        <v>0</v>
      </c>
      <c r="J73" s="592">
        <v>0</v>
      </c>
      <c r="K73" s="595">
        <v>0</v>
      </c>
    </row>
    <row r="74" spans="1:11" s="2" customFormat="1">
      <c r="A74" s="3">
        <v>22</v>
      </c>
      <c r="B74" s="517" t="s">
        <v>243</v>
      </c>
      <c r="C74" s="152" t="s">
        <v>128</v>
      </c>
      <c r="D74" s="592">
        <v>0</v>
      </c>
      <c r="E74" s="592">
        <v>0</v>
      </c>
      <c r="F74" s="592">
        <v>0</v>
      </c>
      <c r="G74" s="592">
        <v>0</v>
      </c>
      <c r="H74" s="592">
        <v>0</v>
      </c>
      <c r="I74" s="592">
        <v>0</v>
      </c>
      <c r="J74" s="592">
        <v>0</v>
      </c>
      <c r="K74" s="595">
        <v>0</v>
      </c>
    </row>
    <row r="75" spans="1:11" s="2" customFormat="1">
      <c r="A75" s="3">
        <v>23</v>
      </c>
      <c r="B75" s="517" t="s">
        <v>243</v>
      </c>
      <c r="C75" s="152" t="s">
        <v>128</v>
      </c>
      <c r="D75" s="592">
        <v>0</v>
      </c>
      <c r="E75" s="592">
        <v>0</v>
      </c>
      <c r="F75" s="592">
        <v>0</v>
      </c>
      <c r="G75" s="592">
        <v>0</v>
      </c>
      <c r="H75" s="592">
        <v>0</v>
      </c>
      <c r="I75" s="592">
        <v>0</v>
      </c>
      <c r="J75" s="592">
        <v>0</v>
      </c>
      <c r="K75" s="595">
        <v>0</v>
      </c>
    </row>
    <row r="76" spans="1:11" s="2" customFormat="1">
      <c r="A76" s="3">
        <v>24</v>
      </c>
      <c r="B76" s="517" t="s">
        <v>243</v>
      </c>
      <c r="C76" s="152" t="s">
        <v>128</v>
      </c>
      <c r="D76" s="592">
        <v>0</v>
      </c>
      <c r="E76" s="592">
        <v>0</v>
      </c>
      <c r="F76" s="592">
        <v>0</v>
      </c>
      <c r="G76" s="592">
        <v>0</v>
      </c>
      <c r="H76" s="592">
        <v>0</v>
      </c>
      <c r="I76" s="592">
        <v>0</v>
      </c>
      <c r="J76" s="592">
        <v>0</v>
      </c>
      <c r="K76" s="595">
        <v>0</v>
      </c>
    </row>
    <row r="77" spans="1:11" s="2" customFormat="1">
      <c r="A77" s="3">
        <v>25</v>
      </c>
      <c r="B77" s="517" t="s">
        <v>243</v>
      </c>
      <c r="C77" s="152" t="s">
        <v>128</v>
      </c>
      <c r="D77" s="592">
        <v>0</v>
      </c>
      <c r="E77" s="592">
        <v>0</v>
      </c>
      <c r="F77" s="592">
        <v>0</v>
      </c>
      <c r="G77" s="592">
        <v>0</v>
      </c>
      <c r="H77" s="592">
        <v>0</v>
      </c>
      <c r="I77" s="592">
        <v>0</v>
      </c>
      <c r="J77" s="592">
        <v>0</v>
      </c>
      <c r="K77" s="595">
        <v>0</v>
      </c>
    </row>
    <row r="78" spans="1:11" s="2" customFormat="1">
      <c r="B78" s="12" t="s">
        <v>171</v>
      </c>
      <c r="C78" s="152" t="s">
        <v>128</v>
      </c>
      <c r="D78" s="607">
        <f>SUM(D53:D77)</f>
        <v>66.023099999999999</v>
      </c>
      <c r="E78" s="608">
        <f t="shared" ref="E78:K78" si="8">SUM(E53:E77)</f>
        <v>95.286167311588954</v>
      </c>
      <c r="F78" s="608">
        <f t="shared" si="8"/>
        <v>36.439928759017462</v>
      </c>
      <c r="G78" s="608">
        <f t="shared" si="8"/>
        <v>69.523557263308732</v>
      </c>
      <c r="H78" s="608">
        <f t="shared" si="8"/>
        <v>66.560616881302821</v>
      </c>
      <c r="I78" s="608">
        <f t="shared" si="8"/>
        <v>59.903556481094206</v>
      </c>
      <c r="J78" s="608">
        <f t="shared" si="8"/>
        <v>45.811906787807942</v>
      </c>
      <c r="K78" s="609">
        <f t="shared" si="8"/>
        <v>42.488876105198628</v>
      </c>
    </row>
    <row r="79" spans="1:11" s="2" customFormat="1">
      <c r="C79" s="136"/>
      <c r="D79" s="53"/>
      <c r="E79" s="52"/>
      <c r="F79" s="52"/>
      <c r="G79" s="52"/>
      <c r="H79" s="52"/>
      <c r="I79" s="52"/>
      <c r="J79" s="52"/>
      <c r="K79" s="52"/>
    </row>
    <row r="80" spans="1:11" s="2" customFormat="1">
      <c r="B80" s="12" t="s">
        <v>394</v>
      </c>
      <c r="C80" s="152" t="s">
        <v>128</v>
      </c>
      <c r="D80" s="607">
        <f>D48-D78</f>
        <v>141.99149390298572</v>
      </c>
      <c r="E80" s="608">
        <f t="shared" ref="E80:K80" si="9">E48-E78</f>
        <v>150.81036512902153</v>
      </c>
      <c r="F80" s="608">
        <f t="shared" si="9"/>
        <v>137.54341252068093</v>
      </c>
      <c r="G80" s="608">
        <f t="shared" si="9"/>
        <v>147.89428369170375</v>
      </c>
      <c r="H80" s="608">
        <f t="shared" si="9"/>
        <v>143.44786190738867</v>
      </c>
      <c r="I80" s="608">
        <f t="shared" si="9"/>
        <v>167.77390045890581</v>
      </c>
      <c r="J80" s="608">
        <f t="shared" si="9"/>
        <v>166.80052457904978</v>
      </c>
      <c r="K80" s="609">
        <f t="shared" si="9"/>
        <v>190.51845846140776</v>
      </c>
    </row>
    <row r="81" spans="2:11" s="2" customFormat="1">
      <c r="B81" s="12" t="s">
        <v>482</v>
      </c>
      <c r="C81" s="152" t="s">
        <v>128</v>
      </c>
      <c r="D81" s="627">
        <f>'R4 - Totex'!D90+'R4 - Totex'!D118</f>
        <v>141.99669999999998</v>
      </c>
      <c r="E81" s="628">
        <f>'R4 - Totex'!E90+'R4 - Totex'!E118</f>
        <v>150.77750000000003</v>
      </c>
      <c r="F81" s="628">
        <f>'R4 - Totex'!F90+'R4 - Totex'!F118</f>
        <v>137.52339999999995</v>
      </c>
      <c r="G81" s="628">
        <f>'R4 - Totex'!G90+'R4 - Totex'!G118</f>
        <v>147.91449999999998</v>
      </c>
      <c r="H81" s="628">
        <f>'R4 - Totex'!H90+'R4 - Totex'!H118</f>
        <v>143.4529849162011</v>
      </c>
      <c r="I81" s="628">
        <f>'R4 - Totex'!I90+'R4 - Totex'!I118</f>
        <v>167.7680121116139</v>
      </c>
      <c r="J81" s="628">
        <f>'R4 - Totex'!J90+'R4 - Totex'!J118</f>
        <v>166.79459154369209</v>
      </c>
      <c r="K81" s="628">
        <f>'R4 - Totex'!K90+'R4 - Totex'!K118</f>
        <v>190.52317475674138</v>
      </c>
    </row>
    <row r="82" spans="2:11" s="2" customFormat="1">
      <c r="C82" s="136" t="s">
        <v>395</v>
      </c>
      <c r="D82" s="570" t="str">
        <f>IF(D$5="Actuals",IF(ABS(D80-('R4 - Totex'!D90+'R4 - Totex'!D118))&lt;'RFPR cover'!$F$14,"OK","Error"),"N/A")</f>
        <v>OK</v>
      </c>
      <c r="E82" s="570" t="str">
        <f>IF(E$5="Actuals",IF(ABS(E80-('R4 - Totex'!E90+'R4 - Totex'!E118))&lt;'RFPR cover'!$F$14,"OK","Error"),"N/A")</f>
        <v>OK</v>
      </c>
      <c r="F82" s="570" t="str">
        <f>IF(F$5="Actuals",IF(ABS(F80-('R4 - Totex'!F90+'R4 - Totex'!F118))&lt;'RFPR cover'!$F$14,"OK","Error"),"N/A")</f>
        <v>OK</v>
      </c>
      <c r="G82" s="570" t="str">
        <f>IF(G$5="Actuals",IF(ABS(G80-('R4 - Totex'!G90+'R4 - Totex'!G118))&lt;'RFPR cover'!$F$14,"OK","Error"),"N/A")</f>
        <v>OK</v>
      </c>
      <c r="H82" s="570" t="str">
        <f>IF(H$5="Actuals",IF(ABS(H80-('R4 - Totex'!H90+'R4 - Totex'!H118))&lt;'RFPR cover'!$F$14,"OK","Error"),"N/A")</f>
        <v>OK</v>
      </c>
      <c r="I82" s="570" t="str">
        <f>IF(I$5="Actuals",IF(ABS(I80-('R4 - Totex'!I90+'R4 - Totex'!I118))&lt;'RFPR cover'!$F$14,"OK","Error"),"N/A")</f>
        <v>OK</v>
      </c>
      <c r="J82" s="570" t="str">
        <f>IF(J$5="Actuals",IF(ABS(J80-('R4 - Totex'!J90+'R4 - Totex'!J118))&lt;'RFPR cover'!$F$14,"OK","Error"),"N/A")</f>
        <v>OK</v>
      </c>
      <c r="K82" s="570" t="str">
        <f>IF(K$5="Actuals",IF(ABS(K80-('R4 - Totex'!K90+'R4 - Totex'!K118))&lt;'RFPR cover'!$F$14,"OK","Error"),"N/A")</f>
        <v>OK</v>
      </c>
    </row>
    <row r="83" spans="2:11" s="2" customFormat="1">
      <c r="C83" s="136"/>
    </row>
    <row r="84" spans="2:11">
      <c r="D84" s="215"/>
      <c r="E84" s="215"/>
      <c r="F84" s="215"/>
      <c r="G84" s="215"/>
      <c r="H84" s="215"/>
      <c r="I84" s="215"/>
      <c r="J84" s="215"/>
      <c r="K84" s="215"/>
    </row>
    <row r="85" spans="2:11">
      <c r="D85" s="215"/>
      <c r="E85" s="215"/>
      <c r="F85" s="215"/>
      <c r="G85" s="215"/>
      <c r="H85" s="215"/>
      <c r="I85" s="215"/>
      <c r="J85" s="215"/>
      <c r="K85" s="215"/>
    </row>
    <row r="86" spans="2:11">
      <c r="D86" s="215"/>
      <c r="E86" s="215"/>
      <c r="F86" s="215"/>
      <c r="G86" s="215"/>
      <c r="H86" s="215"/>
      <c r="I86" s="215"/>
      <c r="J86" s="215"/>
      <c r="K86" s="215"/>
    </row>
  </sheetData>
  <conditionalFormatting sqref="D6:J6">
    <cfRule type="expression" dxfId="90" priority="58">
      <formula>AND(D$5="Actuals",E$5="N/A")</formula>
    </cfRule>
  </conditionalFormatting>
  <conditionalFormatting sqref="D5:K5">
    <cfRule type="expression" dxfId="89" priority="49">
      <formula>AND(D$5="Actuals",E$5="N/A")</formula>
    </cfRule>
  </conditionalFormatting>
  <conditionalFormatting sqref="D46:K46 D48:K48 D78:K78 D80:K80 D82:K82 D18:H18 D23:H23 D50:K50 J23:K23 K18 D53:J77">
    <cfRule type="expression" dxfId="88" priority="44">
      <formula>D$5="N/A"</formula>
    </cfRule>
  </conditionalFormatting>
  <conditionalFormatting sqref="J18">
    <cfRule type="expression" dxfId="87" priority="30">
      <formula>J$5="N/A"</formula>
    </cfRule>
  </conditionalFormatting>
  <conditionalFormatting sqref="D49:K49">
    <cfRule type="expression" dxfId="86" priority="27">
      <formula>D$5="N/A"</formula>
    </cfRule>
  </conditionalFormatting>
  <conditionalFormatting sqref="I18 I23">
    <cfRule type="expression" dxfId="85" priority="25">
      <formula>I$5="N/A"</formula>
    </cfRule>
  </conditionalFormatting>
  <conditionalFormatting sqref="K57:K77">
    <cfRule type="expression" dxfId="84" priority="15">
      <formula>K$5="N/A"</formula>
    </cfRule>
  </conditionalFormatting>
  <conditionalFormatting sqref="K53:K56">
    <cfRule type="expression" dxfId="83" priority="14">
      <formula>K$5="N/A"</formula>
    </cfRule>
  </conditionalFormatting>
  <conditionalFormatting sqref="D26:J45">
    <cfRule type="expression" dxfId="82" priority="13">
      <formula>D$5="N/A"</formula>
    </cfRule>
  </conditionalFormatting>
  <conditionalFormatting sqref="D19:J22">
    <cfRule type="expression" dxfId="81" priority="12">
      <formula>D$5="N/A"</formula>
    </cfRule>
  </conditionalFormatting>
  <conditionalFormatting sqref="D9:J17">
    <cfRule type="expression" dxfId="80" priority="11">
      <formula>D$5="N/A"</formula>
    </cfRule>
  </conditionalFormatting>
  <conditionalFormatting sqref="K9:K17">
    <cfRule type="expression" dxfId="79" priority="10">
      <formula>K$5="N/A"</formula>
    </cfRule>
  </conditionalFormatting>
  <conditionalFormatting sqref="K19:K22">
    <cfRule type="expression" dxfId="78" priority="9">
      <formula>K$5="N/A"</formula>
    </cfRule>
  </conditionalFormatting>
  <conditionalFormatting sqref="K26:K30">
    <cfRule type="expression" dxfId="77" priority="7">
      <formula>K$5="N/A"</formula>
    </cfRule>
  </conditionalFormatting>
  <conditionalFormatting sqref="K31:K32">
    <cfRule type="expression" dxfId="76" priority="6">
      <formula>K$5="N/A"</formula>
    </cfRule>
  </conditionalFormatting>
  <conditionalFormatting sqref="K33">
    <cfRule type="expression" dxfId="75" priority="5">
      <formula>K$5="N/A"</formula>
    </cfRule>
  </conditionalFormatting>
  <conditionalFormatting sqref="K34">
    <cfRule type="expression" dxfId="74" priority="4">
      <formula>K$5="N/A"</formula>
    </cfRule>
  </conditionalFormatting>
  <conditionalFormatting sqref="K35">
    <cfRule type="expression" dxfId="73" priority="3">
      <formula>K$5="N/A"</formula>
    </cfRule>
  </conditionalFormatting>
  <conditionalFormatting sqref="K36:K38">
    <cfRule type="expression" dxfId="72" priority="2">
      <formula>K$5="N/A"</formula>
    </cfRule>
  </conditionalFormatting>
  <conditionalFormatting sqref="K39:K45">
    <cfRule type="expression" dxfId="71" priority="1">
      <formula>K$5="N/A"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AC154"/>
  <sheetViews>
    <sheetView showGridLines="0" zoomScale="60" zoomScaleNormal="60" workbookViewId="0">
      <pane ySplit="6" topLeftCell="A16" activePane="bottomLeft" state="frozen"/>
      <selection activeCell="I11" sqref="I11"/>
      <selection pane="bottomLeft" activeCell="C86" sqref="C86"/>
    </sheetView>
  </sheetViews>
  <sheetFormatPr defaultColWidth="9.125" defaultRowHeight="12.75"/>
  <cols>
    <col min="1" max="1" width="8.375" style="2" customWidth="1"/>
    <col min="2" max="2" width="75.5" style="129" customWidth="1"/>
    <col min="3" max="3" width="13.375" style="136" customWidth="1"/>
    <col min="4" max="11" width="11.125" style="2" customWidth="1"/>
    <col min="12" max="13" width="12.875" style="2" customWidth="1"/>
    <col min="14" max="14" width="25.5" style="2" customWidth="1"/>
    <col min="15" max="16384" width="9.125" style="2"/>
  </cols>
  <sheetData>
    <row r="1" spans="1:29" s="31" customFormat="1" ht="20.25">
      <c r="A1" s="875" t="s">
        <v>99</v>
      </c>
      <c r="B1" s="897"/>
      <c r="C1" s="278"/>
      <c r="D1" s="256"/>
      <c r="E1" s="256"/>
      <c r="F1" s="256"/>
      <c r="G1" s="256"/>
      <c r="H1" s="256"/>
      <c r="I1" s="257"/>
      <c r="J1" s="257"/>
      <c r="K1" s="258"/>
      <c r="L1" s="258"/>
      <c r="M1" s="258"/>
      <c r="N1" s="258"/>
      <c r="O1" s="363"/>
    </row>
    <row r="2" spans="1:29" s="31" customFormat="1" ht="20.25">
      <c r="A2" s="878" t="str">
        <f>'RFPR cover'!C5</f>
        <v>NGED-SWALES</v>
      </c>
      <c r="B2" s="891"/>
      <c r="C2" s="134"/>
      <c r="D2" s="29"/>
      <c r="E2" s="29"/>
      <c r="F2" s="29"/>
      <c r="G2" s="29"/>
      <c r="H2" s="29"/>
      <c r="I2" s="27"/>
      <c r="J2" s="27"/>
      <c r="K2" s="27"/>
      <c r="L2" s="27"/>
      <c r="M2" s="27"/>
      <c r="N2" s="27"/>
      <c r="O2" s="123"/>
    </row>
    <row r="3" spans="1:29" s="31" customFormat="1" ht="20.25">
      <c r="A3" s="881">
        <f>'RFPR cover'!C7</f>
        <v>2023</v>
      </c>
      <c r="B3" s="892"/>
      <c r="C3" s="277"/>
      <c r="D3" s="260"/>
      <c r="E3" s="260"/>
      <c r="F3" s="260"/>
      <c r="G3" s="260"/>
      <c r="H3" s="260"/>
      <c r="I3" s="255"/>
      <c r="J3" s="255"/>
      <c r="K3" s="255"/>
      <c r="L3" s="255"/>
      <c r="M3" s="255"/>
      <c r="N3" s="255"/>
      <c r="O3" s="261"/>
    </row>
    <row r="4" spans="1:29" ht="12.75" customHeight="1"/>
    <row r="5" spans="1:29" ht="12.75" customHeight="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29" ht="27.75" customHeight="1">
      <c r="B6" s="744"/>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2023</v>
      </c>
      <c r="M6" s="119" t="s">
        <v>109</v>
      </c>
      <c r="N6" s="119" t="s">
        <v>307</v>
      </c>
    </row>
    <row r="7" spans="1:29" s="35" customFormat="1">
      <c r="B7" s="745"/>
      <c r="C7" s="158"/>
      <c r="D7" s="58"/>
      <c r="E7" s="58"/>
      <c r="F7" s="58"/>
      <c r="G7" s="58"/>
      <c r="H7" s="58"/>
      <c r="I7" s="58"/>
      <c r="J7" s="58"/>
      <c r="K7" s="58"/>
      <c r="L7" s="58"/>
      <c r="M7" s="58"/>
      <c r="N7" s="58"/>
    </row>
    <row r="8" spans="1:29" s="35" customFormat="1">
      <c r="B8" s="746" t="s">
        <v>382</v>
      </c>
      <c r="C8" s="291"/>
      <c r="D8" s="321"/>
      <c r="E8" s="321"/>
      <c r="F8" s="321"/>
      <c r="G8" s="321"/>
      <c r="H8" s="321"/>
      <c r="I8" s="321"/>
      <c r="J8" s="321"/>
      <c r="K8" s="321"/>
      <c r="L8" s="321"/>
      <c r="M8" s="321"/>
      <c r="N8" s="321"/>
    </row>
    <row r="9" spans="1:29" s="35" customFormat="1">
      <c r="B9" s="745"/>
      <c r="C9" s="158"/>
      <c r="D9" s="58"/>
      <c r="E9" s="58"/>
      <c r="F9" s="58"/>
      <c r="G9" s="58"/>
      <c r="H9" s="58"/>
      <c r="I9" s="58"/>
      <c r="J9" s="58"/>
      <c r="K9" s="58"/>
      <c r="L9" s="58"/>
      <c r="M9" s="58"/>
      <c r="N9" s="58"/>
      <c r="P9"/>
      <c r="Q9"/>
      <c r="R9"/>
      <c r="S9"/>
      <c r="T9"/>
      <c r="U9" s="2"/>
      <c r="V9" s="2"/>
      <c r="W9" s="2"/>
      <c r="X9" s="2"/>
    </row>
    <row r="10" spans="1:29">
      <c r="A10" s="35"/>
      <c r="B10" s="747" t="str">
        <f>Data!B48</f>
        <v>Totex</v>
      </c>
      <c r="C10" s="150"/>
      <c r="D10" s="82"/>
      <c r="E10" s="82"/>
      <c r="F10" s="82"/>
      <c r="G10" s="82"/>
      <c r="H10" s="82"/>
      <c r="I10" s="82"/>
      <c r="J10" s="82"/>
      <c r="K10" s="82"/>
      <c r="L10" s="82"/>
      <c r="M10" s="82"/>
      <c r="N10" s="82"/>
      <c r="P10"/>
      <c r="Q10"/>
      <c r="R10"/>
      <c r="S10"/>
      <c r="T10"/>
    </row>
    <row r="11" spans="1:29" s="35" customFormat="1">
      <c r="B11" s="748"/>
      <c r="C11" s="138"/>
      <c r="D11" s="320"/>
      <c r="E11" s="320"/>
      <c r="F11" s="320"/>
      <c r="G11" s="320"/>
      <c r="H11" s="320"/>
      <c r="I11" s="320"/>
      <c r="J11" s="320"/>
      <c r="K11" s="320"/>
      <c r="L11" s="320"/>
      <c r="M11" s="320"/>
      <c r="N11" s="320"/>
      <c r="P11"/>
      <c r="Q11"/>
      <c r="R11"/>
      <c r="S11"/>
      <c r="T11"/>
      <c r="U11" s="2"/>
      <c r="V11" s="2"/>
      <c r="W11" s="2"/>
      <c r="X11" s="2"/>
    </row>
    <row r="12" spans="1:29">
      <c r="A12" s="35"/>
      <c r="B12" s="305" t="s">
        <v>34</v>
      </c>
      <c r="C12" s="155" t="str">
        <f>'RFPR cover'!$C$14</f>
        <v>£m 12/13</v>
      </c>
      <c r="D12" s="482">
        <v>133.91913354314985</v>
      </c>
      <c r="E12" s="482">
        <v>139.21735302386489</v>
      </c>
      <c r="F12" s="482">
        <v>122.39926773684284</v>
      </c>
      <c r="G12" s="482">
        <v>127.74429344564925</v>
      </c>
      <c r="H12" s="482">
        <v>120.7649241485109</v>
      </c>
      <c r="I12" s="482">
        <v>139.54195529549247</v>
      </c>
      <c r="J12" s="482">
        <v>131.15673286868042</v>
      </c>
      <c r="K12" s="482">
        <v>132.72779445074042</v>
      </c>
      <c r="L12" s="107">
        <f>SUM(D12:INDEX(D12:K12,0,MATCH('RFPR cover'!$C$7,$D$6:$K$6,0)))</f>
        <v>1047.4714545129311</v>
      </c>
      <c r="M12" s="108">
        <f>SUM(D12:K12)</f>
        <v>1047.4714545129311</v>
      </c>
      <c r="N12" s="63"/>
      <c r="O12" s="63"/>
      <c r="P12"/>
      <c r="Q12"/>
      <c r="R12"/>
      <c r="S12"/>
      <c r="T12"/>
    </row>
    <row r="13" spans="1:29" ht="25.5">
      <c r="A13" s="35"/>
      <c r="B13" s="749" t="s">
        <v>494</v>
      </c>
      <c r="C13" s="155" t="str">
        <f>'RFPR cover'!$C$14</f>
        <v>£m 12/13</v>
      </c>
      <c r="D13" s="483">
        <v>146.9226732679314</v>
      </c>
      <c r="E13" s="484">
        <v>148.24656160318904</v>
      </c>
      <c r="F13" s="484">
        <v>140.33341840747909</v>
      </c>
      <c r="G13" s="484">
        <v>149.3663742614707</v>
      </c>
      <c r="H13" s="484">
        <v>136.37397096266676</v>
      </c>
      <c r="I13" s="484">
        <v>124.0049215178578</v>
      </c>
      <c r="J13" s="484">
        <v>120.64495920411341</v>
      </c>
      <c r="K13" s="484">
        <v>123.64166199451371</v>
      </c>
      <c r="L13" s="105">
        <f>SUM(D13:INDEX(D13:K13,0,MATCH('RFPR cover'!$C$7,$D$6:$K$6,0)))</f>
        <v>1089.5345412192221</v>
      </c>
      <c r="M13" s="106">
        <f>SUM(D13:K13)</f>
        <v>1089.5345412192221</v>
      </c>
      <c r="N13" s="63"/>
      <c r="O13" s="63"/>
      <c r="P13"/>
      <c r="Q13"/>
      <c r="R13"/>
      <c r="S13"/>
      <c r="T13"/>
      <c r="Y13" s="35"/>
      <c r="Z13" s="35"/>
      <c r="AA13" s="35"/>
      <c r="AB13" s="35"/>
      <c r="AC13" s="35"/>
    </row>
    <row r="14" spans="1:29">
      <c r="A14" s="35"/>
      <c r="B14" s="750" t="s">
        <v>195</v>
      </c>
      <c r="C14" s="155" t="str">
        <f>'RFPR cover'!$C$14</f>
        <v>£m 12/13</v>
      </c>
      <c r="D14" s="102">
        <f>D13-D12</f>
        <v>13.003539724781547</v>
      </c>
      <c r="E14" s="103">
        <f t="shared" ref="E14:M14" si="1">E13-E12</f>
        <v>9.0292085793241483</v>
      </c>
      <c r="F14" s="103">
        <f t="shared" si="1"/>
        <v>17.934150670636242</v>
      </c>
      <c r="G14" s="103">
        <f t="shared" si="1"/>
        <v>21.622080815821448</v>
      </c>
      <c r="H14" s="103">
        <f t="shared" si="1"/>
        <v>15.60904681415586</v>
      </c>
      <c r="I14" s="103">
        <f t="shared" si="1"/>
        <v>-15.537033777634676</v>
      </c>
      <c r="J14" s="103">
        <f t="shared" si="1"/>
        <v>-10.511773664567016</v>
      </c>
      <c r="K14" s="103">
        <f t="shared" si="1"/>
        <v>-9.0861324562267072</v>
      </c>
      <c r="L14" s="102">
        <f t="shared" si="1"/>
        <v>42.06308670629096</v>
      </c>
      <c r="M14" s="104">
        <f t="shared" si="1"/>
        <v>42.06308670629096</v>
      </c>
      <c r="N14" s="63"/>
      <c r="P14"/>
      <c r="Q14"/>
      <c r="R14"/>
      <c r="S14"/>
      <c r="T14"/>
    </row>
    <row r="15" spans="1:29">
      <c r="A15" s="35"/>
      <c r="B15" s="750"/>
      <c r="C15" s="155"/>
      <c r="D15" s="59"/>
      <c r="E15" s="59"/>
      <c r="F15" s="59"/>
      <c r="G15" s="59"/>
      <c r="H15" s="59"/>
      <c r="I15" s="59"/>
      <c r="J15" s="59"/>
      <c r="K15" s="59"/>
      <c r="L15" s="59"/>
      <c r="M15" s="59"/>
      <c r="P15"/>
      <c r="Q15"/>
      <c r="R15"/>
      <c r="S15"/>
      <c r="T15"/>
      <c r="Y15" s="35"/>
      <c r="Z15" s="35"/>
      <c r="AA15" s="35"/>
      <c r="AB15" s="35"/>
      <c r="AC15" s="35"/>
    </row>
    <row r="16" spans="1:29">
      <c r="A16" s="35"/>
      <c r="B16" s="744" t="s">
        <v>178</v>
      </c>
      <c r="C16" s="136" t="s">
        <v>7</v>
      </c>
      <c r="D16" s="109">
        <f>1-INDEX(Data!$D$73:$D$100,MATCH('RFPR cover'!$C$5,Data!$B$73:$B$100,0),0)</f>
        <v>0.30000000000000004</v>
      </c>
      <c r="E16" s="110">
        <f>1-INDEX(Data!$D$73:$D$100,MATCH('RFPR cover'!$C$5,Data!$B$73:$B$100,0),0)</f>
        <v>0.30000000000000004</v>
      </c>
      <c r="F16" s="110">
        <f>1-INDEX(Data!$D$73:$D$100,MATCH('RFPR cover'!$C$5,Data!$B$73:$B$100,0),0)</f>
        <v>0.30000000000000004</v>
      </c>
      <c r="G16" s="110">
        <f>1-INDEX(Data!$D$73:$D$100,MATCH('RFPR cover'!$C$5,Data!$B$73:$B$100,0),0)</f>
        <v>0.30000000000000004</v>
      </c>
      <c r="H16" s="110">
        <f>1-INDEX(Data!$D$73:$D$100,MATCH('RFPR cover'!$C$5,Data!$B$73:$B$100,0),0)</f>
        <v>0.30000000000000004</v>
      </c>
      <c r="I16" s="110">
        <f>1-INDEX(Data!$D$73:$D$100,MATCH('RFPR cover'!$C$5,Data!$B$73:$B$100,0),0)</f>
        <v>0.30000000000000004</v>
      </c>
      <c r="J16" s="110">
        <f>1-INDEX(Data!$D$73:$D$100,MATCH('RFPR cover'!$C$5,Data!$B$73:$B$100,0),0)</f>
        <v>0.30000000000000004</v>
      </c>
      <c r="K16" s="111">
        <f>1-INDEX(Data!$D$73:$D$100,MATCH('RFPR cover'!$C$5,Data!$B$73:$B$100,0),0)</f>
        <v>0.30000000000000004</v>
      </c>
      <c r="L16" s="62"/>
      <c r="M16" s="62"/>
      <c r="P16"/>
      <c r="Q16"/>
      <c r="R16"/>
      <c r="S16"/>
      <c r="T16"/>
    </row>
    <row r="17" spans="1:29">
      <c r="A17" s="35"/>
      <c r="B17" s="744"/>
      <c r="P17"/>
      <c r="Q17"/>
      <c r="R17"/>
      <c r="S17"/>
      <c r="T17"/>
      <c r="Y17" s="35"/>
      <c r="Z17" s="35"/>
      <c r="AA17" s="35"/>
      <c r="AB17" s="35"/>
      <c r="AC17" s="35"/>
    </row>
    <row r="18" spans="1:29">
      <c r="A18" s="35"/>
      <c r="B18" s="751" t="s">
        <v>183</v>
      </c>
      <c r="C18" s="159" t="str">
        <f>'RFPR cover'!$C$14</f>
        <v>£m 12/13</v>
      </c>
      <c r="D18" s="95">
        <f>D14*D16</f>
        <v>3.9010619174344647</v>
      </c>
      <c r="E18" s="96">
        <f t="shared" ref="E18:K18" si="2">E14*E16</f>
        <v>2.7087625737972449</v>
      </c>
      <c r="F18" s="96">
        <f t="shared" si="2"/>
        <v>5.3802452011908732</v>
      </c>
      <c r="G18" s="96">
        <f t="shared" si="2"/>
        <v>6.4866242447464355</v>
      </c>
      <c r="H18" s="96">
        <f t="shared" si="2"/>
        <v>4.682714044246759</v>
      </c>
      <c r="I18" s="96">
        <f t="shared" si="2"/>
        <v>-4.6611101332904035</v>
      </c>
      <c r="J18" s="96">
        <f t="shared" si="2"/>
        <v>-3.1535320993701053</v>
      </c>
      <c r="K18" s="96">
        <f t="shared" si="2"/>
        <v>-2.7258397368680125</v>
      </c>
      <c r="L18" s="95">
        <f>SUM(D18:INDEX(D18:K18,0,MATCH('RFPR cover'!$C$7,$D$6:$K$6,0)))</f>
        <v>12.618926011887254</v>
      </c>
      <c r="M18" s="97">
        <f>SUM(D18:K18)</f>
        <v>12.618926011887254</v>
      </c>
      <c r="P18"/>
      <c r="Q18"/>
      <c r="R18"/>
      <c r="S18"/>
      <c r="T18"/>
    </row>
    <row r="19" spans="1:29">
      <c r="A19" s="35"/>
      <c r="B19" s="751" t="s">
        <v>276</v>
      </c>
      <c r="C19" s="159" t="str">
        <f>'RFPR cover'!$C$14</f>
        <v>£m 12/13</v>
      </c>
      <c r="D19" s="92">
        <f>D14*(1-D16)</f>
        <v>9.102477807347082</v>
      </c>
      <c r="E19" s="93">
        <f t="shared" ref="E19:K19" si="3">E14*(1-E16)</f>
        <v>6.3204460055269038</v>
      </c>
      <c r="F19" s="93">
        <f t="shared" si="3"/>
        <v>12.553905469445368</v>
      </c>
      <c r="G19" s="93">
        <f t="shared" si="3"/>
        <v>15.135456571075013</v>
      </c>
      <c r="H19" s="93">
        <f t="shared" si="3"/>
        <v>10.926332769909102</v>
      </c>
      <c r="I19" s="93">
        <f t="shared" si="3"/>
        <v>-10.875923644344272</v>
      </c>
      <c r="J19" s="93">
        <f t="shared" si="3"/>
        <v>-7.3582415651969111</v>
      </c>
      <c r="K19" s="93">
        <f t="shared" si="3"/>
        <v>-6.3602927193586947</v>
      </c>
      <c r="L19" s="92">
        <f>SUM(D19:INDEX(D19:K19,0,MATCH('RFPR cover'!$C$7,$D$6:$K$6,0)))</f>
        <v>29.444160694403585</v>
      </c>
      <c r="M19" s="94">
        <f>SUM(D19:K19)</f>
        <v>29.444160694403585</v>
      </c>
      <c r="P19"/>
      <c r="Q19"/>
      <c r="R19"/>
      <c r="S19"/>
      <c r="T19"/>
      <c r="Y19" s="35"/>
      <c r="Z19" s="35"/>
      <c r="AA19" s="35"/>
      <c r="AB19" s="35"/>
      <c r="AC19" s="35"/>
    </row>
    <row r="20" spans="1:29">
      <c r="A20" s="35"/>
      <c r="B20" s="744"/>
      <c r="J20" s="924"/>
      <c r="P20"/>
      <c r="Q20"/>
      <c r="R20"/>
      <c r="S20"/>
      <c r="T20"/>
    </row>
    <row r="21" spans="1:29">
      <c r="A21" s="35"/>
      <c r="B21" s="752" t="s">
        <v>182</v>
      </c>
      <c r="N21" s="63"/>
      <c r="P21"/>
      <c r="Q21"/>
      <c r="R21"/>
      <c r="S21"/>
      <c r="T21"/>
      <c r="Y21" s="35"/>
      <c r="Z21" s="35"/>
      <c r="AA21" s="35"/>
      <c r="AB21" s="35"/>
      <c r="AC21" s="35"/>
    </row>
    <row r="22" spans="1:29">
      <c r="A22" s="269" t="s">
        <v>151</v>
      </c>
      <c r="B22" s="742" t="s">
        <v>608</v>
      </c>
      <c r="C22" s="155" t="str">
        <f>'RFPR cover'!$C$14</f>
        <v>£m 12/13</v>
      </c>
      <c r="D22" s="580">
        <v>0</v>
      </c>
      <c r="E22" s="581">
        <v>9.3380794989831966</v>
      </c>
      <c r="F22" s="581">
        <v>-8.5540706675257674</v>
      </c>
      <c r="G22" s="581">
        <v>-0.43392316322300012</v>
      </c>
      <c r="H22" s="581">
        <v>0</v>
      </c>
      <c r="I22" s="581">
        <v>0</v>
      </c>
      <c r="J22" s="581">
        <v>0</v>
      </c>
      <c r="K22" s="581">
        <v>0</v>
      </c>
      <c r="L22" s="582">
        <f>SUM(D22:INDEX(D22:K22,0,MATCH('RFPR cover'!$C$7,$D$6:$K$6,0)))</f>
        <v>0.35008566823442905</v>
      </c>
      <c r="M22" s="583">
        <f t="shared" ref="M22:M27" si="4">SUM(D22:K22)</f>
        <v>0.35008566823442905</v>
      </c>
      <c r="N22" s="571" t="s">
        <v>611</v>
      </c>
      <c r="P22"/>
      <c r="Q22"/>
      <c r="R22"/>
      <c r="S22"/>
      <c r="T22"/>
    </row>
    <row r="23" spans="1:29">
      <c r="A23" s="269" t="s">
        <v>152</v>
      </c>
      <c r="B23" s="742" t="s">
        <v>609</v>
      </c>
      <c r="C23" s="155" t="str">
        <f>'RFPR cover'!$C$14</f>
        <v>£m 12/13</v>
      </c>
      <c r="D23" s="584">
        <v>0</v>
      </c>
      <c r="E23" s="585">
        <v>0</v>
      </c>
      <c r="F23" s="585">
        <v>-32.492576467475004</v>
      </c>
      <c r="G23" s="585">
        <v>-5.6790889221175025</v>
      </c>
      <c r="H23" s="585">
        <v>0</v>
      </c>
      <c r="I23" s="585">
        <v>12.723999999999998</v>
      </c>
      <c r="J23" s="585">
        <v>12.723999999999998</v>
      </c>
      <c r="K23" s="585">
        <v>12.72366538959251</v>
      </c>
      <c r="L23" s="586">
        <f>SUM(D23:INDEX(D23:K23,0,MATCH('RFPR cover'!$C$7,$D$6:$K$6,0)))</f>
        <v>0</v>
      </c>
      <c r="M23" s="587">
        <f t="shared" si="4"/>
        <v>0</v>
      </c>
      <c r="N23" s="572" t="s">
        <v>611</v>
      </c>
      <c r="O23"/>
      <c r="P23"/>
      <c r="Q23"/>
      <c r="R23"/>
      <c r="S23"/>
      <c r="T23"/>
      <c r="Y23" s="35"/>
      <c r="Z23" s="35"/>
      <c r="AA23" s="35"/>
      <c r="AB23" s="35"/>
      <c r="AC23" s="35"/>
    </row>
    <row r="24" spans="1:29">
      <c r="A24" s="269" t="s">
        <v>153</v>
      </c>
      <c r="B24" s="742" t="s">
        <v>610</v>
      </c>
      <c r="C24" s="155" t="str">
        <f>'RFPR cover'!$C$14</f>
        <v>£m 12/13</v>
      </c>
      <c r="D24" s="584">
        <v>0</v>
      </c>
      <c r="E24" s="585">
        <v>0</v>
      </c>
      <c r="F24" s="585">
        <v>0</v>
      </c>
      <c r="G24" s="585">
        <v>0</v>
      </c>
      <c r="H24" s="585">
        <v>0</v>
      </c>
      <c r="I24" s="585">
        <v>0</v>
      </c>
      <c r="J24" s="585">
        <v>0</v>
      </c>
      <c r="K24" s="585">
        <v>-0.86806813521364545</v>
      </c>
      <c r="L24" s="586">
        <f>SUM(D24:INDEX(D24:K24,0,MATCH('RFPR cover'!$C$7,$D$6:$K$6,0)))</f>
        <v>-0.86806813521364545</v>
      </c>
      <c r="M24" s="587">
        <f t="shared" si="4"/>
        <v>-0.86806813521364545</v>
      </c>
      <c r="N24" s="572" t="s">
        <v>611</v>
      </c>
      <c r="O24"/>
      <c r="P24"/>
      <c r="Q24"/>
      <c r="R24"/>
      <c r="S24"/>
      <c r="T24"/>
    </row>
    <row r="25" spans="1:29">
      <c r="A25" s="269" t="s">
        <v>168</v>
      </c>
      <c r="B25" s="742" t="s">
        <v>630</v>
      </c>
      <c r="C25" s="155" t="str">
        <f>'RFPR cover'!$C$14</f>
        <v>£m 12/13</v>
      </c>
      <c r="D25" s="584">
        <v>0</v>
      </c>
      <c r="E25" s="585">
        <v>0</v>
      </c>
      <c r="F25" s="585">
        <v>0</v>
      </c>
      <c r="G25" s="585">
        <v>0</v>
      </c>
      <c r="H25" s="585">
        <v>0</v>
      </c>
      <c r="I25" s="585">
        <v>0</v>
      </c>
      <c r="J25" s="585">
        <v>0</v>
      </c>
      <c r="K25" s="585">
        <v>0</v>
      </c>
      <c r="L25" s="586">
        <f>SUM(D25:INDEX(D25:K25,0,MATCH('RFPR cover'!$C$7,$D$6:$K$6,0)))</f>
        <v>0</v>
      </c>
      <c r="M25" s="587">
        <f t="shared" si="4"/>
        <v>0</v>
      </c>
      <c r="N25" s="572"/>
      <c r="O25"/>
      <c r="P25"/>
      <c r="Q25"/>
      <c r="R25"/>
      <c r="S25"/>
      <c r="T25"/>
      <c r="Y25" s="35"/>
      <c r="Z25" s="35"/>
      <c r="AA25" s="35"/>
      <c r="AB25" s="35"/>
      <c r="AC25" s="35"/>
    </row>
    <row r="26" spans="1:29">
      <c r="A26" s="269" t="s">
        <v>169</v>
      </c>
      <c r="B26" s="742" t="s">
        <v>242</v>
      </c>
      <c r="C26" s="155" t="str">
        <f>'RFPR cover'!$C$14</f>
        <v>£m 12/13</v>
      </c>
      <c r="D26" s="584">
        <v>0</v>
      </c>
      <c r="E26" s="585">
        <v>0</v>
      </c>
      <c r="F26" s="585">
        <v>0</v>
      </c>
      <c r="G26" s="585">
        <v>0</v>
      </c>
      <c r="H26" s="585">
        <v>0</v>
      </c>
      <c r="I26" s="585">
        <v>0</v>
      </c>
      <c r="J26" s="585">
        <v>0</v>
      </c>
      <c r="K26" s="585">
        <v>0</v>
      </c>
      <c r="L26" s="586">
        <f>SUM(D26:INDEX(D26:K26,0,MATCH('RFPR cover'!$C$7,$D$6:$K$6,0)))</f>
        <v>0</v>
      </c>
      <c r="M26" s="587">
        <f t="shared" si="4"/>
        <v>0</v>
      </c>
      <c r="N26" s="572"/>
      <c r="O26"/>
      <c r="P26"/>
      <c r="Q26"/>
      <c r="R26"/>
      <c r="S26"/>
      <c r="T26"/>
    </row>
    <row r="27" spans="1:29">
      <c r="A27" s="269" t="s">
        <v>170</v>
      </c>
      <c r="B27" s="742" t="s">
        <v>242</v>
      </c>
      <c r="C27" s="155" t="str">
        <f>'RFPR cover'!$C$14</f>
        <v>£m 12/13</v>
      </c>
      <c r="D27" s="588">
        <v>0</v>
      </c>
      <c r="E27" s="589">
        <v>0</v>
      </c>
      <c r="F27" s="589">
        <v>0</v>
      </c>
      <c r="G27" s="589">
        <v>0</v>
      </c>
      <c r="H27" s="589">
        <v>0</v>
      </c>
      <c r="I27" s="589">
        <v>0</v>
      </c>
      <c r="J27" s="589">
        <v>0</v>
      </c>
      <c r="K27" s="589">
        <v>0</v>
      </c>
      <c r="L27" s="590">
        <f>SUM(D27:INDEX(D27:K27,0,MATCH('RFPR cover'!$C$7,$D$6:$K$6,0)))</f>
        <v>0</v>
      </c>
      <c r="M27" s="591">
        <f t="shared" si="4"/>
        <v>0</v>
      </c>
      <c r="N27" s="573"/>
      <c r="O27"/>
      <c r="P27"/>
      <c r="Q27"/>
      <c r="R27"/>
      <c r="S27"/>
      <c r="T27"/>
      <c r="Y27" s="35"/>
      <c r="Z27" s="35"/>
      <c r="AA27" s="35"/>
      <c r="AB27" s="35"/>
      <c r="AC27" s="35"/>
    </row>
    <row r="28" spans="1:29">
      <c r="A28" s="35"/>
      <c r="B28" s="752" t="s">
        <v>190</v>
      </c>
      <c r="C28" s="155" t="str">
        <f>'RFPR cover'!$C$14</f>
        <v>£m 12/13</v>
      </c>
      <c r="D28" s="102">
        <f>SUM(D22:D27)</f>
        <v>0</v>
      </c>
      <c r="E28" s="103">
        <f t="shared" ref="E28:K28" si="5">SUM(E22:E27)</f>
        <v>9.3380794989831966</v>
      </c>
      <c r="F28" s="103">
        <f t="shared" si="5"/>
        <v>-41.046647135000768</v>
      </c>
      <c r="G28" s="103">
        <f t="shared" si="5"/>
        <v>-6.113012085340503</v>
      </c>
      <c r="H28" s="103">
        <f t="shared" si="5"/>
        <v>0</v>
      </c>
      <c r="I28" s="103">
        <f t="shared" si="5"/>
        <v>12.723999999999998</v>
      </c>
      <c r="J28" s="103">
        <f t="shared" si="5"/>
        <v>12.723999999999998</v>
      </c>
      <c r="K28" s="103">
        <f t="shared" si="5"/>
        <v>11.855597254378864</v>
      </c>
      <c r="L28" s="102">
        <f>SUM(D28:INDEX(D28:K28,0,MATCH('RFPR cover'!$C$7,$D$6:$K$6,0)))</f>
        <v>-0.5179824669792108</v>
      </c>
      <c r="M28" s="104">
        <f>SUM(D28:K28)</f>
        <v>-0.5179824669792108</v>
      </c>
      <c r="N28" s="63"/>
      <c r="P28"/>
      <c r="Q28"/>
      <c r="R28"/>
      <c r="S28"/>
      <c r="T28"/>
    </row>
    <row r="29" spans="1:29">
      <c r="A29" s="35"/>
      <c r="B29" s="744"/>
      <c r="P29"/>
      <c r="Q29"/>
      <c r="R29"/>
      <c r="S29"/>
      <c r="T29"/>
      <c r="Y29" s="35"/>
      <c r="Z29" s="35"/>
      <c r="AA29" s="35"/>
      <c r="AB29" s="35"/>
      <c r="AC29" s="35"/>
    </row>
    <row r="30" spans="1:29">
      <c r="A30" s="35"/>
      <c r="B30" s="751" t="s">
        <v>198</v>
      </c>
      <c r="C30" s="159" t="str">
        <f>'RFPR cover'!$C$14</f>
        <v>£m 12/13</v>
      </c>
      <c r="D30" s="95">
        <f t="shared" ref="D30:K30" si="6">D28*D16</f>
        <v>0</v>
      </c>
      <c r="E30" s="96">
        <f t="shared" si="6"/>
        <v>2.8014238496949595</v>
      </c>
      <c r="F30" s="96">
        <f t="shared" si="6"/>
        <v>-12.313994140500233</v>
      </c>
      <c r="G30" s="96">
        <f t="shared" si="6"/>
        <v>-1.8339036256021513</v>
      </c>
      <c r="H30" s="96">
        <f t="shared" si="6"/>
        <v>0</v>
      </c>
      <c r="I30" s="96">
        <f t="shared" si="6"/>
        <v>3.8172000000000001</v>
      </c>
      <c r="J30" s="96">
        <f t="shared" si="6"/>
        <v>3.8172000000000001</v>
      </c>
      <c r="K30" s="96">
        <f t="shared" si="6"/>
        <v>3.5566791763136596</v>
      </c>
      <c r="L30" s="95">
        <f>SUM(D30:INDEX(D30:K30,0,MATCH('RFPR cover'!$C$7,$D$6:$K$6,0)))</f>
        <v>-0.15539474009376475</v>
      </c>
      <c r="M30" s="97">
        <f>SUM(D30:K30)</f>
        <v>-0.15539474009376475</v>
      </c>
      <c r="P30"/>
      <c r="Q30"/>
      <c r="R30"/>
      <c r="S30"/>
      <c r="T30"/>
    </row>
    <row r="31" spans="1:29">
      <c r="A31" s="35"/>
      <c r="B31" s="751" t="s">
        <v>305</v>
      </c>
      <c r="C31" s="159" t="str">
        <f>'RFPR cover'!$C$14</f>
        <v>£m 12/13</v>
      </c>
      <c r="D31" s="92">
        <f t="shared" ref="D31:K31" si="7">D28*(1-D16)</f>
        <v>0</v>
      </c>
      <c r="E31" s="93">
        <f t="shared" si="7"/>
        <v>6.5366556492882371</v>
      </c>
      <c r="F31" s="93">
        <f t="shared" si="7"/>
        <v>-28.732652994500537</v>
      </c>
      <c r="G31" s="93">
        <f t="shared" si="7"/>
        <v>-4.2791084597383522</v>
      </c>
      <c r="H31" s="93">
        <f t="shared" si="7"/>
        <v>0</v>
      </c>
      <c r="I31" s="93">
        <f t="shared" si="7"/>
        <v>8.9067999999999987</v>
      </c>
      <c r="J31" s="93">
        <f t="shared" si="7"/>
        <v>8.9067999999999987</v>
      </c>
      <c r="K31" s="93">
        <f t="shared" si="7"/>
        <v>8.2989180780652045</v>
      </c>
      <c r="L31" s="92">
        <f>SUM(D31:INDEX(D31:K31,0,MATCH('RFPR cover'!$C$7,$D$6:$K$6,0)))</f>
        <v>-0.36258772688545093</v>
      </c>
      <c r="M31" s="94">
        <f>SUM(D31:K31)</f>
        <v>-0.36258772688545093</v>
      </c>
    </row>
    <row r="32" spans="1:29">
      <c r="A32" s="35"/>
      <c r="B32" s="744"/>
    </row>
    <row r="33" spans="1:20">
      <c r="A33" s="35"/>
      <c r="B33" s="752" t="s">
        <v>181</v>
      </c>
    </row>
    <row r="34" spans="1:20">
      <c r="A34" s="35"/>
      <c r="B34" s="744" t="s">
        <v>180</v>
      </c>
      <c r="C34" s="155" t="str">
        <f>'RFPR cover'!$C$14</f>
        <v>£m 12/13</v>
      </c>
      <c r="D34" s="95">
        <f>D18+D30</f>
        <v>3.9010619174344647</v>
      </c>
      <c r="E34" s="96">
        <f t="shared" ref="E34:K34" si="8">E18+E30</f>
        <v>5.510186423492204</v>
      </c>
      <c r="F34" s="96">
        <f t="shared" si="8"/>
        <v>-6.9337489393093596</v>
      </c>
      <c r="G34" s="96">
        <f t="shared" si="8"/>
        <v>4.6527206191442847</v>
      </c>
      <c r="H34" s="96">
        <f t="shared" si="8"/>
        <v>4.682714044246759</v>
      </c>
      <c r="I34" s="96">
        <f t="shared" si="8"/>
        <v>-0.84391013329040332</v>
      </c>
      <c r="J34" s="96">
        <f t="shared" si="8"/>
        <v>0.66366790062989489</v>
      </c>
      <c r="K34" s="96">
        <f t="shared" si="8"/>
        <v>0.83083943944564709</v>
      </c>
      <c r="L34" s="95">
        <f>SUM(D34:INDEX(D34:K34,0,MATCH('RFPR cover'!$C$7,$D$6:$K$6,0)))</f>
        <v>12.463531271793491</v>
      </c>
      <c r="M34" s="97">
        <f>SUM(D34:K34)</f>
        <v>12.463531271793491</v>
      </c>
    </row>
    <row r="35" spans="1:20">
      <c r="A35" s="35"/>
      <c r="B35" s="744" t="s">
        <v>276</v>
      </c>
      <c r="C35" s="155" t="str">
        <f>'RFPR cover'!$C$14</f>
        <v>£m 12/13</v>
      </c>
      <c r="D35" s="98">
        <f>D19+D31</f>
        <v>9.102477807347082</v>
      </c>
      <c r="E35" s="99">
        <f t="shared" ref="E35:K35" si="9">E19+E31</f>
        <v>12.857101654815141</v>
      </c>
      <c r="F35" s="99">
        <f t="shared" si="9"/>
        <v>-16.178747525055169</v>
      </c>
      <c r="G35" s="99">
        <f t="shared" si="9"/>
        <v>10.856348111336661</v>
      </c>
      <c r="H35" s="99">
        <f t="shared" si="9"/>
        <v>10.926332769909102</v>
      </c>
      <c r="I35" s="99">
        <f t="shared" si="9"/>
        <v>-1.9691236443442737</v>
      </c>
      <c r="J35" s="99">
        <f t="shared" si="9"/>
        <v>1.5485584348030876</v>
      </c>
      <c r="K35" s="99">
        <f t="shared" si="9"/>
        <v>1.9386253587065099</v>
      </c>
      <c r="L35" s="98">
        <f>SUM(D35:INDEX(D35:K35,0,MATCH('RFPR cover'!$C$7,$D$6:$K$6,0)))</f>
        <v>29.081572967518145</v>
      </c>
      <c r="M35" s="100">
        <f>SUM(D35:K35)</f>
        <v>29.081572967518145</v>
      </c>
    </row>
    <row r="36" spans="1:20">
      <c r="A36" s="35"/>
      <c r="B36" s="752" t="s">
        <v>11</v>
      </c>
      <c r="C36" s="156" t="str">
        <f>'RFPR cover'!$C$14</f>
        <v>£m 12/13</v>
      </c>
      <c r="D36" s="139">
        <f>SUM(D34:D35)</f>
        <v>13.003539724781547</v>
      </c>
      <c r="E36" s="140">
        <f t="shared" ref="E36:K36" si="10">SUM(E34:E35)</f>
        <v>18.367288078307347</v>
      </c>
      <c r="F36" s="140">
        <f t="shared" si="10"/>
        <v>-23.112496464364529</v>
      </c>
      <c r="G36" s="140">
        <f t="shared" si="10"/>
        <v>15.509068730480946</v>
      </c>
      <c r="H36" s="140">
        <f t="shared" si="10"/>
        <v>15.60904681415586</v>
      </c>
      <c r="I36" s="140">
        <f t="shared" si="10"/>
        <v>-2.813033777634677</v>
      </c>
      <c r="J36" s="140">
        <f t="shared" si="10"/>
        <v>2.2122263354329825</v>
      </c>
      <c r="K36" s="140">
        <f t="shared" si="10"/>
        <v>2.769464798152157</v>
      </c>
      <c r="L36" s="139">
        <f>SUM(D36:INDEX(D36:K36,0,MATCH('RFPR cover'!$C$7,$D$6:$K$6,0)))</f>
        <v>41.545104239311627</v>
      </c>
      <c r="M36" s="141">
        <f>SUM(D36:K36)</f>
        <v>41.545104239311627</v>
      </c>
    </row>
    <row r="37" spans="1:20">
      <c r="A37" s="35"/>
      <c r="B37" s="744"/>
    </row>
    <row r="38" spans="1:20">
      <c r="A38" s="35"/>
      <c r="B38" s="747" t="str">
        <f>Data!B51</f>
        <v>n/a</v>
      </c>
      <c r="C38" s="150"/>
      <c r="D38" s="82"/>
      <c r="E38" s="82"/>
      <c r="F38" s="82"/>
      <c r="G38" s="82"/>
      <c r="H38" s="82"/>
      <c r="I38" s="82"/>
      <c r="J38" s="82"/>
      <c r="K38" s="82"/>
      <c r="L38" s="82"/>
      <c r="M38" s="82"/>
      <c r="N38" s="82"/>
    </row>
    <row r="39" spans="1:20" s="35" customFormat="1">
      <c r="B39" s="745"/>
      <c r="C39" s="138"/>
      <c r="D39" s="320"/>
      <c r="E39" s="320"/>
      <c r="F39" s="320"/>
      <c r="G39" s="320"/>
      <c r="H39" s="320"/>
      <c r="I39" s="320"/>
      <c r="J39" s="320"/>
      <c r="K39" s="320"/>
      <c r="L39" s="320"/>
      <c r="M39" s="320"/>
      <c r="N39" s="320"/>
    </row>
    <row r="40" spans="1:20">
      <c r="A40" s="35"/>
      <c r="B40" s="305" t="s">
        <v>34</v>
      </c>
      <c r="C40" s="155" t="str">
        <f>'RFPR cover'!$C$14</f>
        <v>£m 12/13</v>
      </c>
      <c r="D40" s="632"/>
      <c r="E40" s="633"/>
      <c r="F40" s="633"/>
      <c r="G40" s="633"/>
      <c r="H40" s="633"/>
      <c r="I40" s="633"/>
      <c r="J40" s="633"/>
      <c r="K40" s="633"/>
      <c r="L40" s="634">
        <f>SUM(D40:INDEX(D40:K40,0,MATCH('RFPR cover'!$C$7,$D$6:$K$6,0)))</f>
        <v>0</v>
      </c>
      <c r="M40" s="635">
        <f>SUM(D40:K40)</f>
        <v>0</v>
      </c>
      <c r="N40" s="352"/>
      <c r="O40" s="63"/>
    </row>
    <row r="41" spans="1:20" ht="25.5">
      <c r="A41" s="35"/>
      <c r="B41" s="749" t="s">
        <v>494</v>
      </c>
      <c r="C41" s="155" t="str">
        <f>'RFPR cover'!$C$14</f>
        <v>£m 12/13</v>
      </c>
      <c r="D41" s="636"/>
      <c r="E41" s="637"/>
      <c r="F41" s="637"/>
      <c r="G41" s="637"/>
      <c r="H41" s="637"/>
      <c r="I41" s="637"/>
      <c r="J41" s="637"/>
      <c r="K41" s="637"/>
      <c r="L41" s="638">
        <f>SUM(D41:INDEX(D41:K41,0,MATCH('RFPR cover'!$C$7,$D$6:$K$6,0)))</f>
        <v>0</v>
      </c>
      <c r="M41" s="639">
        <f>SUM(D41:K41)</f>
        <v>0</v>
      </c>
      <c r="N41" s="352"/>
      <c r="O41" s="63"/>
    </row>
    <row r="42" spans="1:20">
      <c r="A42" s="35"/>
      <c r="B42" s="750" t="s">
        <v>195</v>
      </c>
      <c r="C42" s="155" t="str">
        <f>'RFPR cover'!$C$14</f>
        <v>£m 12/13</v>
      </c>
      <c r="D42" s="102">
        <f>D41-D40</f>
        <v>0</v>
      </c>
      <c r="E42" s="103">
        <f t="shared" ref="E42:M42" si="11">E41-E40</f>
        <v>0</v>
      </c>
      <c r="F42" s="103">
        <f t="shared" si="11"/>
        <v>0</v>
      </c>
      <c r="G42" s="103">
        <f t="shared" si="11"/>
        <v>0</v>
      </c>
      <c r="H42" s="103">
        <f t="shared" si="11"/>
        <v>0</v>
      </c>
      <c r="I42" s="103">
        <f t="shared" si="11"/>
        <v>0</v>
      </c>
      <c r="J42" s="103">
        <f t="shared" si="11"/>
        <v>0</v>
      </c>
      <c r="K42" s="103">
        <f t="shared" si="11"/>
        <v>0</v>
      </c>
      <c r="L42" s="355">
        <f t="shared" si="11"/>
        <v>0</v>
      </c>
      <c r="M42" s="356">
        <f t="shared" si="11"/>
        <v>0</v>
      </c>
      <c r="N42" s="353"/>
      <c r="O42" s="1016"/>
      <c r="P42" s="1016"/>
      <c r="Q42" s="1016"/>
      <c r="R42"/>
      <c r="S42"/>
      <c r="T42"/>
    </row>
    <row r="43" spans="1:20">
      <c r="A43" s="35"/>
      <c r="B43" s="750"/>
      <c r="C43" s="155"/>
      <c r="D43" s="59"/>
      <c r="E43" s="59"/>
      <c r="F43" s="59"/>
      <c r="G43" s="59"/>
      <c r="H43" s="59"/>
      <c r="I43" s="59"/>
      <c r="J43" s="59"/>
      <c r="K43" s="59"/>
      <c r="L43" s="59"/>
      <c r="M43" s="59"/>
      <c r="N43" s="349"/>
      <c r="O43" s="64"/>
      <c r="P43" s="64"/>
      <c r="Q43" s="64"/>
      <c r="R43"/>
      <c r="S43"/>
      <c r="T43"/>
    </row>
    <row r="44" spans="1:20">
      <c r="A44" s="35"/>
      <c r="B44" s="744" t="s">
        <v>178</v>
      </c>
      <c r="C44" s="136" t="s">
        <v>7</v>
      </c>
      <c r="D44" s="109">
        <f>1-INDEX(Data!$D$73:$D$100,MATCH('RFPR cover'!$C$5,Data!$B$73:$B$100,0),0)</f>
        <v>0.30000000000000004</v>
      </c>
      <c r="E44" s="110">
        <f>1-INDEX(Data!$D$73:$D$100,MATCH('RFPR cover'!$C$5,Data!$B$73:$B$100,0),0)</f>
        <v>0.30000000000000004</v>
      </c>
      <c r="F44" s="110">
        <f>1-INDEX(Data!$D$73:$D$100,MATCH('RFPR cover'!$C$5,Data!$B$73:$B$100,0),0)</f>
        <v>0.30000000000000004</v>
      </c>
      <c r="G44" s="110">
        <f>1-INDEX(Data!$D$73:$D$100,MATCH('RFPR cover'!$C$5,Data!$B$73:$B$100,0),0)</f>
        <v>0.30000000000000004</v>
      </c>
      <c r="H44" s="110">
        <f>1-INDEX(Data!$D$73:$D$100,MATCH('RFPR cover'!$C$5,Data!$B$73:$B$100,0),0)</f>
        <v>0.30000000000000004</v>
      </c>
      <c r="I44" s="110">
        <f>1-INDEX(Data!$D$73:$D$100,MATCH('RFPR cover'!$C$5,Data!$B$73:$B$100,0),0)</f>
        <v>0.30000000000000004</v>
      </c>
      <c r="J44" s="110">
        <f>1-INDEX(Data!$D$73:$D$100,MATCH('RFPR cover'!$C$5,Data!$B$73:$B$100,0),0)</f>
        <v>0.30000000000000004</v>
      </c>
      <c r="K44" s="111">
        <f>1-INDEX(Data!$D$73:$D$100,MATCH('RFPR cover'!$C$5,Data!$B$73:$B$100,0),0)</f>
        <v>0.30000000000000004</v>
      </c>
      <c r="L44" s="62"/>
      <c r="M44" s="62"/>
      <c r="N44" s="350"/>
      <c r="O44"/>
      <c r="P44"/>
      <c r="Q44"/>
      <c r="R44"/>
      <c r="S44"/>
      <c r="T44"/>
    </row>
    <row r="45" spans="1:20">
      <c r="A45" s="35"/>
      <c r="B45" s="744"/>
      <c r="N45" s="351"/>
      <c r="O45"/>
      <c r="P45"/>
      <c r="Q45"/>
      <c r="R45"/>
      <c r="S45"/>
      <c r="T45"/>
    </row>
    <row r="46" spans="1:20">
      <c r="A46" s="35"/>
      <c r="B46" s="751" t="s">
        <v>183</v>
      </c>
      <c r="C46" s="159" t="str">
        <f>'RFPR cover'!$C$14</f>
        <v>£m 12/13</v>
      </c>
      <c r="D46" s="95">
        <f>D42*D44</f>
        <v>0</v>
      </c>
      <c r="E46" s="96">
        <f t="shared" ref="E46:K46" si="12">E42*E44</f>
        <v>0</v>
      </c>
      <c r="F46" s="96">
        <f t="shared" si="12"/>
        <v>0</v>
      </c>
      <c r="G46" s="96">
        <f t="shared" si="12"/>
        <v>0</v>
      </c>
      <c r="H46" s="96">
        <f t="shared" si="12"/>
        <v>0</v>
      </c>
      <c r="I46" s="96">
        <f t="shared" si="12"/>
        <v>0</v>
      </c>
      <c r="J46" s="96">
        <f t="shared" si="12"/>
        <v>0</v>
      </c>
      <c r="K46" s="96">
        <f t="shared" si="12"/>
        <v>0</v>
      </c>
      <c r="L46" s="357">
        <f>SUM(D46:INDEX(D46:K46,0,MATCH('RFPR cover'!$C$7,$D$6:$K$6,0)))</f>
        <v>0</v>
      </c>
      <c r="M46" s="574">
        <f>SUM(D46:K46)</f>
        <v>0</v>
      </c>
      <c r="N46" s="353"/>
      <c r="O46"/>
      <c r="P46"/>
      <c r="Q46"/>
      <c r="R46"/>
      <c r="S46"/>
      <c r="T46"/>
    </row>
    <row r="47" spans="1:20">
      <c r="A47" s="35"/>
      <c r="B47" s="751" t="s">
        <v>276</v>
      </c>
      <c r="C47" s="159" t="str">
        <f>'RFPR cover'!$C$14</f>
        <v>£m 12/13</v>
      </c>
      <c r="D47" s="576">
        <f>D42*(1-D44)</f>
        <v>0</v>
      </c>
      <c r="E47" s="577">
        <f t="shared" ref="E47:K47" si="13">E42*(1-E44)</f>
        <v>0</v>
      </c>
      <c r="F47" s="577">
        <f t="shared" si="13"/>
        <v>0</v>
      </c>
      <c r="G47" s="577">
        <f t="shared" si="13"/>
        <v>0</v>
      </c>
      <c r="H47" s="577">
        <f t="shared" si="13"/>
        <v>0</v>
      </c>
      <c r="I47" s="577">
        <f t="shared" si="13"/>
        <v>0</v>
      </c>
      <c r="J47" s="577">
        <f t="shared" si="13"/>
        <v>0</v>
      </c>
      <c r="K47" s="577">
        <f t="shared" si="13"/>
        <v>0</v>
      </c>
      <c r="L47" s="578">
        <f>SUM(D47:INDEX(D47:K47,0,MATCH('RFPR cover'!$C$7,$D$6:$K$6,0)))</f>
        <v>0</v>
      </c>
      <c r="M47" s="579">
        <f>SUM(D47:K47)</f>
        <v>0</v>
      </c>
      <c r="N47" s="353"/>
      <c r="O47"/>
      <c r="P47"/>
      <c r="Q47"/>
      <c r="R47"/>
      <c r="S47"/>
      <c r="T47"/>
    </row>
    <row r="48" spans="1:20">
      <c r="A48" s="35"/>
      <c r="B48" s="744"/>
      <c r="N48" s="351"/>
      <c r="O48"/>
      <c r="P48"/>
      <c r="Q48"/>
      <c r="R48"/>
      <c r="S48"/>
      <c r="T48"/>
    </row>
    <row r="49" spans="1:20">
      <c r="A49" s="35"/>
      <c r="B49" s="752" t="s">
        <v>182</v>
      </c>
      <c r="N49" s="351"/>
      <c r="O49"/>
      <c r="P49"/>
      <c r="Q49"/>
      <c r="R49"/>
      <c r="S49"/>
      <c r="T49"/>
    </row>
    <row r="50" spans="1:20">
      <c r="A50" s="269" t="s">
        <v>151</v>
      </c>
      <c r="B50" s="742" t="s">
        <v>242</v>
      </c>
      <c r="C50" s="155" t="str">
        <f>'RFPR cover'!$C$14</f>
        <v>£m 12/13</v>
      </c>
      <c r="D50" s="580"/>
      <c r="E50" s="581"/>
      <c r="F50" s="581"/>
      <c r="G50" s="581"/>
      <c r="H50" s="581"/>
      <c r="I50" s="581"/>
      <c r="J50" s="581"/>
      <c r="K50" s="581"/>
      <c r="L50" s="640">
        <f>SUM(D50:INDEX(D50:K50,0,MATCH('RFPR cover'!$C$7,$D$6:$K$6,0)))</f>
        <v>0</v>
      </c>
      <c r="M50" s="641">
        <f t="shared" ref="M50:M56" si="14">SUM(D50:K50)</f>
        <v>0</v>
      </c>
      <c r="N50" s="571"/>
      <c r="O50"/>
      <c r="P50"/>
      <c r="Q50"/>
      <c r="R50"/>
      <c r="S50"/>
      <c r="T50"/>
    </row>
    <row r="51" spans="1:20">
      <c r="A51" s="269" t="s">
        <v>152</v>
      </c>
      <c r="B51" s="742" t="s">
        <v>242</v>
      </c>
      <c r="C51" s="155" t="str">
        <f>'RFPR cover'!$C$14</f>
        <v>£m 12/13</v>
      </c>
      <c r="D51" s="584"/>
      <c r="E51" s="585"/>
      <c r="F51" s="585"/>
      <c r="G51" s="585"/>
      <c r="H51" s="585"/>
      <c r="I51" s="585"/>
      <c r="J51" s="585"/>
      <c r="K51" s="585"/>
      <c r="L51" s="642">
        <f>SUM(D51:INDEX(D51:K51,0,MATCH('RFPR cover'!$C$7,$D$6:$K$6,0)))</f>
        <v>0</v>
      </c>
      <c r="M51" s="643">
        <f t="shared" si="14"/>
        <v>0</v>
      </c>
      <c r="N51" s="572"/>
      <c r="O51"/>
      <c r="P51"/>
      <c r="Q51"/>
      <c r="R51"/>
      <c r="S51"/>
      <c r="T51"/>
    </row>
    <row r="52" spans="1:20">
      <c r="A52" s="269" t="s">
        <v>153</v>
      </c>
      <c r="B52" s="742" t="s">
        <v>242</v>
      </c>
      <c r="C52" s="155" t="str">
        <f>'RFPR cover'!$C$14</f>
        <v>£m 12/13</v>
      </c>
      <c r="D52" s="584"/>
      <c r="E52" s="585"/>
      <c r="F52" s="585"/>
      <c r="G52" s="585"/>
      <c r="H52" s="585"/>
      <c r="I52" s="585"/>
      <c r="J52" s="585"/>
      <c r="K52" s="585"/>
      <c r="L52" s="642">
        <f>SUM(D52:INDEX(D52:K52,0,MATCH('RFPR cover'!$C$7,$D$6:$K$6,0)))</f>
        <v>0</v>
      </c>
      <c r="M52" s="643">
        <f t="shared" si="14"/>
        <v>0</v>
      </c>
      <c r="N52" s="572"/>
      <c r="O52"/>
      <c r="P52"/>
      <c r="Q52"/>
      <c r="R52"/>
      <c r="S52" s="65"/>
      <c r="T52"/>
    </row>
    <row r="53" spans="1:20">
      <c r="A53" s="269" t="s">
        <v>168</v>
      </c>
      <c r="B53" s="742" t="s">
        <v>242</v>
      </c>
      <c r="C53" s="155" t="str">
        <f>'RFPR cover'!$C$14</f>
        <v>£m 12/13</v>
      </c>
      <c r="D53" s="584"/>
      <c r="E53" s="585"/>
      <c r="F53" s="585"/>
      <c r="G53" s="585"/>
      <c r="H53" s="585"/>
      <c r="I53" s="585"/>
      <c r="J53" s="585"/>
      <c r="K53" s="585"/>
      <c r="L53" s="642">
        <f>SUM(D53:INDEX(D53:K53,0,MATCH('RFPR cover'!$C$7,$D$6:$K$6,0)))</f>
        <v>0</v>
      </c>
      <c r="M53" s="643">
        <f t="shared" si="14"/>
        <v>0</v>
      </c>
      <c r="N53" s="572"/>
      <c r="O53"/>
      <c r="P53"/>
      <c r="Q53"/>
      <c r="R53"/>
      <c r="S53"/>
      <c r="T53"/>
    </row>
    <row r="54" spans="1:20">
      <c r="A54" s="269" t="s">
        <v>169</v>
      </c>
      <c r="B54" s="742" t="s">
        <v>242</v>
      </c>
      <c r="C54" s="155" t="str">
        <f>'RFPR cover'!$C$14</f>
        <v>£m 12/13</v>
      </c>
      <c r="D54" s="584"/>
      <c r="E54" s="585"/>
      <c r="F54" s="585"/>
      <c r="G54" s="585"/>
      <c r="H54" s="585"/>
      <c r="I54" s="585"/>
      <c r="J54" s="585"/>
      <c r="K54" s="585"/>
      <c r="L54" s="642">
        <f>SUM(D54:INDEX(D54:K54,0,MATCH('RFPR cover'!$C$7,$D$6:$K$6,0)))</f>
        <v>0</v>
      </c>
      <c r="M54" s="643">
        <f t="shared" si="14"/>
        <v>0</v>
      </c>
      <c r="N54" s="572"/>
      <c r="O54"/>
      <c r="P54"/>
      <c r="Q54"/>
      <c r="R54"/>
      <c r="S54"/>
      <c r="T54"/>
    </row>
    <row r="55" spans="1:20">
      <c r="A55" s="269" t="s">
        <v>170</v>
      </c>
      <c r="B55" s="742" t="s">
        <v>242</v>
      </c>
      <c r="C55" s="155" t="str">
        <f>'RFPR cover'!$C$14</f>
        <v>£m 12/13</v>
      </c>
      <c r="D55" s="588"/>
      <c r="E55" s="589"/>
      <c r="F55" s="589"/>
      <c r="G55" s="589"/>
      <c r="H55" s="589"/>
      <c r="I55" s="589"/>
      <c r="J55" s="589"/>
      <c r="K55" s="589"/>
      <c r="L55" s="644">
        <f>SUM(D55:INDEX(D55:K55,0,MATCH('RFPR cover'!$C$7,$D$6:$K$6,0)))</f>
        <v>0</v>
      </c>
      <c r="M55" s="645">
        <f t="shared" si="14"/>
        <v>0</v>
      </c>
      <c r="N55" s="573"/>
      <c r="O55"/>
      <c r="P55"/>
      <c r="Q55"/>
      <c r="R55"/>
      <c r="S55"/>
      <c r="T55"/>
    </row>
    <row r="56" spans="1:20">
      <c r="A56" s="35"/>
      <c r="B56" s="752" t="s">
        <v>190</v>
      </c>
      <c r="C56" s="155" t="str">
        <f>'RFPR cover'!$C$14</f>
        <v>£m 12/13</v>
      </c>
      <c r="D56" s="102">
        <f>SUM(D50:D55)</f>
        <v>0</v>
      </c>
      <c r="E56" s="103">
        <f t="shared" ref="E56:K56" si="15">SUM(E50:E55)</f>
        <v>0</v>
      </c>
      <c r="F56" s="103">
        <f t="shared" si="15"/>
        <v>0</v>
      </c>
      <c r="G56" s="103">
        <f t="shared" si="15"/>
        <v>0</v>
      </c>
      <c r="H56" s="103">
        <f t="shared" si="15"/>
        <v>0</v>
      </c>
      <c r="I56" s="103">
        <f t="shared" si="15"/>
        <v>0</v>
      </c>
      <c r="J56" s="103">
        <f t="shared" si="15"/>
        <v>0</v>
      </c>
      <c r="K56" s="103">
        <f t="shared" si="15"/>
        <v>0</v>
      </c>
      <c r="L56" s="355">
        <f>SUM(D56:INDEX(D56:K56,0,MATCH('RFPR cover'!$C$7,$D$6:$K$6,0)))</f>
        <v>0</v>
      </c>
      <c r="M56" s="356">
        <f t="shared" si="14"/>
        <v>0</v>
      </c>
      <c r="N56" s="353"/>
    </row>
    <row r="57" spans="1:20">
      <c r="A57" s="35"/>
      <c r="B57" s="744"/>
      <c r="N57" s="351"/>
    </row>
    <row r="58" spans="1:20">
      <c r="A58" s="35"/>
      <c r="B58" s="751" t="s">
        <v>198</v>
      </c>
      <c r="C58" s="159" t="str">
        <f>'RFPR cover'!$C$14</f>
        <v>£m 12/13</v>
      </c>
      <c r="D58" s="95">
        <f t="shared" ref="D58:K58" si="16">D56*D44</f>
        <v>0</v>
      </c>
      <c r="E58" s="96">
        <f t="shared" si="16"/>
        <v>0</v>
      </c>
      <c r="F58" s="96">
        <f t="shared" si="16"/>
        <v>0</v>
      </c>
      <c r="G58" s="96">
        <f t="shared" si="16"/>
        <v>0</v>
      </c>
      <c r="H58" s="96">
        <f t="shared" si="16"/>
        <v>0</v>
      </c>
      <c r="I58" s="96">
        <f t="shared" si="16"/>
        <v>0</v>
      </c>
      <c r="J58" s="96">
        <f t="shared" si="16"/>
        <v>0</v>
      </c>
      <c r="K58" s="96">
        <f t="shared" si="16"/>
        <v>0</v>
      </c>
      <c r="L58" s="357">
        <f>SUM(D58:INDEX(D58:K58,0,MATCH('RFPR cover'!$C$7,$D$6:$K$6,0)))</f>
        <v>0</v>
      </c>
      <c r="M58" s="574">
        <f>SUM(D58:K58)</f>
        <v>0</v>
      </c>
      <c r="N58" s="353"/>
    </row>
    <row r="59" spans="1:20">
      <c r="A59" s="35"/>
      <c r="B59" s="751" t="s">
        <v>305</v>
      </c>
      <c r="C59" s="159" t="str">
        <f>'RFPR cover'!$C$14</f>
        <v>£m 12/13</v>
      </c>
      <c r="D59" s="92">
        <f t="shared" ref="D59:K59" si="17">D56*(1-D44)</f>
        <v>0</v>
      </c>
      <c r="E59" s="93">
        <f t="shared" si="17"/>
        <v>0</v>
      </c>
      <c r="F59" s="93">
        <f t="shared" si="17"/>
        <v>0</v>
      </c>
      <c r="G59" s="93">
        <f t="shared" si="17"/>
        <v>0</v>
      </c>
      <c r="H59" s="93">
        <f t="shared" si="17"/>
        <v>0</v>
      </c>
      <c r="I59" s="93">
        <f t="shared" si="17"/>
        <v>0</v>
      </c>
      <c r="J59" s="93">
        <f t="shared" si="17"/>
        <v>0</v>
      </c>
      <c r="K59" s="93">
        <f t="shared" si="17"/>
        <v>0</v>
      </c>
      <c r="L59" s="358">
        <f>SUM(D59:INDEX(D59:K59,0,MATCH('RFPR cover'!$C$7,$D$6:$K$6,0)))</f>
        <v>0</v>
      </c>
      <c r="M59" s="575">
        <f>SUM(D59:K59)</f>
        <v>0</v>
      </c>
      <c r="N59" s="353"/>
    </row>
    <row r="60" spans="1:20">
      <c r="A60" s="35"/>
      <c r="B60" s="744"/>
      <c r="N60" s="351"/>
    </row>
    <row r="61" spans="1:20">
      <c r="A61" s="35"/>
      <c r="B61" s="752" t="s">
        <v>181</v>
      </c>
      <c r="N61" s="351"/>
    </row>
    <row r="62" spans="1:20">
      <c r="A62" s="35"/>
      <c r="B62" s="744" t="s">
        <v>180</v>
      </c>
      <c r="C62" s="155" t="str">
        <f>'RFPR cover'!$C$14</f>
        <v>£m 12/13</v>
      </c>
      <c r="D62" s="95">
        <f>D46+D58</f>
        <v>0</v>
      </c>
      <c r="E62" s="96">
        <f t="shared" ref="E62:K62" si="18">E46+E58</f>
        <v>0</v>
      </c>
      <c r="F62" s="96">
        <f t="shared" si="18"/>
        <v>0</v>
      </c>
      <c r="G62" s="96">
        <f t="shared" si="18"/>
        <v>0</v>
      </c>
      <c r="H62" s="96">
        <f t="shared" si="18"/>
        <v>0</v>
      </c>
      <c r="I62" s="96">
        <f t="shared" si="18"/>
        <v>0</v>
      </c>
      <c r="J62" s="96">
        <f t="shared" si="18"/>
        <v>0</v>
      </c>
      <c r="K62" s="96">
        <f t="shared" si="18"/>
        <v>0</v>
      </c>
      <c r="L62" s="357">
        <f>SUM(D62:INDEX(D62:K62,0,MATCH('RFPR cover'!$C$7,$D$6:$K$6,0)))</f>
        <v>0</v>
      </c>
      <c r="M62" s="574">
        <f>SUM(D62:K62)</f>
        <v>0</v>
      </c>
      <c r="N62" s="353"/>
    </row>
    <row r="63" spans="1:20">
      <c r="A63" s="35"/>
      <c r="B63" s="744" t="s">
        <v>276</v>
      </c>
      <c r="C63" s="155" t="str">
        <f>'RFPR cover'!$C$14</f>
        <v>£m 12/13</v>
      </c>
      <c r="D63" s="98">
        <f>D47+D59</f>
        <v>0</v>
      </c>
      <c r="E63" s="99">
        <f t="shared" ref="E63:K63" si="19">E47+E59</f>
        <v>0</v>
      </c>
      <c r="F63" s="99">
        <f t="shared" si="19"/>
        <v>0</v>
      </c>
      <c r="G63" s="99">
        <f t="shared" si="19"/>
        <v>0</v>
      </c>
      <c r="H63" s="99">
        <f t="shared" si="19"/>
        <v>0</v>
      </c>
      <c r="I63" s="99">
        <f t="shared" si="19"/>
        <v>0</v>
      </c>
      <c r="J63" s="99">
        <f t="shared" si="19"/>
        <v>0</v>
      </c>
      <c r="K63" s="99">
        <f t="shared" si="19"/>
        <v>0</v>
      </c>
      <c r="L63" s="359">
        <f>SUM(D63:INDEX(D63:K63,0,MATCH('RFPR cover'!$C$7,$D$6:$K$6,0)))</f>
        <v>0</v>
      </c>
      <c r="M63" s="575">
        <f>SUM(D63:K63)</f>
        <v>0</v>
      </c>
      <c r="N63" s="353"/>
    </row>
    <row r="64" spans="1:20">
      <c r="A64" s="35"/>
      <c r="B64" s="752" t="s">
        <v>11</v>
      </c>
      <c r="C64" s="156" t="str">
        <f>'RFPR cover'!$C$14</f>
        <v>£m 12/13</v>
      </c>
      <c r="D64" s="139">
        <f>SUM(D62:D63)</f>
        <v>0</v>
      </c>
      <c r="E64" s="140">
        <f t="shared" ref="E64:K64" si="20">SUM(E62:E63)</f>
        <v>0</v>
      </c>
      <c r="F64" s="140">
        <f t="shared" si="20"/>
        <v>0</v>
      </c>
      <c r="G64" s="140">
        <f t="shared" si="20"/>
        <v>0</v>
      </c>
      <c r="H64" s="140">
        <f t="shared" si="20"/>
        <v>0</v>
      </c>
      <c r="I64" s="140">
        <f t="shared" si="20"/>
        <v>0</v>
      </c>
      <c r="J64" s="140">
        <f t="shared" si="20"/>
        <v>0</v>
      </c>
      <c r="K64" s="140">
        <f t="shared" si="20"/>
        <v>0</v>
      </c>
      <c r="L64" s="360">
        <f>SUM(D64:INDEX(D64:K64,0,MATCH('RFPR cover'!$C$7,$D$6:$K$6,0)))</f>
        <v>0</v>
      </c>
      <c r="M64" s="361">
        <f>SUM(D64:K64)</f>
        <v>0</v>
      </c>
      <c r="N64" s="354"/>
    </row>
    <row r="65" spans="1:20">
      <c r="A65" s="35"/>
      <c r="B65" s="752"/>
      <c r="C65" s="156"/>
      <c r="D65" s="156"/>
      <c r="E65" s="156"/>
      <c r="F65" s="156"/>
      <c r="G65" s="156"/>
      <c r="H65" s="156"/>
      <c r="I65" s="156"/>
      <c r="J65" s="156"/>
      <c r="K65" s="156"/>
      <c r="L65" s="156"/>
      <c r="M65" s="156"/>
    </row>
    <row r="66" spans="1:20">
      <c r="A66" s="35"/>
      <c r="B66" s="747" t="s">
        <v>253</v>
      </c>
      <c r="C66" s="150"/>
      <c r="D66" s="82"/>
      <c r="E66" s="82"/>
      <c r="F66" s="82"/>
      <c r="G66" s="82"/>
      <c r="H66" s="82"/>
      <c r="I66" s="82"/>
      <c r="J66" s="82"/>
      <c r="K66" s="82"/>
      <c r="L66" s="82"/>
      <c r="M66" s="82"/>
      <c r="N66" s="82"/>
    </row>
    <row r="67" spans="1:20">
      <c r="A67" s="35"/>
      <c r="B67" s="744"/>
      <c r="O67"/>
      <c r="P67"/>
      <c r="Q67"/>
      <c r="R67"/>
      <c r="S67"/>
      <c r="T67"/>
    </row>
    <row r="68" spans="1:20">
      <c r="A68" s="35"/>
      <c r="B68" s="752" t="s">
        <v>181</v>
      </c>
    </row>
    <row r="69" spans="1:20">
      <c r="A69" s="35"/>
      <c r="B69" s="744" t="s">
        <v>180</v>
      </c>
      <c r="C69" s="155" t="str">
        <f>'RFPR cover'!$C$14</f>
        <v>£m 12/13</v>
      </c>
      <c r="D69" s="95">
        <f>D34+D62</f>
        <v>3.9010619174344647</v>
      </c>
      <c r="E69" s="96">
        <f t="shared" ref="E69:K69" si="21">E34+E62</f>
        <v>5.510186423492204</v>
      </c>
      <c r="F69" s="96">
        <f t="shared" si="21"/>
        <v>-6.9337489393093596</v>
      </c>
      <c r="G69" s="96">
        <f t="shared" si="21"/>
        <v>4.6527206191442847</v>
      </c>
      <c r="H69" s="96">
        <f t="shared" si="21"/>
        <v>4.682714044246759</v>
      </c>
      <c r="I69" s="96">
        <f t="shared" si="21"/>
        <v>-0.84391013329040332</v>
      </c>
      <c r="J69" s="96">
        <f t="shared" si="21"/>
        <v>0.66366790062989489</v>
      </c>
      <c r="K69" s="96">
        <f t="shared" si="21"/>
        <v>0.83083943944564709</v>
      </c>
      <c r="L69" s="95">
        <f>SUM(D69:INDEX(D69:K69,0,MATCH('RFPR cover'!$C$7,$D$6:$K$6,0)))</f>
        <v>12.463531271793491</v>
      </c>
      <c r="M69" s="97">
        <f>SUM(D69:K69)</f>
        <v>12.463531271793491</v>
      </c>
    </row>
    <row r="70" spans="1:20">
      <c r="A70" s="35"/>
      <c r="B70" s="744" t="s">
        <v>276</v>
      </c>
      <c r="C70" s="155" t="str">
        <f>'RFPR cover'!$C$14</f>
        <v>£m 12/13</v>
      </c>
      <c r="D70" s="519">
        <f t="shared" ref="D70:K70" si="22">D35+D63</f>
        <v>9.102477807347082</v>
      </c>
      <c r="E70" s="520">
        <f t="shared" si="22"/>
        <v>12.857101654815141</v>
      </c>
      <c r="F70" s="520">
        <f t="shared" si="22"/>
        <v>-16.178747525055169</v>
      </c>
      <c r="G70" s="520">
        <f t="shared" si="22"/>
        <v>10.856348111336661</v>
      </c>
      <c r="H70" s="520">
        <f t="shared" si="22"/>
        <v>10.926332769909102</v>
      </c>
      <c r="I70" s="520">
        <f t="shared" si="22"/>
        <v>-1.9691236443442737</v>
      </c>
      <c r="J70" s="520">
        <f t="shared" si="22"/>
        <v>1.5485584348030876</v>
      </c>
      <c r="K70" s="520">
        <f t="shared" si="22"/>
        <v>1.9386253587065099</v>
      </c>
      <c r="L70" s="519">
        <f>SUM(D70:INDEX(D70:K70,0,MATCH('RFPR cover'!$C$7,$D$6:$K$6,0)))</f>
        <v>29.081572967518145</v>
      </c>
      <c r="M70" s="521">
        <f>SUM(D70:K70)</f>
        <v>29.081572967518145</v>
      </c>
    </row>
    <row r="71" spans="1:20">
      <c r="A71" s="35"/>
      <c r="B71" s="752" t="s">
        <v>11</v>
      </c>
      <c r="C71" s="156" t="str">
        <f>'RFPR cover'!$C$14</f>
        <v>£m 12/13</v>
      </c>
      <c r="D71" s="145">
        <f>SUM(D69:D70)</f>
        <v>13.003539724781547</v>
      </c>
      <c r="E71" s="146">
        <f t="shared" ref="E71:K71" si="23">SUM(E69:E70)</f>
        <v>18.367288078307347</v>
      </c>
      <c r="F71" s="146">
        <f t="shared" si="23"/>
        <v>-23.112496464364529</v>
      </c>
      <c r="G71" s="146">
        <f t="shared" si="23"/>
        <v>15.509068730480946</v>
      </c>
      <c r="H71" s="146">
        <f t="shared" si="23"/>
        <v>15.60904681415586</v>
      </c>
      <c r="I71" s="146">
        <f t="shared" si="23"/>
        <v>-2.813033777634677</v>
      </c>
      <c r="J71" s="146">
        <f t="shared" si="23"/>
        <v>2.2122263354329825</v>
      </c>
      <c r="K71" s="146">
        <f t="shared" si="23"/>
        <v>2.769464798152157</v>
      </c>
      <c r="L71" s="145">
        <f>SUM(D71:INDEX(D71:K71,0,MATCH('RFPR cover'!$C$7,$D$6:$K$6,0)))</f>
        <v>41.545104239311627</v>
      </c>
      <c r="M71" s="147">
        <f>SUM(D71:K71)</f>
        <v>41.545104239311627</v>
      </c>
    </row>
    <row r="72" spans="1:20">
      <c r="A72" s="35"/>
      <c r="B72" s="752"/>
      <c r="C72" s="156"/>
      <c r="D72" s="156"/>
      <c r="E72" s="156"/>
      <c r="F72" s="156"/>
      <c r="G72" s="156"/>
      <c r="H72" s="156"/>
      <c r="I72" s="156"/>
      <c r="J72" s="156"/>
      <c r="K72" s="156"/>
      <c r="L72" s="156"/>
      <c r="M72" s="156"/>
    </row>
    <row r="73" spans="1:20">
      <c r="A73" s="35"/>
      <c r="B73" s="744"/>
    </row>
    <row r="74" spans="1:20">
      <c r="A74" s="35"/>
      <c r="B74" s="747" t="s">
        <v>214</v>
      </c>
      <c r="C74" s="150"/>
      <c r="D74" s="81"/>
      <c r="E74" s="81"/>
      <c r="F74" s="81"/>
      <c r="G74" s="81"/>
      <c r="H74" s="81"/>
      <c r="I74" s="81"/>
      <c r="J74" s="81"/>
      <c r="K74" s="81"/>
      <c r="L74" s="81"/>
      <c r="M74" s="81"/>
      <c r="N74" s="81"/>
    </row>
    <row r="75" spans="1:20">
      <c r="A75" s="35"/>
      <c r="B75" s="368" t="s">
        <v>213</v>
      </c>
      <c r="C75" s="367"/>
      <c r="D75" s="367"/>
      <c r="E75" s="367"/>
      <c r="F75" s="367"/>
      <c r="G75" s="367"/>
      <c r="H75" s="367"/>
      <c r="I75" s="367"/>
      <c r="J75" s="367"/>
      <c r="K75" s="367"/>
      <c r="L75" s="367"/>
      <c r="M75" s="367"/>
      <c r="N75" s="367"/>
    </row>
    <row r="76" spans="1:20" s="35" customFormat="1">
      <c r="B76" s="428"/>
      <c r="C76" s="372"/>
      <c r="D76" s="372"/>
      <c r="E76" s="372"/>
      <c r="F76" s="372"/>
      <c r="G76" s="372"/>
      <c r="H76" s="372"/>
      <c r="I76" s="372"/>
      <c r="J76" s="372"/>
      <c r="K76" s="372"/>
      <c r="L76" s="372"/>
      <c r="M76" s="372"/>
      <c r="N76" s="372"/>
    </row>
    <row r="77" spans="1:20">
      <c r="A77" s="35"/>
      <c r="B77" s="751" t="s">
        <v>217</v>
      </c>
      <c r="C77" s="155" t="str">
        <f>'RFPR cover'!$C$14</f>
        <v>£m 12/13</v>
      </c>
      <c r="D77" s="646">
        <f>INDEX(Data!$C$119:$L$146,MATCH('RFPR cover'!$C$5,Data!$B$119:$B$146,0),MATCH('R4 - Totex'!D$6,Data!$C$118:$L$118,0))</f>
        <v>3.6763138465229663</v>
      </c>
      <c r="E77" s="647">
        <f>INDEX(Data!$C$119:$L$146,MATCH('RFPR cover'!$C$5,Data!$B$119:$B$146,0),MATCH('R4 - Totex'!E$6,Data!$C$118:$L$118,0))</f>
        <v>3.6748350873956013</v>
      </c>
      <c r="F77" s="647">
        <f>INDEX(Data!$C$119:$L$146,MATCH('RFPR cover'!$C$5,Data!$B$119:$B$146,0),MATCH('R4 - Totex'!F$6,Data!$C$118:$L$118,0))</f>
        <v>3.4998529635433906</v>
      </c>
      <c r="G77" s="647">
        <f>INDEX(Data!$C$119:$L$146,MATCH('RFPR cover'!$C$5,Data!$B$119:$B$146,0),MATCH('R4 - Totex'!G$6,Data!$C$118:$L$118,0))</f>
        <v>3.724685546648324</v>
      </c>
      <c r="H77" s="647">
        <f>INDEX(Data!$C$119:$L$146,MATCH('RFPR cover'!$C$5,Data!$B$119:$B$146,0),MATCH('R4 - Totex'!H$6,Data!$C$118:$L$118,0))</f>
        <v>3.4121739487309477</v>
      </c>
      <c r="I77" s="647">
        <f>INDEX(Data!$C$119:$L$146,MATCH('RFPR cover'!$C$5,Data!$B$119:$B$146,0),MATCH('R4 - Totex'!I$6,Data!$C$118:$L$118,0))</f>
        <v>3.4202241027689042</v>
      </c>
      <c r="J77" s="647">
        <f>INDEX(Data!$C$119:$L$146,MATCH('RFPR cover'!$C$5,Data!$B$119:$B$146,0),MATCH('R4 - Totex'!J$6,Data!$C$118:$L$118,0))</f>
        <v>3.3053549439575329</v>
      </c>
      <c r="K77" s="648">
        <f>INDEX(Data!$C$119:$L$146,MATCH('RFPR cover'!$C$5,Data!$B$119:$B$146,0),MATCH('R4 - Totex'!K$6,Data!$C$118:$L$118,0))</f>
        <v>3.3633285641010966</v>
      </c>
      <c r="L77" s="98">
        <f>SUM(D77:INDEX(D77:K77,0,MATCH('RFPR cover'!$C$7,$D$6:$K$6,0)))</f>
        <v>28.076769003668765</v>
      </c>
      <c r="M77" s="100">
        <f>SUM(D77:K77)</f>
        <v>28.076769003668765</v>
      </c>
    </row>
    <row r="78" spans="1:20">
      <c r="A78" s="35"/>
      <c r="B78" s="225" t="s">
        <v>201</v>
      </c>
      <c r="C78" s="155" t="s">
        <v>7</v>
      </c>
      <c r="D78" s="854">
        <f>IF(INDEX(Data!$J$73:$J$100,MATCH('RFPR cover'!$C$5,Data!$B$73:$B$100,0),0)="Pre",INDEX(Data!$G$18:$G$27,MATCH('R4 - Totex'!D$6,Data!$C$18:$C$27,0),0),"n/a")</f>
        <v>0.2</v>
      </c>
      <c r="E78" s="854">
        <f>IF(INDEX(Data!$J$73:$J$100,MATCH('RFPR cover'!$C$5,Data!$B$73:$B$100,0),0)="Pre",INDEX(Data!$G$18:$G$27,MATCH('R4 - Totex'!E$6,Data!$C$18:$C$27,0),0),"n/a")</f>
        <v>0.2</v>
      </c>
      <c r="F78" s="854">
        <f>IF(INDEX(Data!$J$73:$J$100,MATCH('RFPR cover'!$C$5,Data!$B$73:$B$100,0),0)="Pre",INDEX(Data!$G$18:$G$27,MATCH('R4 - Totex'!F$6,Data!$C$18:$C$27,0),0),"n/a")</f>
        <v>0.19</v>
      </c>
      <c r="G78" s="854">
        <f>IF(INDEX(Data!$J$73:$J$100,MATCH('RFPR cover'!$C$5,Data!$B$73:$B$100,0),0)="Pre",INDEX(Data!$G$18:$G$27,MATCH('R4 - Totex'!G$6,Data!$C$18:$C$27,0),0),"n/a")</f>
        <v>0.19</v>
      </c>
      <c r="H78" s="854">
        <f>IF(INDEX(Data!$J$73:$J$100,MATCH('RFPR cover'!$C$5,Data!$B$73:$B$100,0),0)="Pre",INDEX(Data!$G$18:$G$27,MATCH('R4 - Totex'!H$6,Data!$C$18:$C$27,0),0),"n/a")</f>
        <v>0.19</v>
      </c>
      <c r="I78" s="854">
        <f>IF(INDEX(Data!$J$73:$J$100,MATCH('RFPR cover'!$C$5,Data!$B$73:$B$100,0),0)="Pre",INDEX(Data!$G$18:$G$27,MATCH('R4 - Totex'!I$6,Data!$C$18:$C$27,0),0),"n/a")</f>
        <v>0.19</v>
      </c>
      <c r="J78" s="854">
        <f>IF(INDEX(Data!$J$73:$J$100,MATCH('RFPR cover'!$C$5,Data!$B$73:$B$100,0),0)="Pre",INDEX(Data!$G$18:$G$27,MATCH('R4 - Totex'!J$6,Data!$C$18:$C$27,0),0),"n/a")</f>
        <v>0.19</v>
      </c>
      <c r="K78" s="854">
        <f>IF(INDEX(Data!$J$73:$J$100,MATCH('RFPR cover'!$C$5,Data!$B$73:$B$100,0),0)="Pre",INDEX(Data!$G$18:$G$27,MATCH('R4 - Totex'!K$6,Data!$C$18:$C$27,0),0),"n/a")</f>
        <v>0.19</v>
      </c>
      <c r="L78" s="852"/>
      <c r="M78" s="853"/>
    </row>
    <row r="79" spans="1:20">
      <c r="A79" s="35"/>
      <c r="B79" s="225" t="s">
        <v>210</v>
      </c>
      <c r="C79" s="155" t="str">
        <f>'RFPR cover'!$C$14</f>
        <v>£m 12/13</v>
      </c>
      <c r="D79" s="607">
        <f>IF(ISNUMBER(D78),D77*(1-D78),D77)</f>
        <v>2.9410510772183733</v>
      </c>
      <c r="E79" s="608">
        <f t="shared" ref="E79:K79" si="24">IF(ISNUMBER(E78),E77*(1-E78),E77)</f>
        <v>2.9398680699164812</v>
      </c>
      <c r="F79" s="608">
        <f t="shared" si="24"/>
        <v>2.8348809004701465</v>
      </c>
      <c r="G79" s="608">
        <f t="shared" si="24"/>
        <v>3.0169952927851424</v>
      </c>
      <c r="H79" s="608">
        <f t="shared" si="24"/>
        <v>2.7638608984720676</v>
      </c>
      <c r="I79" s="608">
        <f t="shared" si="24"/>
        <v>2.7703815232428126</v>
      </c>
      <c r="J79" s="608">
        <f t="shared" si="24"/>
        <v>2.6773375046056018</v>
      </c>
      <c r="K79" s="609">
        <f t="shared" si="24"/>
        <v>2.7242961369218883</v>
      </c>
      <c r="L79" s="652">
        <f>SUM(D79:INDEX(D79:K79,0,MATCH('RFPR cover'!$C$7,$D$6:$K$6,0)))</f>
        <v>22.668671403632516</v>
      </c>
      <c r="M79" s="653">
        <f>SUM(D79:K79)</f>
        <v>22.668671403632516</v>
      </c>
    </row>
    <row r="80" spans="1:20">
      <c r="A80" s="35"/>
      <c r="B80" s="225"/>
      <c r="C80" s="66"/>
      <c r="D80" s="282"/>
      <c r="E80" s="282"/>
      <c r="F80" s="282"/>
      <c r="G80" s="282"/>
      <c r="H80" s="282"/>
      <c r="I80" s="282"/>
      <c r="J80" s="282"/>
      <c r="K80" s="282"/>
      <c r="L80" s="283"/>
      <c r="M80" s="283"/>
    </row>
    <row r="81" spans="1:20">
      <c r="A81" s="35"/>
      <c r="B81" s="225"/>
      <c r="C81" s="66"/>
      <c r="D81" s="282"/>
      <c r="E81" s="282"/>
      <c r="F81" s="282"/>
      <c r="G81" s="282"/>
      <c r="H81" s="282"/>
      <c r="I81" s="282"/>
      <c r="J81" s="282"/>
      <c r="K81" s="282"/>
      <c r="L81" s="283"/>
      <c r="M81" s="283"/>
    </row>
    <row r="82" spans="1:20">
      <c r="A82" s="35"/>
      <c r="B82" s="225"/>
      <c r="C82" s="66"/>
      <c r="D82" s="282"/>
      <c r="E82" s="282"/>
      <c r="F82" s="282"/>
      <c r="G82" s="282"/>
      <c r="H82" s="282"/>
      <c r="I82" s="282"/>
      <c r="J82" s="282"/>
      <c r="K82" s="282"/>
      <c r="L82" s="283"/>
      <c r="M82" s="283"/>
    </row>
    <row r="83" spans="1:20">
      <c r="A83" s="35"/>
      <c r="B83" s="744"/>
    </row>
    <row r="84" spans="1:20">
      <c r="A84" s="35"/>
      <c r="B84" s="746" t="s">
        <v>187</v>
      </c>
      <c r="C84" s="291"/>
      <c r="D84" s="293"/>
      <c r="E84" s="293"/>
      <c r="F84" s="293"/>
      <c r="G84" s="293"/>
      <c r="H84" s="293"/>
      <c r="I84" s="293"/>
      <c r="J84" s="293"/>
      <c r="K84" s="293"/>
      <c r="L84" s="293"/>
      <c r="M84" s="293"/>
      <c r="N84" s="293"/>
    </row>
    <row r="85" spans="1:20">
      <c r="A85" s="35"/>
      <c r="B85" s="752"/>
    </row>
    <row r="86" spans="1:20">
      <c r="A86" s="35"/>
      <c r="B86" s="751" t="str">
        <f>Data!B34</f>
        <v>Financial Year Average RPI (RPIt)</v>
      </c>
      <c r="C86" s="136" t="s">
        <v>127</v>
      </c>
      <c r="D86" s="112">
        <f>Data!C$34</f>
        <v>1.0603167467048125</v>
      </c>
      <c r="E86" s="113">
        <f>Data!D$34</f>
        <v>1.0830366813119445</v>
      </c>
      <c r="F86" s="113">
        <f>Data!E$34</f>
        <v>1.1235639113109226</v>
      </c>
      <c r="G86" s="113">
        <f>Data!F$34</f>
        <v>1.1578951670583426</v>
      </c>
      <c r="H86" s="113">
        <f>Data!G$34</f>
        <v>1.1878696229692449</v>
      </c>
      <c r="I86" s="113">
        <f>Data!H$34</f>
        <v>1.2022764892203943</v>
      </c>
      <c r="J86" s="113">
        <f>Data!I$34</f>
        <v>1.2717196280780627</v>
      </c>
      <c r="K86" s="114">
        <f>Data!J$34</f>
        <v>1.4354429345049555</v>
      </c>
    </row>
    <row r="87" spans="1:20">
      <c r="A87" s="35"/>
      <c r="B87" s="751"/>
      <c r="D87" s="136"/>
      <c r="E87" s="136"/>
      <c r="F87" s="136"/>
      <c r="G87" s="136"/>
      <c r="H87" s="136"/>
      <c r="I87" s="136"/>
      <c r="J87" s="136"/>
      <c r="K87" s="136"/>
    </row>
    <row r="88" spans="1:20">
      <c r="A88" s="35"/>
      <c r="B88" s="747" t="str">
        <f>B10</f>
        <v>Totex</v>
      </c>
      <c r="C88" s="150"/>
      <c r="D88" s="82"/>
      <c r="E88" s="82"/>
      <c r="F88" s="82"/>
      <c r="G88" s="82"/>
      <c r="H88" s="82"/>
      <c r="I88" s="82"/>
      <c r="J88" s="82"/>
      <c r="K88" s="82"/>
      <c r="L88" s="82"/>
      <c r="M88" s="82"/>
      <c r="N88" s="82"/>
    </row>
    <row r="89" spans="1:20" s="35" customFormat="1">
      <c r="B89" s="748"/>
      <c r="C89" s="138"/>
      <c r="D89" s="320"/>
      <c r="E89" s="320"/>
      <c r="F89" s="320"/>
      <c r="G89" s="320"/>
      <c r="H89" s="320"/>
      <c r="I89" s="320"/>
      <c r="J89" s="320"/>
      <c r="K89" s="320"/>
      <c r="L89" s="320"/>
      <c r="M89" s="320"/>
      <c r="N89" s="320"/>
    </row>
    <row r="90" spans="1:20">
      <c r="A90" s="35"/>
      <c r="B90" s="305" t="s">
        <v>34</v>
      </c>
      <c r="C90" s="155" t="s">
        <v>128</v>
      </c>
      <c r="D90" s="655">
        <f t="shared" ref="D90:K91" si="25">D12*D$86</f>
        <v>141.99669999999998</v>
      </c>
      <c r="E90" s="655">
        <f t="shared" si="25"/>
        <v>150.77750000000003</v>
      </c>
      <c r="F90" s="655">
        <f t="shared" si="25"/>
        <v>137.52339999999995</v>
      </c>
      <c r="G90" s="655">
        <f t="shared" si="25"/>
        <v>147.91449999999998</v>
      </c>
      <c r="H90" s="655">
        <f t="shared" si="25"/>
        <v>143.4529849162011</v>
      </c>
      <c r="I90" s="655">
        <f t="shared" si="25"/>
        <v>167.7680121116139</v>
      </c>
      <c r="J90" s="655">
        <f t="shared" si="25"/>
        <v>166.79459154369209</v>
      </c>
      <c r="K90" s="655">
        <f t="shared" si="25"/>
        <v>190.52317475674138</v>
      </c>
      <c r="L90" s="654">
        <f>SUM(D90:INDEX(D90:K90,0,MATCH('RFPR cover'!$C$7,$D$6:$K$6,0)))</f>
        <v>1246.7508633282484</v>
      </c>
      <c r="M90" s="655">
        <f>SUM(D90:K90)</f>
        <v>1246.7508633282484</v>
      </c>
      <c r="N90" s="63"/>
      <c r="O90" s="63"/>
    </row>
    <row r="91" spans="1:20" ht="25.5">
      <c r="A91" s="35"/>
      <c r="B91" s="749" t="s">
        <v>197</v>
      </c>
      <c r="C91" s="155" t="s">
        <v>128</v>
      </c>
      <c r="D91" s="655">
        <f t="shared" si="25"/>
        <v>155.78457093662715</v>
      </c>
      <c r="E91" s="655">
        <f t="shared" si="25"/>
        <v>160.5564640946246</v>
      </c>
      <c r="F91" s="655">
        <f t="shared" si="25"/>
        <v>157.67356447353941</v>
      </c>
      <c r="G91" s="655">
        <f t="shared" si="25"/>
        <v>172.95060287838453</v>
      </c>
      <c r="H91" s="655">
        <f t="shared" si="25"/>
        <v>161.99449747024173</v>
      </c>
      <c r="I91" s="655">
        <f t="shared" si="25"/>
        <v>149.08820168854061</v>
      </c>
      <c r="J91" s="655">
        <f t="shared" si="25"/>
        <v>153.42656264854816</v>
      </c>
      <c r="K91" s="655">
        <f t="shared" si="25"/>
        <v>177.48055012047459</v>
      </c>
      <c r="L91" s="656">
        <f>SUM(D91:INDEX(D91:K91,0,MATCH('RFPR cover'!$C$7,$D$6:$K$6,0)))</f>
        <v>1288.9550143109809</v>
      </c>
      <c r="M91" s="657">
        <f>SUM(D91:K91)</f>
        <v>1288.9550143109809</v>
      </c>
      <c r="N91" s="63"/>
      <c r="O91" s="63"/>
    </row>
    <row r="92" spans="1:20">
      <c r="A92" s="35"/>
      <c r="B92" s="750" t="s">
        <v>195</v>
      </c>
      <c r="C92" s="155" t="s">
        <v>128</v>
      </c>
      <c r="D92" s="102">
        <f>D91-D90</f>
        <v>13.787870936627172</v>
      </c>
      <c r="E92" s="103">
        <f t="shared" ref="E92:M92" si="26">E91-E90</f>
        <v>9.7789640946245697</v>
      </c>
      <c r="F92" s="103">
        <f t="shared" si="26"/>
        <v>20.150164473539462</v>
      </c>
      <c r="G92" s="103">
        <f t="shared" si="26"/>
        <v>25.036102878384554</v>
      </c>
      <c r="H92" s="103">
        <f t="shared" si="26"/>
        <v>18.541512554040622</v>
      </c>
      <c r="I92" s="103">
        <f t="shared" si="26"/>
        <v>-18.679810423073292</v>
      </c>
      <c r="J92" s="103">
        <f t="shared" si="26"/>
        <v>-13.368028895143937</v>
      </c>
      <c r="K92" s="104">
        <f t="shared" si="26"/>
        <v>-13.042624636266794</v>
      </c>
      <c r="L92" s="102">
        <f t="shared" si="26"/>
        <v>42.204150982732472</v>
      </c>
      <c r="M92" s="104">
        <f t="shared" si="26"/>
        <v>42.204150982732472</v>
      </c>
      <c r="N92" s="63"/>
      <c r="O92" s="1016"/>
      <c r="P92" s="1016"/>
      <c r="Q92" s="1016"/>
      <c r="R92"/>
      <c r="S92"/>
      <c r="T92"/>
    </row>
    <row r="93" spans="1:20">
      <c r="A93" s="35"/>
      <c r="B93" s="750"/>
      <c r="C93" s="155"/>
      <c r="D93" s="59"/>
      <c r="E93" s="59"/>
      <c r="F93" s="59"/>
      <c r="G93" s="59"/>
      <c r="H93" s="59"/>
      <c r="I93" s="59"/>
      <c r="J93" s="59"/>
      <c r="K93" s="59"/>
      <c r="L93" s="59"/>
      <c r="M93" s="59"/>
      <c r="O93" s="64"/>
      <c r="P93" s="64"/>
      <c r="Q93" s="64"/>
      <c r="R93"/>
      <c r="S93"/>
      <c r="T93"/>
    </row>
    <row r="94" spans="1:20">
      <c r="A94" s="35"/>
      <c r="B94" s="744" t="s">
        <v>178</v>
      </c>
      <c r="C94" s="136" t="s">
        <v>7</v>
      </c>
      <c r="D94" s="109">
        <f>1-INDEX(Data!$D$73:$D$100,MATCH('RFPR cover'!$C$5,Data!$B$73:$B$100,0),0)</f>
        <v>0.30000000000000004</v>
      </c>
      <c r="E94" s="110">
        <f>1-INDEX(Data!$D$73:$D$100,MATCH('RFPR cover'!$C$5,Data!$B$73:$B$100,0),0)</f>
        <v>0.30000000000000004</v>
      </c>
      <c r="F94" s="110">
        <f>1-INDEX(Data!$D$73:$D$100,MATCH('RFPR cover'!$C$5,Data!$B$73:$B$100,0),0)</f>
        <v>0.30000000000000004</v>
      </c>
      <c r="G94" s="110">
        <f>1-INDEX(Data!$D$73:$D$100,MATCH('RFPR cover'!$C$5,Data!$B$73:$B$100,0),0)</f>
        <v>0.30000000000000004</v>
      </c>
      <c r="H94" s="110">
        <f>1-INDEX(Data!$D$73:$D$100,MATCH('RFPR cover'!$C$5,Data!$B$73:$B$100,0),0)</f>
        <v>0.30000000000000004</v>
      </c>
      <c r="I94" s="110">
        <f>1-INDEX(Data!$D$73:$D$100,MATCH('RFPR cover'!$C$5,Data!$B$73:$B$100,0),0)</f>
        <v>0.30000000000000004</v>
      </c>
      <c r="J94" s="110">
        <f>1-INDEX(Data!$D$73:$D$100,MATCH('RFPR cover'!$C$5,Data!$B$73:$B$100,0),0)</f>
        <v>0.30000000000000004</v>
      </c>
      <c r="K94" s="111">
        <f>1-INDEX(Data!$D$73:$D$100,MATCH('RFPR cover'!$C$5,Data!$B$73:$B$100,0),0)</f>
        <v>0.30000000000000004</v>
      </c>
      <c r="L94" s="62"/>
      <c r="M94" s="62"/>
      <c r="O94"/>
      <c r="P94"/>
      <c r="Q94"/>
      <c r="R94"/>
      <c r="S94"/>
      <c r="T94"/>
    </row>
    <row r="95" spans="1:20">
      <c r="A95" s="35"/>
      <c r="B95" s="744"/>
      <c r="O95"/>
      <c r="P95"/>
      <c r="Q95"/>
      <c r="R95"/>
      <c r="S95"/>
      <c r="T95"/>
    </row>
    <row r="96" spans="1:20">
      <c r="A96" s="35"/>
      <c r="B96" s="751" t="s">
        <v>183</v>
      </c>
      <c r="C96" s="155" t="s">
        <v>128</v>
      </c>
      <c r="D96" s="95">
        <f>D92*D94</f>
        <v>4.1363612809881518</v>
      </c>
      <c r="E96" s="96">
        <f t="shared" ref="E96:K96" si="27">E92*E94</f>
        <v>2.9336892283873715</v>
      </c>
      <c r="F96" s="96">
        <f t="shared" si="27"/>
        <v>6.0450493420618399</v>
      </c>
      <c r="G96" s="96">
        <f t="shared" si="27"/>
        <v>7.5108308635153671</v>
      </c>
      <c r="H96" s="96">
        <f t="shared" si="27"/>
        <v>5.5624537662121876</v>
      </c>
      <c r="I96" s="96">
        <f t="shared" si="27"/>
        <v>-5.6039431269219886</v>
      </c>
      <c r="J96" s="96">
        <f t="shared" si="27"/>
        <v>-4.0104086685431817</v>
      </c>
      <c r="K96" s="96">
        <f t="shared" si="27"/>
        <v>-3.9127873908800388</v>
      </c>
      <c r="L96" s="95">
        <f>SUM(D96:INDEX(D96:K96,0,MATCH('RFPR cover'!$C$7,$D$6:$K$6,0)))</f>
        <v>12.661245294819706</v>
      </c>
      <c r="M96" s="97">
        <f>SUM(D96:K96)</f>
        <v>12.661245294819706</v>
      </c>
      <c r="O96"/>
      <c r="P96"/>
      <c r="Q96"/>
      <c r="R96"/>
      <c r="S96"/>
      <c r="T96"/>
    </row>
    <row r="97" spans="1:20">
      <c r="A97" s="35"/>
      <c r="B97" s="751" t="s">
        <v>276</v>
      </c>
      <c r="C97" s="155" t="s">
        <v>128</v>
      </c>
      <c r="D97" s="92">
        <f>D92*(1-D94)</f>
        <v>9.6515096556390194</v>
      </c>
      <c r="E97" s="93">
        <f t="shared" ref="E97:K97" si="28">E92*(1-E94)</f>
        <v>6.8452748662371983</v>
      </c>
      <c r="F97" s="93">
        <f t="shared" si="28"/>
        <v>14.105115131477623</v>
      </c>
      <c r="G97" s="93">
        <f t="shared" si="28"/>
        <v>17.525272014869188</v>
      </c>
      <c r="H97" s="93">
        <f t="shared" si="28"/>
        <v>12.979058787828436</v>
      </c>
      <c r="I97" s="93">
        <f t="shared" si="28"/>
        <v>-13.075867296151303</v>
      </c>
      <c r="J97" s="93">
        <f t="shared" si="28"/>
        <v>-9.3576202266007549</v>
      </c>
      <c r="K97" s="93">
        <f t="shared" si="28"/>
        <v>-9.1298372453867547</v>
      </c>
      <c r="L97" s="92">
        <f>SUM(D97:INDEX(D97:K97,0,MATCH('RFPR cover'!$C$7,$D$6:$K$6,0)))</f>
        <v>29.542905687912651</v>
      </c>
      <c r="M97" s="94">
        <f>SUM(D97:K97)</f>
        <v>29.542905687912651</v>
      </c>
      <c r="O97"/>
      <c r="P97"/>
      <c r="Q97"/>
      <c r="R97"/>
      <c r="S97"/>
      <c r="T97"/>
    </row>
    <row r="98" spans="1:20">
      <c r="A98" s="35"/>
      <c r="B98" s="744"/>
      <c r="O98"/>
      <c r="P98"/>
      <c r="Q98"/>
      <c r="R98"/>
      <c r="S98"/>
      <c r="T98"/>
    </row>
    <row r="99" spans="1:20">
      <c r="A99" s="35"/>
      <c r="B99" s="752" t="s">
        <v>182</v>
      </c>
      <c r="N99" s="63"/>
      <c r="O99"/>
      <c r="P99"/>
      <c r="Q99"/>
      <c r="R99"/>
      <c r="S99"/>
      <c r="T99"/>
    </row>
    <row r="100" spans="1:20">
      <c r="A100" s="269" t="s">
        <v>151</v>
      </c>
      <c r="B100" s="225" t="str">
        <f t="shared" ref="B100:B105" si="29">B22</f>
        <v>Pensions prepayment (See Appendices within RFPR commentary documentation)</v>
      </c>
      <c r="C100" s="155" t="s">
        <v>128</v>
      </c>
      <c r="D100" s="590">
        <f t="shared" ref="D100:K105" si="30">D22*D$86</f>
        <v>0</v>
      </c>
      <c r="E100" s="590">
        <f t="shared" si="30"/>
        <v>10.113482630405867</v>
      </c>
      <c r="F100" s="590">
        <f t="shared" si="30"/>
        <v>-9.6110450968352854</v>
      </c>
      <c r="G100" s="590">
        <f t="shared" si="30"/>
        <v>-0.50243753357058019</v>
      </c>
      <c r="H100" s="590">
        <f t="shared" si="30"/>
        <v>0</v>
      </c>
      <c r="I100" s="590">
        <f t="shared" si="30"/>
        <v>0</v>
      </c>
      <c r="J100" s="590">
        <f t="shared" si="30"/>
        <v>0</v>
      </c>
      <c r="K100" s="590">
        <f t="shared" si="30"/>
        <v>0</v>
      </c>
      <c r="L100" s="582">
        <f>SUM(D100:INDEX(D100:K100,0,MATCH('RFPR cover'!$C$7,$D$6:$K$6,0)))</f>
        <v>1.7763568394002505E-15</v>
      </c>
      <c r="M100" s="583">
        <f t="shared" ref="M100:M106" si="31">SUM(D100:K100)</f>
        <v>1.7763568394002505E-15</v>
      </c>
      <c r="N100" s="63"/>
      <c r="O100"/>
      <c r="P100"/>
      <c r="Q100"/>
      <c r="R100"/>
      <c r="S100"/>
      <c r="T100"/>
    </row>
    <row r="101" spans="1:20">
      <c r="A101" s="269" t="s">
        <v>152</v>
      </c>
      <c r="B101" s="225" t="str">
        <f t="shared" si="29"/>
        <v>Rail Electrification (See Appendices within RFRS commentary documentation)</v>
      </c>
      <c r="C101" s="155" t="s">
        <v>128</v>
      </c>
      <c r="D101" s="590">
        <f t="shared" si="30"/>
        <v>0</v>
      </c>
      <c r="E101" s="590">
        <f t="shared" si="30"/>
        <v>0</v>
      </c>
      <c r="F101" s="590">
        <f t="shared" si="30"/>
        <v>-36.507486304365457</v>
      </c>
      <c r="G101" s="590">
        <f t="shared" si="30"/>
        <v>-6.5757896162144283</v>
      </c>
      <c r="H101" s="590">
        <f t="shared" si="30"/>
        <v>0</v>
      </c>
      <c r="I101" s="590">
        <f t="shared" si="30"/>
        <v>15.297766048840295</v>
      </c>
      <c r="J101" s="590">
        <f t="shared" si="30"/>
        <v>16.181360547665268</v>
      </c>
      <c r="K101" s="590">
        <f t="shared" si="30"/>
        <v>18.264095584495809</v>
      </c>
      <c r="L101" s="586">
        <f>SUM(D101:INDEX(D101:K101,0,MATCH('RFPR cover'!$C$7,$D$6:$K$6,0)))</f>
        <v>6.659946260421485</v>
      </c>
      <c r="M101" s="587">
        <f t="shared" si="31"/>
        <v>6.659946260421485</v>
      </c>
      <c r="N101" s="63"/>
      <c r="O101"/>
      <c r="P101"/>
      <c r="Q101"/>
      <c r="R101"/>
      <c r="S101"/>
      <c r="T101"/>
    </row>
    <row r="102" spans="1:20">
      <c r="A102" s="269" t="s">
        <v>153</v>
      </c>
      <c r="B102" s="225" t="str">
        <f t="shared" si="29"/>
        <v>TIM neutral and Smart meter adjustments to Totex allowance</v>
      </c>
      <c r="C102" s="155" t="s">
        <v>128</v>
      </c>
      <c r="D102" s="590">
        <f t="shared" si="30"/>
        <v>0</v>
      </c>
      <c r="E102" s="590">
        <f t="shared" si="30"/>
        <v>0</v>
      </c>
      <c r="F102" s="590">
        <f t="shared" si="30"/>
        <v>0</v>
      </c>
      <c r="G102" s="590">
        <f t="shared" si="30"/>
        <v>0</v>
      </c>
      <c r="H102" s="590">
        <f t="shared" si="30"/>
        <v>0</v>
      </c>
      <c r="I102" s="590">
        <f t="shared" si="30"/>
        <v>0</v>
      </c>
      <c r="J102" s="590">
        <f t="shared" si="30"/>
        <v>0</v>
      </c>
      <c r="K102" s="590">
        <f t="shared" si="30"/>
        <v>-1.2460622713613196</v>
      </c>
      <c r="L102" s="586">
        <f>SUM(D102:INDEX(D102:K102,0,MATCH('RFPR cover'!$C$7,$D$6:$K$6,0)))</f>
        <v>-1.2460622713613196</v>
      </c>
      <c r="M102" s="587">
        <f t="shared" si="31"/>
        <v>-1.2460622713613196</v>
      </c>
      <c r="N102" s="63"/>
      <c r="O102"/>
      <c r="P102"/>
      <c r="Q102"/>
      <c r="R102"/>
      <c r="S102" s="65"/>
      <c r="T102"/>
    </row>
    <row r="103" spans="1:20">
      <c r="A103" s="269" t="s">
        <v>168</v>
      </c>
      <c r="B103" s="225" t="str">
        <f t="shared" si="29"/>
        <v>TIM neutral Green recovery adjustment to Totex allowance</v>
      </c>
      <c r="C103" s="155" t="s">
        <v>128</v>
      </c>
      <c r="D103" s="590">
        <f t="shared" si="30"/>
        <v>0</v>
      </c>
      <c r="E103" s="590">
        <f t="shared" si="30"/>
        <v>0</v>
      </c>
      <c r="F103" s="590">
        <f t="shared" si="30"/>
        <v>0</v>
      </c>
      <c r="G103" s="590">
        <f t="shared" si="30"/>
        <v>0</v>
      </c>
      <c r="H103" s="590">
        <f t="shared" si="30"/>
        <v>0</v>
      </c>
      <c r="I103" s="590">
        <f t="shared" si="30"/>
        <v>0</v>
      </c>
      <c r="J103" s="590">
        <f t="shared" si="30"/>
        <v>0</v>
      </c>
      <c r="K103" s="590">
        <f t="shared" si="30"/>
        <v>0</v>
      </c>
      <c r="L103" s="586">
        <f>SUM(D103:INDEX(D103:K103,0,MATCH('RFPR cover'!$C$7,$D$6:$K$6,0)))</f>
        <v>0</v>
      </c>
      <c r="M103" s="587">
        <f t="shared" si="31"/>
        <v>0</v>
      </c>
      <c r="N103" s="63"/>
      <c r="O103"/>
      <c r="P103"/>
      <c r="Q103"/>
      <c r="R103"/>
      <c r="S103"/>
      <c r="T103"/>
    </row>
    <row r="104" spans="1:20">
      <c r="A104" s="269" t="s">
        <v>169</v>
      </c>
      <c r="B104" s="225" t="str">
        <f t="shared" si="29"/>
        <v>[Enduring Value adjustment]</v>
      </c>
      <c r="C104" s="155" t="s">
        <v>128</v>
      </c>
      <c r="D104" s="590">
        <f t="shared" si="30"/>
        <v>0</v>
      </c>
      <c r="E104" s="590">
        <f t="shared" si="30"/>
        <v>0</v>
      </c>
      <c r="F104" s="590">
        <f t="shared" si="30"/>
        <v>0</v>
      </c>
      <c r="G104" s="590">
        <f t="shared" si="30"/>
        <v>0</v>
      </c>
      <c r="H104" s="590">
        <f t="shared" si="30"/>
        <v>0</v>
      </c>
      <c r="I104" s="590">
        <f t="shared" si="30"/>
        <v>0</v>
      </c>
      <c r="J104" s="590">
        <f t="shared" si="30"/>
        <v>0</v>
      </c>
      <c r="K104" s="590">
        <f t="shared" si="30"/>
        <v>0</v>
      </c>
      <c r="L104" s="586">
        <f>SUM(D104:INDEX(D104:K104,0,MATCH('RFPR cover'!$C$7,$D$6:$K$6,0)))</f>
        <v>0</v>
      </c>
      <c r="M104" s="587">
        <f t="shared" si="31"/>
        <v>0</v>
      </c>
      <c r="N104" s="63"/>
      <c r="O104"/>
      <c r="P104"/>
      <c r="Q104"/>
      <c r="R104"/>
      <c r="S104"/>
      <c r="T104"/>
    </row>
    <row r="105" spans="1:20">
      <c r="A105" s="269" t="s">
        <v>170</v>
      </c>
      <c r="B105" s="225" t="str">
        <f t="shared" si="29"/>
        <v>[Enduring Value adjustment]</v>
      </c>
      <c r="C105" s="155" t="s">
        <v>128</v>
      </c>
      <c r="D105" s="590">
        <f t="shared" si="30"/>
        <v>0</v>
      </c>
      <c r="E105" s="590">
        <f t="shared" si="30"/>
        <v>0</v>
      </c>
      <c r="F105" s="590">
        <f t="shared" si="30"/>
        <v>0</v>
      </c>
      <c r="G105" s="590">
        <f t="shared" si="30"/>
        <v>0</v>
      </c>
      <c r="H105" s="590">
        <f t="shared" si="30"/>
        <v>0</v>
      </c>
      <c r="I105" s="590">
        <f t="shared" si="30"/>
        <v>0</v>
      </c>
      <c r="J105" s="590">
        <f t="shared" si="30"/>
        <v>0</v>
      </c>
      <c r="K105" s="590">
        <f t="shared" si="30"/>
        <v>0</v>
      </c>
      <c r="L105" s="590">
        <f>SUM(D105:INDEX(D105:K105,0,MATCH('RFPR cover'!$C$7,$D$6:$K$6,0)))</f>
        <v>0</v>
      </c>
      <c r="M105" s="591">
        <f t="shared" si="31"/>
        <v>0</v>
      </c>
      <c r="N105" s="63"/>
      <c r="O105"/>
      <c r="P105"/>
      <c r="Q105"/>
      <c r="R105"/>
      <c r="S105"/>
      <c r="T105"/>
    </row>
    <row r="106" spans="1:20">
      <c r="A106" s="35"/>
      <c r="B106" s="752" t="s">
        <v>190</v>
      </c>
      <c r="C106" s="155" t="s">
        <v>128</v>
      </c>
      <c r="D106" s="102">
        <f>SUM(D100:D105)</f>
        <v>0</v>
      </c>
      <c r="E106" s="103">
        <f t="shared" ref="E106:K106" si="32">SUM(E100:E105)</f>
        <v>10.113482630405867</v>
      </c>
      <c r="F106" s="103">
        <f t="shared" si="32"/>
        <v>-46.118531401200741</v>
      </c>
      <c r="G106" s="103">
        <f t="shared" si="32"/>
        <v>-7.0782271497850084</v>
      </c>
      <c r="H106" s="103">
        <f t="shared" si="32"/>
        <v>0</v>
      </c>
      <c r="I106" s="103">
        <f t="shared" si="32"/>
        <v>15.297766048840295</v>
      </c>
      <c r="J106" s="103">
        <f t="shared" si="32"/>
        <v>16.181360547665268</v>
      </c>
      <c r="K106" s="104">
        <f t="shared" si="32"/>
        <v>17.018033313134488</v>
      </c>
      <c r="L106" s="102">
        <f>SUM(D106:INDEX(D106:K106,0,MATCH('RFPR cover'!$C$7,$D$6:$K$6,0)))</f>
        <v>5.4138839890601709</v>
      </c>
      <c r="M106" s="104">
        <f t="shared" si="31"/>
        <v>5.4138839890601709</v>
      </c>
      <c r="N106" s="63"/>
    </row>
    <row r="107" spans="1:20">
      <c r="A107" s="35"/>
      <c r="B107" s="744"/>
    </row>
    <row r="108" spans="1:20">
      <c r="A108" s="35"/>
      <c r="B108" s="751" t="s">
        <v>198</v>
      </c>
      <c r="C108" s="155" t="s">
        <v>128</v>
      </c>
      <c r="D108" s="95">
        <f t="shared" ref="D108:K108" si="33">D106*D94</f>
        <v>0</v>
      </c>
      <c r="E108" s="96">
        <f t="shared" si="33"/>
        <v>3.0340447891217606</v>
      </c>
      <c r="F108" s="96">
        <f t="shared" si="33"/>
        <v>-13.835559420360225</v>
      </c>
      <c r="G108" s="96">
        <f t="shared" si="33"/>
        <v>-2.1234681449355031</v>
      </c>
      <c r="H108" s="96">
        <f t="shared" si="33"/>
        <v>0</v>
      </c>
      <c r="I108" s="96">
        <f t="shared" si="33"/>
        <v>4.5893298146520891</v>
      </c>
      <c r="J108" s="96">
        <f t="shared" si="33"/>
        <v>4.8544081642995813</v>
      </c>
      <c r="K108" s="96">
        <f t="shared" si="33"/>
        <v>5.1054099939403468</v>
      </c>
      <c r="L108" s="95">
        <f>SUM(D108:INDEX(D108:K108,0,MATCH('RFPR cover'!$C$7,$D$6:$K$6,0)))</f>
        <v>1.6241651967180495</v>
      </c>
      <c r="M108" s="97">
        <f>SUM(D108:K108)</f>
        <v>1.6241651967180495</v>
      </c>
    </row>
    <row r="109" spans="1:20">
      <c r="A109" s="35"/>
      <c r="B109" s="751" t="s">
        <v>305</v>
      </c>
      <c r="C109" s="155" t="s">
        <v>128</v>
      </c>
      <c r="D109" s="92">
        <f t="shared" ref="D109:K109" si="34">D106*(1-D94)</f>
        <v>0</v>
      </c>
      <c r="E109" s="93">
        <f t="shared" si="34"/>
        <v>7.0794378412841068</v>
      </c>
      <c r="F109" s="93">
        <f t="shared" si="34"/>
        <v>-32.282971980840514</v>
      </c>
      <c r="G109" s="93">
        <f t="shared" si="34"/>
        <v>-4.9547590048495058</v>
      </c>
      <c r="H109" s="93">
        <f t="shared" si="34"/>
        <v>0</v>
      </c>
      <c r="I109" s="93">
        <f t="shared" si="34"/>
        <v>10.708436234188206</v>
      </c>
      <c r="J109" s="93">
        <f t="shared" si="34"/>
        <v>11.326952383365686</v>
      </c>
      <c r="K109" s="93">
        <f t="shared" si="34"/>
        <v>11.912623319194141</v>
      </c>
      <c r="L109" s="92">
        <f>SUM(D109:INDEX(D109:K109,0,MATCH('RFPR cover'!$C$7,$D$6:$K$6,0)))</f>
        <v>3.7897187923421196</v>
      </c>
      <c r="M109" s="94">
        <f>SUM(D109:K109)</f>
        <v>3.7897187923421196</v>
      </c>
    </row>
    <row r="110" spans="1:20">
      <c r="A110" s="35"/>
      <c r="B110" s="744"/>
    </row>
    <row r="111" spans="1:20">
      <c r="A111" s="35"/>
      <c r="B111" s="752" t="s">
        <v>181</v>
      </c>
    </row>
    <row r="112" spans="1:20">
      <c r="A112" s="35"/>
      <c r="B112" s="744" t="s">
        <v>180</v>
      </c>
      <c r="C112" s="155" t="s">
        <v>128</v>
      </c>
      <c r="D112" s="95">
        <f>D96+D108</f>
        <v>4.1363612809881518</v>
      </c>
      <c r="E112" s="96">
        <f t="shared" ref="E112:K112" si="35">E96+E108</f>
        <v>5.967734017509132</v>
      </c>
      <c r="F112" s="96">
        <f t="shared" si="35"/>
        <v>-7.7905100782983849</v>
      </c>
      <c r="G112" s="96">
        <f t="shared" si="35"/>
        <v>5.3873627185798636</v>
      </c>
      <c r="H112" s="96">
        <f t="shared" si="35"/>
        <v>5.5624537662121876</v>
      </c>
      <c r="I112" s="96">
        <f t="shared" si="35"/>
        <v>-1.0146133122698995</v>
      </c>
      <c r="J112" s="96">
        <f t="shared" si="35"/>
        <v>0.84399949575639965</v>
      </c>
      <c r="K112" s="96">
        <f t="shared" si="35"/>
        <v>1.192622603060308</v>
      </c>
      <c r="L112" s="95">
        <f>SUM(D112:INDEX(D112:K112,0,MATCH('RFPR cover'!$C$7,$D$6:$K$6,0)))</f>
        <v>14.285410491537759</v>
      </c>
      <c r="M112" s="97">
        <f>SUM(D112:K112)</f>
        <v>14.285410491537759</v>
      </c>
    </row>
    <row r="113" spans="1:20">
      <c r="A113" s="35"/>
      <c r="B113" s="744" t="s">
        <v>276</v>
      </c>
      <c r="C113" s="155" t="s">
        <v>128</v>
      </c>
      <c r="D113" s="519">
        <f>D97+D109</f>
        <v>9.6515096556390194</v>
      </c>
      <c r="E113" s="520">
        <f t="shared" ref="E113:K113" si="36">E97+E109</f>
        <v>13.924712707521305</v>
      </c>
      <c r="F113" s="520">
        <f t="shared" si="36"/>
        <v>-18.17785684936289</v>
      </c>
      <c r="G113" s="520">
        <f t="shared" si="36"/>
        <v>12.570513010019681</v>
      </c>
      <c r="H113" s="520">
        <f t="shared" si="36"/>
        <v>12.979058787828436</v>
      </c>
      <c r="I113" s="520">
        <f t="shared" si="36"/>
        <v>-2.3674310619630976</v>
      </c>
      <c r="J113" s="520">
        <f t="shared" si="36"/>
        <v>1.9693321567649313</v>
      </c>
      <c r="K113" s="520">
        <f t="shared" si="36"/>
        <v>2.7827860738073866</v>
      </c>
      <c r="L113" s="519">
        <f>SUM(D113:INDEX(D113:K113,0,MATCH('RFPR cover'!$C$7,$D$6:$K$6,0)))</f>
        <v>33.332624480254779</v>
      </c>
      <c r="M113" s="521">
        <f>SUM(D113:K113)</f>
        <v>33.332624480254779</v>
      </c>
    </row>
    <row r="114" spans="1:20">
      <c r="A114" s="35"/>
      <c r="B114" s="752" t="s">
        <v>11</v>
      </c>
      <c r="C114" s="156" t="s">
        <v>128</v>
      </c>
      <c r="D114" s="145">
        <f>SUM(D112:D113)</f>
        <v>13.787870936627172</v>
      </c>
      <c r="E114" s="146">
        <f t="shared" ref="E114:K114" si="37">SUM(E112:E113)</f>
        <v>19.892446725030439</v>
      </c>
      <c r="F114" s="146">
        <f t="shared" si="37"/>
        <v>-25.968366927661275</v>
      </c>
      <c r="G114" s="146">
        <f t="shared" si="37"/>
        <v>17.957875728599547</v>
      </c>
      <c r="H114" s="146">
        <f t="shared" si="37"/>
        <v>18.541512554040622</v>
      </c>
      <c r="I114" s="146">
        <f t="shared" si="37"/>
        <v>-3.3820443742329971</v>
      </c>
      <c r="J114" s="146">
        <f t="shared" si="37"/>
        <v>2.813331652521331</v>
      </c>
      <c r="K114" s="146">
        <f t="shared" si="37"/>
        <v>3.9754086768676946</v>
      </c>
      <c r="L114" s="145">
        <f>SUM(D114:INDEX(D114:K114,0,MATCH('RFPR cover'!$C$7,$D$6:$K$6,0)))</f>
        <v>47.618034971792532</v>
      </c>
      <c r="M114" s="147">
        <f>SUM(D114:K114)</f>
        <v>47.618034971792532</v>
      </c>
    </row>
    <row r="115" spans="1:20">
      <c r="A115" s="35"/>
      <c r="B115" s="744"/>
    </row>
    <row r="116" spans="1:20">
      <c r="A116" s="35"/>
      <c r="B116" s="747" t="str">
        <f>B38</f>
        <v>n/a</v>
      </c>
      <c r="C116" s="150"/>
      <c r="D116" s="82"/>
      <c r="E116" s="82"/>
      <c r="F116" s="82"/>
      <c r="G116" s="82"/>
      <c r="H116" s="82"/>
      <c r="I116" s="82"/>
      <c r="J116" s="82"/>
      <c r="K116" s="82"/>
      <c r="L116" s="82"/>
      <c r="M116" s="82"/>
      <c r="N116" s="82"/>
    </row>
    <row r="117" spans="1:20" s="35" customFormat="1">
      <c r="B117" s="745"/>
      <c r="C117" s="138"/>
      <c r="D117" s="320"/>
      <c r="E117" s="320"/>
      <c r="F117" s="320"/>
      <c r="G117" s="320"/>
      <c r="H117" s="320"/>
      <c r="I117" s="320"/>
      <c r="J117" s="320"/>
      <c r="K117" s="320"/>
      <c r="L117" s="320"/>
      <c r="M117" s="320"/>
      <c r="N117" s="320"/>
    </row>
    <row r="118" spans="1:20">
      <c r="A118" s="35"/>
      <c r="B118" s="305" t="s">
        <v>34</v>
      </c>
      <c r="C118" s="155" t="s">
        <v>128</v>
      </c>
      <c r="D118" s="654">
        <f t="shared" ref="D118:K119" si="38">D40*D$86</f>
        <v>0</v>
      </c>
      <c r="E118" s="654">
        <f t="shared" si="38"/>
        <v>0</v>
      </c>
      <c r="F118" s="654">
        <f t="shared" si="38"/>
        <v>0</v>
      </c>
      <c r="G118" s="654">
        <f t="shared" si="38"/>
        <v>0</v>
      </c>
      <c r="H118" s="654">
        <f t="shared" si="38"/>
        <v>0</v>
      </c>
      <c r="I118" s="654">
        <f t="shared" si="38"/>
        <v>0</v>
      </c>
      <c r="J118" s="654">
        <f t="shared" si="38"/>
        <v>0</v>
      </c>
      <c r="K118" s="654">
        <f t="shared" si="38"/>
        <v>0</v>
      </c>
      <c r="L118" s="654">
        <f>SUM(D118:INDEX(D118:K118,0,MATCH('RFPR cover'!$C$7,$D$6:$K$6,0)))</f>
        <v>0</v>
      </c>
      <c r="M118" s="655">
        <f>SUM(D118:K118)</f>
        <v>0</v>
      </c>
      <c r="N118" s="63"/>
      <c r="O118" s="63"/>
    </row>
    <row r="119" spans="1:20" ht="25.5">
      <c r="A119" s="35"/>
      <c r="B119" s="749" t="s">
        <v>197</v>
      </c>
      <c r="C119" s="155" t="s">
        <v>128</v>
      </c>
      <c r="D119" s="654">
        <f t="shared" si="38"/>
        <v>0</v>
      </c>
      <c r="E119" s="654">
        <f t="shared" si="38"/>
        <v>0</v>
      </c>
      <c r="F119" s="654">
        <f t="shared" si="38"/>
        <v>0</v>
      </c>
      <c r="G119" s="654">
        <f t="shared" si="38"/>
        <v>0</v>
      </c>
      <c r="H119" s="654">
        <f t="shared" si="38"/>
        <v>0</v>
      </c>
      <c r="I119" s="654">
        <f t="shared" si="38"/>
        <v>0</v>
      </c>
      <c r="J119" s="654">
        <f t="shared" si="38"/>
        <v>0</v>
      </c>
      <c r="K119" s="654">
        <f t="shared" si="38"/>
        <v>0</v>
      </c>
      <c r="L119" s="656">
        <f>SUM(D119:INDEX(D119:K119,0,MATCH('RFPR cover'!$C$7,$D$6:$K$6,0)))</f>
        <v>0</v>
      </c>
      <c r="M119" s="657">
        <f>SUM(D119:K119)</f>
        <v>0</v>
      </c>
      <c r="N119" s="63"/>
      <c r="O119" s="63"/>
    </row>
    <row r="120" spans="1:20">
      <c r="A120" s="35"/>
      <c r="B120" s="750" t="s">
        <v>195</v>
      </c>
      <c r="C120" s="155" t="s">
        <v>128</v>
      </c>
      <c r="D120" s="102">
        <f>D119-D118</f>
        <v>0</v>
      </c>
      <c r="E120" s="103">
        <f t="shared" ref="E120:M120" si="39">E119-E118</f>
        <v>0</v>
      </c>
      <c r="F120" s="103">
        <f t="shared" si="39"/>
        <v>0</v>
      </c>
      <c r="G120" s="103">
        <f t="shared" si="39"/>
        <v>0</v>
      </c>
      <c r="H120" s="103">
        <f t="shared" si="39"/>
        <v>0</v>
      </c>
      <c r="I120" s="103">
        <f t="shared" si="39"/>
        <v>0</v>
      </c>
      <c r="J120" s="103">
        <f t="shared" si="39"/>
        <v>0</v>
      </c>
      <c r="K120" s="103">
        <f t="shared" si="39"/>
        <v>0</v>
      </c>
      <c r="L120" s="102">
        <f t="shared" si="39"/>
        <v>0</v>
      </c>
      <c r="M120" s="104">
        <f t="shared" si="39"/>
        <v>0</v>
      </c>
      <c r="N120" s="63"/>
      <c r="O120" s="1016"/>
      <c r="P120" s="1016"/>
      <c r="Q120" s="1016"/>
      <c r="R120"/>
      <c r="S120"/>
      <c r="T120"/>
    </row>
    <row r="121" spans="1:20">
      <c r="A121" s="35"/>
      <c r="B121" s="750"/>
      <c r="C121" s="155"/>
      <c r="D121" s="59"/>
      <c r="E121" s="59"/>
      <c r="F121" s="59"/>
      <c r="G121" s="59"/>
      <c r="H121" s="59"/>
      <c r="I121" s="59"/>
      <c r="J121" s="59"/>
      <c r="K121" s="59"/>
      <c r="L121" s="59"/>
      <c r="M121" s="59"/>
      <c r="O121" s="64"/>
      <c r="P121" s="64"/>
      <c r="Q121" s="64"/>
      <c r="R121"/>
      <c r="S121"/>
      <c r="T121"/>
    </row>
    <row r="122" spans="1:20">
      <c r="A122" s="35"/>
      <c r="B122" s="744" t="s">
        <v>178</v>
      </c>
      <c r="C122" s="136" t="s">
        <v>7</v>
      </c>
      <c r="D122" s="109">
        <f>1-INDEX(Data!$D$73:$D$100,MATCH('RFPR cover'!$C$5,Data!$B$73:$B$100,0),0)</f>
        <v>0.30000000000000004</v>
      </c>
      <c r="E122" s="110">
        <f>1-INDEX(Data!$D$73:$D$100,MATCH('RFPR cover'!$C$5,Data!$B$73:$B$100,0),0)</f>
        <v>0.30000000000000004</v>
      </c>
      <c r="F122" s="110">
        <f>1-INDEX(Data!$D$73:$D$100,MATCH('RFPR cover'!$C$5,Data!$B$73:$B$100,0),0)</f>
        <v>0.30000000000000004</v>
      </c>
      <c r="G122" s="110">
        <f>1-INDEX(Data!$D$73:$D$100,MATCH('RFPR cover'!$C$5,Data!$B$73:$B$100,0),0)</f>
        <v>0.30000000000000004</v>
      </c>
      <c r="H122" s="110">
        <f>1-INDEX(Data!$D$73:$D$100,MATCH('RFPR cover'!$C$5,Data!$B$73:$B$100,0),0)</f>
        <v>0.30000000000000004</v>
      </c>
      <c r="I122" s="110">
        <f>1-INDEX(Data!$D$73:$D$100,MATCH('RFPR cover'!$C$5,Data!$B$73:$B$100,0),0)</f>
        <v>0.30000000000000004</v>
      </c>
      <c r="J122" s="110">
        <f>1-INDEX(Data!$D$73:$D$100,MATCH('RFPR cover'!$C$5,Data!$B$73:$B$100,0),0)</f>
        <v>0.30000000000000004</v>
      </c>
      <c r="K122" s="111">
        <f>1-INDEX(Data!$D$73:$D$100,MATCH('RFPR cover'!$C$5,Data!$B$73:$B$100,0),0)</f>
        <v>0.30000000000000004</v>
      </c>
      <c r="L122" s="62"/>
      <c r="M122" s="62"/>
      <c r="O122"/>
      <c r="P122"/>
      <c r="Q122"/>
      <c r="R122"/>
      <c r="S122"/>
      <c r="T122"/>
    </row>
    <row r="123" spans="1:20">
      <c r="A123" s="35"/>
      <c r="B123" s="744"/>
      <c r="O123"/>
      <c r="P123"/>
      <c r="Q123"/>
      <c r="R123"/>
      <c r="S123"/>
      <c r="T123"/>
    </row>
    <row r="124" spans="1:20">
      <c r="A124" s="35"/>
      <c r="B124" s="751" t="s">
        <v>183</v>
      </c>
      <c r="C124" s="159" t="s">
        <v>128</v>
      </c>
      <c r="D124" s="95">
        <f>D120*D122</f>
        <v>0</v>
      </c>
      <c r="E124" s="96">
        <f t="shared" ref="E124:K124" si="40">E120*E122</f>
        <v>0</v>
      </c>
      <c r="F124" s="96">
        <f t="shared" si="40"/>
        <v>0</v>
      </c>
      <c r="G124" s="96">
        <f t="shared" si="40"/>
        <v>0</v>
      </c>
      <c r="H124" s="96">
        <f t="shared" si="40"/>
        <v>0</v>
      </c>
      <c r="I124" s="96">
        <f t="shared" si="40"/>
        <v>0</v>
      </c>
      <c r="J124" s="96">
        <f t="shared" si="40"/>
        <v>0</v>
      </c>
      <c r="K124" s="96">
        <f t="shared" si="40"/>
        <v>0</v>
      </c>
      <c r="L124" s="95">
        <f>SUM(D124:INDEX(D124:K124,0,MATCH('RFPR cover'!$C$7,$D$6:$K$6,0)))</f>
        <v>0</v>
      </c>
      <c r="M124" s="97">
        <f>SUM(D124:K124)</f>
        <v>0</v>
      </c>
      <c r="O124"/>
      <c r="P124"/>
      <c r="Q124"/>
      <c r="R124"/>
      <c r="S124"/>
      <c r="T124"/>
    </row>
    <row r="125" spans="1:20">
      <c r="A125" s="35"/>
      <c r="B125" s="751" t="s">
        <v>179</v>
      </c>
      <c r="C125" s="159" t="s">
        <v>128</v>
      </c>
      <c r="D125" s="92">
        <f>D120*(1-D122)</f>
        <v>0</v>
      </c>
      <c r="E125" s="93">
        <f t="shared" ref="E125:K125" si="41">E120*(1-E122)</f>
        <v>0</v>
      </c>
      <c r="F125" s="93">
        <f t="shared" si="41"/>
        <v>0</v>
      </c>
      <c r="G125" s="93">
        <f t="shared" si="41"/>
        <v>0</v>
      </c>
      <c r="H125" s="93">
        <f t="shared" si="41"/>
        <v>0</v>
      </c>
      <c r="I125" s="93">
        <f t="shared" si="41"/>
        <v>0</v>
      </c>
      <c r="J125" s="93">
        <f t="shared" si="41"/>
        <v>0</v>
      </c>
      <c r="K125" s="93">
        <f t="shared" si="41"/>
        <v>0</v>
      </c>
      <c r="L125" s="92">
        <f>SUM(D125:INDEX(D125:K125,0,MATCH('RFPR cover'!$C$7,$D$6:$K$6,0)))</f>
        <v>0</v>
      </c>
      <c r="M125" s="94">
        <f>SUM(D125:K125)</f>
        <v>0</v>
      </c>
      <c r="O125"/>
      <c r="P125"/>
      <c r="Q125"/>
      <c r="R125"/>
      <c r="S125"/>
      <c r="T125"/>
    </row>
    <row r="126" spans="1:20">
      <c r="A126" s="35"/>
      <c r="B126" s="744"/>
      <c r="O126"/>
      <c r="P126"/>
      <c r="Q126"/>
      <c r="R126"/>
      <c r="S126"/>
      <c r="T126"/>
    </row>
    <row r="127" spans="1:20">
      <c r="A127" s="35"/>
      <c r="B127" s="752" t="s">
        <v>182</v>
      </c>
      <c r="N127" s="63"/>
      <c r="O127"/>
      <c r="P127"/>
      <c r="Q127"/>
      <c r="R127"/>
      <c r="S127"/>
      <c r="T127"/>
    </row>
    <row r="128" spans="1:20">
      <c r="A128" s="269" t="s">
        <v>151</v>
      </c>
      <c r="B128" s="225" t="str">
        <f t="shared" ref="B128:B133" si="42">B50</f>
        <v>[Enduring Value adjustment]</v>
      </c>
      <c r="C128" s="155" t="s">
        <v>128</v>
      </c>
      <c r="D128" s="582">
        <f t="shared" ref="D128:K133" si="43">D50*D$86</f>
        <v>0</v>
      </c>
      <c r="E128" s="582">
        <f t="shared" si="43"/>
        <v>0</v>
      </c>
      <c r="F128" s="582">
        <f t="shared" si="43"/>
        <v>0</v>
      </c>
      <c r="G128" s="582">
        <f t="shared" si="43"/>
        <v>0</v>
      </c>
      <c r="H128" s="582">
        <f t="shared" si="43"/>
        <v>0</v>
      </c>
      <c r="I128" s="582">
        <f t="shared" si="43"/>
        <v>0</v>
      </c>
      <c r="J128" s="582">
        <f t="shared" si="43"/>
        <v>0</v>
      </c>
      <c r="K128" s="582">
        <f t="shared" si="43"/>
        <v>0</v>
      </c>
      <c r="L128" s="582">
        <f>SUM(D128:INDEX(D128:K128,0,MATCH('RFPR cover'!$C$7,$D$6:$K$6,0)))</f>
        <v>0</v>
      </c>
      <c r="M128" s="583">
        <f t="shared" ref="M128:M134" si="44">SUM(D128:K128)</f>
        <v>0</v>
      </c>
      <c r="N128" s="63"/>
      <c r="O128"/>
      <c r="P128"/>
      <c r="Q128"/>
      <c r="R128"/>
      <c r="S128"/>
      <c r="T128"/>
    </row>
    <row r="129" spans="1:20">
      <c r="A129" s="269" t="s">
        <v>152</v>
      </c>
      <c r="B129" s="225" t="str">
        <f t="shared" si="42"/>
        <v>[Enduring Value adjustment]</v>
      </c>
      <c r="C129" s="155" t="s">
        <v>128</v>
      </c>
      <c r="D129" s="582">
        <f t="shared" si="43"/>
        <v>0</v>
      </c>
      <c r="E129" s="582">
        <f t="shared" si="43"/>
        <v>0</v>
      </c>
      <c r="F129" s="582">
        <f t="shared" si="43"/>
        <v>0</v>
      </c>
      <c r="G129" s="582">
        <f t="shared" si="43"/>
        <v>0</v>
      </c>
      <c r="H129" s="582">
        <f t="shared" si="43"/>
        <v>0</v>
      </c>
      <c r="I129" s="582">
        <f t="shared" si="43"/>
        <v>0</v>
      </c>
      <c r="J129" s="582">
        <f t="shared" si="43"/>
        <v>0</v>
      </c>
      <c r="K129" s="582">
        <f t="shared" si="43"/>
        <v>0</v>
      </c>
      <c r="L129" s="586">
        <f>SUM(D129:INDEX(D129:K129,0,MATCH('RFPR cover'!$C$7,$D$6:$K$6,0)))</f>
        <v>0</v>
      </c>
      <c r="M129" s="587">
        <f t="shared" si="44"/>
        <v>0</v>
      </c>
      <c r="N129" s="63"/>
      <c r="O129"/>
      <c r="P129"/>
      <c r="Q129"/>
      <c r="R129"/>
      <c r="S129"/>
      <c r="T129"/>
    </row>
    <row r="130" spans="1:20">
      <c r="A130" s="269" t="s">
        <v>153</v>
      </c>
      <c r="B130" s="225" t="str">
        <f t="shared" si="42"/>
        <v>[Enduring Value adjustment]</v>
      </c>
      <c r="C130" s="155" t="s">
        <v>128</v>
      </c>
      <c r="D130" s="582">
        <f t="shared" si="43"/>
        <v>0</v>
      </c>
      <c r="E130" s="582">
        <f t="shared" si="43"/>
        <v>0</v>
      </c>
      <c r="F130" s="582">
        <f t="shared" si="43"/>
        <v>0</v>
      </c>
      <c r="G130" s="582">
        <f t="shared" si="43"/>
        <v>0</v>
      </c>
      <c r="H130" s="582">
        <f t="shared" si="43"/>
        <v>0</v>
      </c>
      <c r="I130" s="582">
        <f t="shared" si="43"/>
        <v>0</v>
      </c>
      <c r="J130" s="582">
        <f t="shared" si="43"/>
        <v>0</v>
      </c>
      <c r="K130" s="582">
        <f t="shared" si="43"/>
        <v>0</v>
      </c>
      <c r="L130" s="586">
        <f>SUM(D130:INDEX(D130:K130,0,MATCH('RFPR cover'!$C$7,$D$6:$K$6,0)))</f>
        <v>0</v>
      </c>
      <c r="M130" s="587">
        <f t="shared" si="44"/>
        <v>0</v>
      </c>
      <c r="N130" s="63"/>
      <c r="O130"/>
      <c r="P130"/>
      <c r="Q130"/>
      <c r="R130"/>
      <c r="S130" s="65"/>
      <c r="T130"/>
    </row>
    <row r="131" spans="1:20">
      <c r="A131" s="269" t="s">
        <v>168</v>
      </c>
      <c r="B131" s="225" t="str">
        <f t="shared" si="42"/>
        <v>[Enduring Value adjustment]</v>
      </c>
      <c r="C131" s="155" t="s">
        <v>128</v>
      </c>
      <c r="D131" s="582">
        <f t="shared" si="43"/>
        <v>0</v>
      </c>
      <c r="E131" s="582">
        <f t="shared" si="43"/>
        <v>0</v>
      </c>
      <c r="F131" s="582">
        <f t="shared" si="43"/>
        <v>0</v>
      </c>
      <c r="G131" s="582">
        <f t="shared" si="43"/>
        <v>0</v>
      </c>
      <c r="H131" s="582">
        <f t="shared" si="43"/>
        <v>0</v>
      </c>
      <c r="I131" s="582">
        <f t="shared" si="43"/>
        <v>0</v>
      </c>
      <c r="J131" s="582">
        <f t="shared" si="43"/>
        <v>0</v>
      </c>
      <c r="K131" s="582">
        <f t="shared" si="43"/>
        <v>0</v>
      </c>
      <c r="L131" s="586">
        <f>SUM(D131:INDEX(D131:K131,0,MATCH('RFPR cover'!$C$7,$D$6:$K$6,0)))</f>
        <v>0</v>
      </c>
      <c r="M131" s="587">
        <f t="shared" si="44"/>
        <v>0</v>
      </c>
      <c r="N131" s="63"/>
      <c r="O131"/>
      <c r="P131"/>
      <c r="Q131"/>
      <c r="R131"/>
      <c r="S131"/>
      <c r="T131"/>
    </row>
    <row r="132" spans="1:20">
      <c r="A132" s="269" t="s">
        <v>169</v>
      </c>
      <c r="B132" s="225" t="str">
        <f t="shared" si="42"/>
        <v>[Enduring Value adjustment]</v>
      </c>
      <c r="C132" s="155" t="s">
        <v>128</v>
      </c>
      <c r="D132" s="582">
        <f t="shared" si="43"/>
        <v>0</v>
      </c>
      <c r="E132" s="582">
        <f t="shared" si="43"/>
        <v>0</v>
      </c>
      <c r="F132" s="582">
        <f t="shared" si="43"/>
        <v>0</v>
      </c>
      <c r="G132" s="582">
        <f t="shared" si="43"/>
        <v>0</v>
      </c>
      <c r="H132" s="582">
        <f t="shared" si="43"/>
        <v>0</v>
      </c>
      <c r="I132" s="582">
        <f t="shared" si="43"/>
        <v>0</v>
      </c>
      <c r="J132" s="582">
        <f t="shared" si="43"/>
        <v>0</v>
      </c>
      <c r="K132" s="582">
        <f t="shared" si="43"/>
        <v>0</v>
      </c>
      <c r="L132" s="586">
        <f>SUM(D132:INDEX(D132:K132,0,MATCH('RFPR cover'!$C$7,$D$6:$K$6,0)))</f>
        <v>0</v>
      </c>
      <c r="M132" s="587">
        <f t="shared" si="44"/>
        <v>0</v>
      </c>
      <c r="N132" s="63"/>
      <c r="O132"/>
      <c r="P132"/>
      <c r="Q132"/>
      <c r="R132"/>
      <c r="S132"/>
      <c r="T132"/>
    </row>
    <row r="133" spans="1:20">
      <c r="A133" s="269" t="s">
        <v>170</v>
      </c>
      <c r="B133" s="225" t="str">
        <f t="shared" si="42"/>
        <v>[Enduring Value adjustment]</v>
      </c>
      <c r="C133" s="155" t="s">
        <v>128</v>
      </c>
      <c r="D133" s="582">
        <f t="shared" si="43"/>
        <v>0</v>
      </c>
      <c r="E133" s="582">
        <f t="shared" si="43"/>
        <v>0</v>
      </c>
      <c r="F133" s="582">
        <f t="shared" si="43"/>
        <v>0</v>
      </c>
      <c r="G133" s="582">
        <f t="shared" si="43"/>
        <v>0</v>
      </c>
      <c r="H133" s="582">
        <f t="shared" si="43"/>
        <v>0</v>
      </c>
      <c r="I133" s="582">
        <f t="shared" si="43"/>
        <v>0</v>
      </c>
      <c r="J133" s="582">
        <f t="shared" si="43"/>
        <v>0</v>
      </c>
      <c r="K133" s="582">
        <f t="shared" si="43"/>
        <v>0</v>
      </c>
      <c r="L133" s="590">
        <f>SUM(D133:INDEX(D133:K133,0,MATCH('RFPR cover'!$C$7,$D$6:$K$6,0)))</f>
        <v>0</v>
      </c>
      <c r="M133" s="591">
        <f t="shared" si="44"/>
        <v>0</v>
      </c>
      <c r="N133" s="63"/>
      <c r="O133"/>
      <c r="P133"/>
      <c r="Q133"/>
      <c r="R133"/>
      <c r="S133"/>
      <c r="T133"/>
    </row>
    <row r="134" spans="1:20">
      <c r="A134" s="35"/>
      <c r="B134" s="752" t="s">
        <v>190</v>
      </c>
      <c r="C134" s="155" t="s">
        <v>128</v>
      </c>
      <c r="D134" s="102">
        <f>SUM(D128:D133)</f>
        <v>0</v>
      </c>
      <c r="E134" s="103">
        <f t="shared" ref="E134:K134" si="45">SUM(E128:E133)</f>
        <v>0</v>
      </c>
      <c r="F134" s="103">
        <f t="shared" si="45"/>
        <v>0</v>
      </c>
      <c r="G134" s="103">
        <f t="shared" si="45"/>
        <v>0</v>
      </c>
      <c r="H134" s="103">
        <f t="shared" si="45"/>
        <v>0</v>
      </c>
      <c r="I134" s="103">
        <f t="shared" si="45"/>
        <v>0</v>
      </c>
      <c r="J134" s="103">
        <f t="shared" si="45"/>
        <v>0</v>
      </c>
      <c r="K134" s="103">
        <f t="shared" si="45"/>
        <v>0</v>
      </c>
      <c r="L134" s="102">
        <f>SUM(D134:INDEX(D134:K134,0,MATCH('RFPR cover'!$C$7,$D$6:$K$6,0)))</f>
        <v>0</v>
      </c>
      <c r="M134" s="104">
        <f t="shared" si="44"/>
        <v>0</v>
      </c>
      <c r="N134" s="63"/>
    </row>
    <row r="135" spans="1:20">
      <c r="A135" s="35"/>
      <c r="B135" s="744"/>
    </row>
    <row r="136" spans="1:20">
      <c r="A136" s="35"/>
      <c r="B136" s="751" t="s">
        <v>198</v>
      </c>
      <c r="C136" s="159" t="s">
        <v>128</v>
      </c>
      <c r="D136" s="95">
        <f t="shared" ref="D136:K136" si="46">D134*D122</f>
        <v>0</v>
      </c>
      <c r="E136" s="96">
        <f t="shared" si="46"/>
        <v>0</v>
      </c>
      <c r="F136" s="96">
        <f t="shared" si="46"/>
        <v>0</v>
      </c>
      <c r="G136" s="96">
        <f t="shared" si="46"/>
        <v>0</v>
      </c>
      <c r="H136" s="96">
        <f t="shared" si="46"/>
        <v>0</v>
      </c>
      <c r="I136" s="96">
        <f t="shared" si="46"/>
        <v>0</v>
      </c>
      <c r="J136" s="96">
        <f t="shared" si="46"/>
        <v>0</v>
      </c>
      <c r="K136" s="96">
        <f t="shared" si="46"/>
        <v>0</v>
      </c>
      <c r="L136" s="95">
        <f>SUM(D136:INDEX(D136:K136,0,MATCH('RFPR cover'!$C$7,$D$6:$K$6,0)))</f>
        <v>0</v>
      </c>
      <c r="M136" s="97">
        <f>SUM(D136:K136)</f>
        <v>0</v>
      </c>
    </row>
    <row r="137" spans="1:20">
      <c r="A137" s="35"/>
      <c r="B137" s="751" t="s">
        <v>305</v>
      </c>
      <c r="C137" s="159" t="s">
        <v>128</v>
      </c>
      <c r="D137" s="92">
        <f t="shared" ref="D137:K137" si="47">D134*(1-D122)</f>
        <v>0</v>
      </c>
      <c r="E137" s="93">
        <f t="shared" si="47"/>
        <v>0</v>
      </c>
      <c r="F137" s="93">
        <f t="shared" si="47"/>
        <v>0</v>
      </c>
      <c r="G137" s="93">
        <f t="shared" si="47"/>
        <v>0</v>
      </c>
      <c r="H137" s="93">
        <f t="shared" si="47"/>
        <v>0</v>
      </c>
      <c r="I137" s="93">
        <f t="shared" si="47"/>
        <v>0</v>
      </c>
      <c r="J137" s="93">
        <f t="shared" si="47"/>
        <v>0</v>
      </c>
      <c r="K137" s="93">
        <f t="shared" si="47"/>
        <v>0</v>
      </c>
      <c r="L137" s="92">
        <f>SUM(D137:INDEX(D137:K137,0,MATCH('RFPR cover'!$C$7,$D$6:$K$6,0)))</f>
        <v>0</v>
      </c>
      <c r="M137" s="94">
        <f>SUM(D137:K137)</f>
        <v>0</v>
      </c>
    </row>
    <row r="138" spans="1:20">
      <c r="A138" s="35"/>
      <c r="B138" s="744"/>
    </row>
    <row r="139" spans="1:20">
      <c r="A139" s="35"/>
      <c r="B139" s="752" t="s">
        <v>181</v>
      </c>
    </row>
    <row r="140" spans="1:20">
      <c r="A140" s="35"/>
      <c r="B140" s="744" t="s">
        <v>180</v>
      </c>
      <c r="C140" s="155" t="s">
        <v>128</v>
      </c>
      <c r="D140" s="95">
        <f>D124+D136</f>
        <v>0</v>
      </c>
      <c r="E140" s="96">
        <f t="shared" ref="E140:K140" si="48">E124+E136</f>
        <v>0</v>
      </c>
      <c r="F140" s="96">
        <f t="shared" si="48"/>
        <v>0</v>
      </c>
      <c r="G140" s="96">
        <f t="shared" si="48"/>
        <v>0</v>
      </c>
      <c r="H140" s="96">
        <f t="shared" si="48"/>
        <v>0</v>
      </c>
      <c r="I140" s="96">
        <f t="shared" si="48"/>
        <v>0</v>
      </c>
      <c r="J140" s="96">
        <f t="shared" si="48"/>
        <v>0</v>
      </c>
      <c r="K140" s="96">
        <f t="shared" si="48"/>
        <v>0</v>
      </c>
      <c r="L140" s="95">
        <f>SUM(D140:INDEX(D140:K140,0,MATCH('RFPR cover'!$C$7,$D$6:$K$6,0)))</f>
        <v>0</v>
      </c>
      <c r="M140" s="97">
        <f>SUM(D140:K140)</f>
        <v>0</v>
      </c>
    </row>
    <row r="141" spans="1:20">
      <c r="A141" s="35"/>
      <c r="B141" s="744" t="s">
        <v>276</v>
      </c>
      <c r="C141" s="155" t="s">
        <v>128</v>
      </c>
      <c r="D141" s="98">
        <f>D125+D137</f>
        <v>0</v>
      </c>
      <c r="E141" s="99">
        <f t="shared" ref="E141:K141" si="49">E125+E137</f>
        <v>0</v>
      </c>
      <c r="F141" s="99">
        <f t="shared" si="49"/>
        <v>0</v>
      </c>
      <c r="G141" s="99">
        <f t="shared" si="49"/>
        <v>0</v>
      </c>
      <c r="H141" s="99">
        <f t="shared" si="49"/>
        <v>0</v>
      </c>
      <c r="I141" s="99">
        <f t="shared" si="49"/>
        <v>0</v>
      </c>
      <c r="J141" s="99">
        <f t="shared" si="49"/>
        <v>0</v>
      </c>
      <c r="K141" s="99">
        <f t="shared" si="49"/>
        <v>0</v>
      </c>
      <c r="L141" s="98">
        <f>SUM(D141:INDEX(D141:K141,0,MATCH('RFPR cover'!$C$7,$D$6:$K$6,0)))</f>
        <v>0</v>
      </c>
      <c r="M141" s="100">
        <f>SUM(D141:K141)</f>
        <v>0</v>
      </c>
    </row>
    <row r="142" spans="1:20">
      <c r="A142" s="35"/>
      <c r="B142" s="752" t="s">
        <v>11</v>
      </c>
      <c r="C142" s="156" t="s">
        <v>128</v>
      </c>
      <c r="D142" s="139">
        <f>SUM(D140:D141)</f>
        <v>0</v>
      </c>
      <c r="E142" s="140">
        <f t="shared" ref="E142:K142" si="50">SUM(E140:E141)</f>
        <v>0</v>
      </c>
      <c r="F142" s="140">
        <f t="shared" si="50"/>
        <v>0</v>
      </c>
      <c r="G142" s="140">
        <f t="shared" si="50"/>
        <v>0</v>
      </c>
      <c r="H142" s="140">
        <f t="shared" si="50"/>
        <v>0</v>
      </c>
      <c r="I142" s="140">
        <f t="shared" si="50"/>
        <v>0</v>
      </c>
      <c r="J142" s="140">
        <f t="shared" si="50"/>
        <v>0</v>
      </c>
      <c r="K142" s="140">
        <f t="shared" si="50"/>
        <v>0</v>
      </c>
      <c r="L142" s="139">
        <f>SUM(D142:INDEX(D142:K142,0,MATCH('RFPR cover'!$C$7,$D$6:$K$6,0)))</f>
        <v>0</v>
      </c>
      <c r="M142" s="141">
        <f>SUM(D142:K142)</f>
        <v>0</v>
      </c>
    </row>
    <row r="143" spans="1:20">
      <c r="A143" s="35"/>
      <c r="B143" s="752"/>
      <c r="C143" s="156"/>
      <c r="D143" s="156"/>
      <c r="E143" s="156"/>
      <c r="F143" s="156"/>
      <c r="G143" s="156"/>
      <c r="H143" s="156"/>
      <c r="I143" s="156"/>
      <c r="J143" s="156"/>
      <c r="K143" s="156"/>
      <c r="L143" s="156"/>
      <c r="M143" s="156"/>
    </row>
    <row r="144" spans="1:20">
      <c r="A144" s="35"/>
      <c r="B144" s="747" t="s">
        <v>253</v>
      </c>
      <c r="C144" s="150"/>
      <c r="D144" s="82"/>
      <c r="E144" s="82"/>
      <c r="F144" s="82"/>
      <c r="G144" s="82"/>
      <c r="H144" s="82"/>
      <c r="I144" s="82"/>
      <c r="J144" s="82"/>
      <c r="K144" s="82"/>
      <c r="L144" s="82"/>
      <c r="M144" s="82"/>
      <c r="N144" s="82"/>
    </row>
    <row r="145" spans="1:20">
      <c r="A145" s="35"/>
      <c r="B145" s="744"/>
      <c r="O145"/>
      <c r="P145"/>
      <c r="Q145"/>
      <c r="R145"/>
      <c r="S145"/>
      <c r="T145"/>
    </row>
    <row r="146" spans="1:20">
      <c r="A146" s="35"/>
      <c r="B146" s="752" t="s">
        <v>181</v>
      </c>
    </row>
    <row r="147" spans="1:20">
      <c r="A147" s="35"/>
      <c r="B147" s="744" t="s">
        <v>180</v>
      </c>
      <c r="C147" s="155" t="s">
        <v>128</v>
      </c>
      <c r="D147" s="95">
        <f>D112+D140</f>
        <v>4.1363612809881518</v>
      </c>
      <c r="E147" s="96">
        <f t="shared" ref="E147:K147" si="51">E112+E140</f>
        <v>5.967734017509132</v>
      </c>
      <c r="F147" s="96">
        <f t="shared" si="51"/>
        <v>-7.7905100782983849</v>
      </c>
      <c r="G147" s="96">
        <f t="shared" si="51"/>
        <v>5.3873627185798636</v>
      </c>
      <c r="H147" s="96">
        <f t="shared" si="51"/>
        <v>5.5624537662121876</v>
      </c>
      <c r="I147" s="96">
        <f t="shared" si="51"/>
        <v>-1.0146133122698995</v>
      </c>
      <c r="J147" s="96">
        <f t="shared" si="51"/>
        <v>0.84399949575639965</v>
      </c>
      <c r="K147" s="96">
        <f t="shared" si="51"/>
        <v>1.192622603060308</v>
      </c>
      <c r="L147" s="95">
        <f>SUM(D147:INDEX(D147:K147,0,MATCH('RFPR cover'!$C$7,$D$6:$K$6,0)))</f>
        <v>14.285410491537759</v>
      </c>
      <c r="M147" s="97">
        <f>SUM(D147:K147)</f>
        <v>14.285410491537759</v>
      </c>
    </row>
    <row r="148" spans="1:20">
      <c r="A148" s="35"/>
      <c r="B148" s="744" t="s">
        <v>276</v>
      </c>
      <c r="C148" s="155" t="s">
        <v>128</v>
      </c>
      <c r="D148" s="98">
        <f t="shared" ref="D148:K148" si="52">D113+D141</f>
        <v>9.6515096556390194</v>
      </c>
      <c r="E148" s="99">
        <f t="shared" si="52"/>
        <v>13.924712707521305</v>
      </c>
      <c r="F148" s="99">
        <f t="shared" si="52"/>
        <v>-18.17785684936289</v>
      </c>
      <c r="G148" s="99">
        <f t="shared" si="52"/>
        <v>12.570513010019681</v>
      </c>
      <c r="H148" s="99">
        <f t="shared" si="52"/>
        <v>12.979058787828436</v>
      </c>
      <c r="I148" s="99">
        <f t="shared" si="52"/>
        <v>-2.3674310619630976</v>
      </c>
      <c r="J148" s="99">
        <f t="shared" si="52"/>
        <v>1.9693321567649313</v>
      </c>
      <c r="K148" s="99">
        <f t="shared" si="52"/>
        <v>2.7827860738073866</v>
      </c>
      <c r="L148" s="98">
        <f>SUM(D148:INDEX(D148:K148,0,MATCH('RFPR cover'!$C$7,$D$6:$K$6,0)))</f>
        <v>33.332624480254779</v>
      </c>
      <c r="M148" s="100">
        <f>SUM(D148:K148)</f>
        <v>33.332624480254779</v>
      </c>
    </row>
    <row r="149" spans="1:20">
      <c r="A149" s="35"/>
      <c r="B149" s="752" t="s">
        <v>11</v>
      </c>
      <c r="C149" s="156" t="s">
        <v>128</v>
      </c>
      <c r="D149" s="139">
        <f>SUM(D147:D148)</f>
        <v>13.787870936627172</v>
      </c>
      <c r="E149" s="140">
        <f t="shared" ref="E149:K149" si="53">SUM(E147:E148)</f>
        <v>19.892446725030439</v>
      </c>
      <c r="F149" s="140">
        <f t="shared" si="53"/>
        <v>-25.968366927661275</v>
      </c>
      <c r="G149" s="140">
        <f t="shared" si="53"/>
        <v>17.957875728599547</v>
      </c>
      <c r="H149" s="140">
        <f t="shared" si="53"/>
        <v>18.541512554040622</v>
      </c>
      <c r="I149" s="140">
        <f t="shared" si="53"/>
        <v>-3.3820443742329971</v>
      </c>
      <c r="J149" s="140">
        <f t="shared" si="53"/>
        <v>2.813331652521331</v>
      </c>
      <c r="K149" s="140">
        <f t="shared" si="53"/>
        <v>3.9754086768676946</v>
      </c>
      <c r="L149" s="139">
        <f>SUM(D149:INDEX(D149:K149,0,MATCH('RFPR cover'!$C$7,$D$6:$K$6,0)))</f>
        <v>47.618034971792532</v>
      </c>
      <c r="M149" s="141">
        <f>SUM(D149:K149)</f>
        <v>47.618034971792532</v>
      </c>
    </row>
    <row r="150" spans="1:20">
      <c r="A150" s="35"/>
      <c r="B150" s="751"/>
      <c r="D150" s="136"/>
      <c r="E150" s="136"/>
      <c r="F150" s="136"/>
      <c r="G150" s="136"/>
      <c r="H150" s="136"/>
      <c r="I150" s="136"/>
      <c r="J150" s="136"/>
      <c r="K150" s="136"/>
    </row>
    <row r="151" spans="1:20">
      <c r="A151" s="35"/>
      <c r="B151" s="744"/>
    </row>
    <row r="152" spans="1:20">
      <c r="A152" s="82"/>
      <c r="B152" s="743"/>
      <c r="C152" s="150"/>
      <c r="D152" s="82"/>
      <c r="E152" s="82"/>
      <c r="F152" s="82"/>
      <c r="G152" s="82"/>
      <c r="H152" s="82"/>
      <c r="I152" s="82"/>
      <c r="J152" s="82"/>
      <c r="K152" s="82"/>
      <c r="L152" s="82"/>
      <c r="M152" s="82"/>
      <c r="N152" s="82"/>
    </row>
    <row r="153" spans="1:20">
      <c r="B153" s="744"/>
    </row>
    <row r="154" spans="1:20">
      <c r="B154" s="744"/>
    </row>
  </sheetData>
  <mergeCells count="3">
    <mergeCell ref="O42:Q42"/>
    <mergeCell ref="O92:Q92"/>
    <mergeCell ref="O120:Q120"/>
  </mergeCells>
  <conditionalFormatting sqref="D6:K6">
    <cfRule type="expression" dxfId="70" priority="7">
      <formula>AND(D$5="Actuals",E$5="Forecast")</formula>
    </cfRule>
  </conditionalFormatting>
  <conditionalFormatting sqref="B118:M142">
    <cfRule type="expression" dxfId="69" priority="3">
      <formula>$B$38="n/a"</formula>
    </cfRule>
  </conditionalFormatting>
  <conditionalFormatting sqref="D5:K5">
    <cfRule type="expression" dxfId="68" priority="2">
      <formula>AND(D$5="Actuals",E$5="Forecast")</formula>
    </cfRule>
  </conditionalFormatting>
  <conditionalFormatting sqref="B38:N64">
    <cfRule type="expression" dxfId="67"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AB114"/>
  <sheetViews>
    <sheetView showGridLines="0" topLeftCell="B1" zoomScale="70" zoomScaleNormal="70" workbookViewId="0">
      <pane ySplit="6" topLeftCell="A7" activePane="bottomLeft" state="frozen"/>
      <selection activeCell="I14" sqref="I14"/>
      <selection pane="bottomLeft" activeCell="I12" sqref="I12"/>
    </sheetView>
  </sheetViews>
  <sheetFormatPr defaultRowHeight="12.75"/>
  <cols>
    <col min="1" max="1" width="8.375" customWidth="1"/>
    <col min="2" max="2" width="71.375" bestFit="1" customWidth="1"/>
    <col min="3" max="3" width="13.375" style="136" customWidth="1"/>
    <col min="4" max="11" width="11.125" customWidth="1"/>
    <col min="12" max="12" width="12.875" customWidth="1"/>
    <col min="13" max="13" width="12.75" customWidth="1"/>
    <col min="14" max="14" width="5" customWidth="1"/>
    <col min="17" max="17" width="10.625" bestFit="1" customWidth="1"/>
  </cols>
  <sheetData>
    <row r="1" spans="1:28" s="37" customFormat="1" ht="20.25">
      <c r="A1" s="898" t="s">
        <v>258</v>
      </c>
      <c r="B1" s="899"/>
      <c r="C1" s="153"/>
      <c r="D1" s="131"/>
      <c r="E1" s="131"/>
      <c r="F1" s="131"/>
      <c r="G1" s="131"/>
      <c r="H1" s="131"/>
      <c r="I1" s="127"/>
      <c r="J1" s="127"/>
      <c r="K1" s="127"/>
      <c r="L1" s="127"/>
      <c r="M1" s="127"/>
      <c r="N1" s="128"/>
    </row>
    <row r="2" spans="1:28" s="37" customFormat="1" ht="20.25">
      <c r="A2" s="900" t="str">
        <f>'RFPR cover'!C5</f>
        <v>NGED-SWALES</v>
      </c>
      <c r="B2" s="901"/>
      <c r="C2" s="154"/>
      <c r="D2" s="36"/>
      <c r="E2" s="36"/>
      <c r="F2" s="36"/>
      <c r="G2" s="36"/>
      <c r="H2" s="36"/>
      <c r="I2" s="27"/>
      <c r="J2" s="27"/>
      <c r="K2" s="27"/>
      <c r="L2" s="27"/>
      <c r="M2" s="27"/>
      <c r="N2" s="123"/>
    </row>
    <row r="3" spans="1:28" s="37" customFormat="1" ht="20.25">
      <c r="A3" s="902">
        <f>'RFPR cover'!C7</f>
        <v>2023</v>
      </c>
      <c r="B3" s="903"/>
      <c r="C3" s="135"/>
      <c r="D3" s="132"/>
      <c r="E3" s="132"/>
      <c r="F3" s="132"/>
      <c r="G3" s="132"/>
      <c r="H3" s="132"/>
      <c r="I3" s="28"/>
      <c r="J3" s="28"/>
      <c r="K3" s="28"/>
      <c r="L3" s="28"/>
      <c r="M3" s="28"/>
      <c r="N3" s="125"/>
    </row>
    <row r="4" spans="1:28" s="2" customFormat="1" ht="12.75" customHeight="1">
      <c r="B4" s="3"/>
      <c r="C4" s="136"/>
    </row>
    <row r="5" spans="1:28" s="2" customFormat="1" ht="12.75" customHeigh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28" s="2" customFormat="1" ht="29.25" customHeigh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2023</v>
      </c>
      <c r="M6" s="119" t="s">
        <v>109</v>
      </c>
    </row>
    <row r="7" spans="1:28" s="2" customFormat="1">
      <c r="A7" s="35"/>
      <c r="C7" s="136"/>
    </row>
    <row r="8" spans="1:28" s="2" customFormat="1">
      <c r="A8" s="35"/>
      <c r="B8" s="116" t="s">
        <v>199</v>
      </c>
      <c r="C8" s="150"/>
      <c r="D8" s="81"/>
      <c r="E8" s="81"/>
      <c r="F8" s="81"/>
      <c r="G8" s="81"/>
      <c r="H8" s="81"/>
      <c r="I8" s="81"/>
      <c r="J8" s="81"/>
      <c r="K8" s="81"/>
      <c r="L8" s="81"/>
      <c r="M8" s="81"/>
      <c r="N8" s="81"/>
    </row>
    <row r="9" spans="1:28" s="2" customFormat="1">
      <c r="A9" s="35"/>
      <c r="B9" s="367" t="s">
        <v>383</v>
      </c>
      <c r="C9" s="367"/>
      <c r="D9" s="367"/>
      <c r="E9" s="367"/>
      <c r="F9" s="367"/>
      <c r="G9" s="367"/>
      <c r="H9" s="367"/>
      <c r="I9" s="367"/>
      <c r="J9" s="367"/>
      <c r="K9" s="367"/>
      <c r="L9" s="367"/>
      <c r="M9" s="367"/>
      <c r="N9" s="367"/>
      <c r="AA9" s="921"/>
    </row>
    <row r="10" spans="1:28" s="2" customFormat="1">
      <c r="A10" s="35"/>
      <c r="B10" s="12"/>
      <c r="C10" s="136"/>
    </row>
    <row r="11" spans="1:28" s="2" customFormat="1">
      <c r="A11" s="224" t="s">
        <v>151</v>
      </c>
      <c r="B11" s="35" t="str">
        <f>Data!B153</f>
        <v>Broad measure of customer service</v>
      </c>
      <c r="C11" s="155" t="str">
        <f>'RFPR cover'!$C$14</f>
        <v>£m 12/13</v>
      </c>
      <c r="D11" s="592">
        <v>2.592000000000001</v>
      </c>
      <c r="E11" s="592">
        <v>2.4577</v>
      </c>
      <c r="F11" s="592">
        <v>2.7549999999999999</v>
      </c>
      <c r="G11" s="592">
        <v>2.6829999999999998</v>
      </c>
      <c r="H11" s="595">
        <v>2.1429999999999998</v>
      </c>
      <c r="I11" s="595">
        <v>2.1429999999999998</v>
      </c>
      <c r="J11" s="593">
        <v>2.0466948146088897</v>
      </c>
      <c r="K11" s="593">
        <v>2.1429999999999998</v>
      </c>
      <c r="L11" s="654">
        <f>SUM(D11:INDEX(D11:K11,0,MATCH('RFPR cover'!$C$7,$D$6:$K$6,0)))</f>
        <v>18.963394814608893</v>
      </c>
      <c r="M11" s="655">
        <f t="shared" ref="M11:M17" si="1">SUM(D11:K11)</f>
        <v>18.963394814608893</v>
      </c>
      <c r="O11" s="323"/>
      <c r="P11" s="913"/>
      <c r="Q11" s="913"/>
      <c r="R11" s="967"/>
      <c r="S11" s="913"/>
      <c r="T11" s="913"/>
      <c r="U11" s="913"/>
      <c r="AA11" s="920"/>
      <c r="AB11" s="920"/>
    </row>
    <row r="12" spans="1:28" s="2" customFormat="1">
      <c r="A12" s="224" t="s">
        <v>152</v>
      </c>
      <c r="B12" s="35" t="str">
        <f>Data!B154</f>
        <v>Interruptions-related quality of service</v>
      </c>
      <c r="C12" s="155" t="str">
        <f>'RFPR cover'!$C$14</f>
        <v>£m 12/13</v>
      </c>
      <c r="D12" s="592">
        <v>4.3155413062815349</v>
      </c>
      <c r="E12" s="592">
        <v>4.6832621226325175</v>
      </c>
      <c r="F12" s="592">
        <v>2.5046019026671491</v>
      </c>
      <c r="G12" s="592">
        <v>4.8500493827160494</v>
      </c>
      <c r="H12" s="595">
        <v>4.8865545610039849</v>
      </c>
      <c r="I12" s="595">
        <v>5.1111969392542402</v>
      </c>
      <c r="J12" s="593">
        <v>4.7462592592592578</v>
      </c>
      <c r="K12" s="595">
        <v>3.3294938271604932</v>
      </c>
      <c r="L12" s="658">
        <f>SUM(D12:INDEX(D12:K12,0,MATCH('RFPR cover'!$C$7,$D$6:$K$6,0)))</f>
        <v>34.426959300975227</v>
      </c>
      <c r="M12" s="659">
        <f t="shared" si="1"/>
        <v>34.426959300975227</v>
      </c>
      <c r="O12" s="323"/>
      <c r="P12" s="913"/>
      <c r="Q12" s="967"/>
      <c r="R12" s="967"/>
      <c r="S12" s="913"/>
      <c r="T12" s="913"/>
      <c r="U12" s="913"/>
      <c r="AA12" s="920"/>
      <c r="AB12" s="913"/>
    </row>
    <row r="13" spans="1:28" s="2" customFormat="1">
      <c r="A13" s="224" t="s">
        <v>153</v>
      </c>
      <c r="B13" s="35" t="str">
        <f>Data!B155</f>
        <v>Incentive on connections engagement</v>
      </c>
      <c r="C13" s="155" t="str">
        <f>'RFPR cover'!$C$14</f>
        <v>£m 12/13</v>
      </c>
      <c r="D13" s="592">
        <v>0</v>
      </c>
      <c r="E13" s="592">
        <v>0</v>
      </c>
      <c r="F13" s="592">
        <v>0</v>
      </c>
      <c r="G13" s="592">
        <v>0</v>
      </c>
      <c r="H13" s="595">
        <v>0</v>
      </c>
      <c r="I13" s="595">
        <v>0</v>
      </c>
      <c r="J13" s="595">
        <v>0</v>
      </c>
      <c r="K13" s="595">
        <v>0</v>
      </c>
      <c r="L13" s="658">
        <f>SUM(D13:INDEX(D13:K13,0,MATCH('RFPR cover'!$C$7,$D$6:$K$6,0)))</f>
        <v>0</v>
      </c>
      <c r="M13" s="659">
        <f t="shared" si="1"/>
        <v>0</v>
      </c>
      <c r="O13" s="323"/>
      <c r="P13" s="913"/>
      <c r="Q13" s="913"/>
      <c r="R13" s="913"/>
      <c r="S13" s="913"/>
      <c r="T13" s="913"/>
      <c r="U13" s="913"/>
      <c r="AA13" s="920"/>
      <c r="AB13" s="913"/>
    </row>
    <row r="14" spans="1:28" s="2" customFormat="1">
      <c r="A14" s="224" t="s">
        <v>168</v>
      </c>
      <c r="B14" s="35" t="str">
        <f>Data!B156</f>
        <v>Time to Connect Incentive</v>
      </c>
      <c r="C14" s="155" t="str">
        <f>'RFPR cover'!$C$14</f>
        <v>£m 12/13</v>
      </c>
      <c r="D14" s="592">
        <v>0.45710000000000017</v>
      </c>
      <c r="E14" s="592">
        <v>0.66798362121582</v>
      </c>
      <c r="F14" s="592">
        <v>0.74190000000000011</v>
      </c>
      <c r="G14" s="592">
        <v>0.78600000000000014</v>
      </c>
      <c r="H14" s="595">
        <v>0.8</v>
      </c>
      <c r="I14" s="595">
        <v>0.68087483696441664</v>
      </c>
      <c r="J14" s="595">
        <v>0.62158510185699423</v>
      </c>
      <c r="K14" s="595">
        <v>0.49353135663452119</v>
      </c>
      <c r="L14" s="658">
        <f>SUM(D14:INDEX(D14:K14,0,MATCH('RFPR cover'!$C$7,$D$6:$K$6,0)))</f>
        <v>5.2489749166717523</v>
      </c>
      <c r="M14" s="659">
        <f t="shared" si="1"/>
        <v>5.2489749166717523</v>
      </c>
      <c r="O14" s="323"/>
      <c r="P14" s="913"/>
      <c r="Q14" s="913"/>
      <c r="R14" s="913"/>
      <c r="S14" s="913"/>
      <c r="T14" s="913"/>
      <c r="U14" s="913"/>
      <c r="AA14" s="920"/>
      <c r="AB14" s="913"/>
    </row>
    <row r="15" spans="1:28" s="2" customFormat="1">
      <c r="A15" s="224" t="s">
        <v>169</v>
      </c>
      <c r="B15" s="35" t="str">
        <f>Data!B157</f>
        <v>Losses discretionary reward scheme</v>
      </c>
      <c r="C15" s="155" t="str">
        <f>'RFPR cover'!$C$14</f>
        <v>£m 12/13</v>
      </c>
      <c r="D15" s="592">
        <v>0</v>
      </c>
      <c r="E15" s="592">
        <v>0.04</v>
      </c>
      <c r="F15" s="592">
        <v>0</v>
      </c>
      <c r="G15" s="592">
        <v>0</v>
      </c>
      <c r="H15" s="595">
        <v>0</v>
      </c>
      <c r="I15" s="595">
        <v>0</v>
      </c>
      <c r="J15" s="595">
        <v>0</v>
      </c>
      <c r="K15" s="595">
        <v>0</v>
      </c>
      <c r="L15" s="658">
        <f>SUM(D15:INDEX(D15:K15,0,MATCH('RFPR cover'!$C$7,$D$6:$K$6,0)))</f>
        <v>0.04</v>
      </c>
      <c r="M15" s="659">
        <f t="shared" si="1"/>
        <v>0.04</v>
      </c>
      <c r="O15" s="323"/>
      <c r="P15" s="913"/>
      <c r="Q15" s="913"/>
      <c r="R15" s="913"/>
      <c r="S15" s="913"/>
      <c r="T15" s="913"/>
      <c r="U15" s="913"/>
      <c r="AA15" s="920"/>
      <c r="AB15" s="920"/>
    </row>
    <row r="16" spans="1:28" s="2" customFormat="1">
      <c r="A16" s="224" t="s">
        <v>170</v>
      </c>
      <c r="B16" s="35" t="str">
        <f>Data!B158</f>
        <v/>
      </c>
      <c r="C16" s="155" t="str">
        <f>'RFPR cover'!$C$14</f>
        <v>£m 12/13</v>
      </c>
      <c r="D16" s="594">
        <v>0</v>
      </c>
      <c r="E16" s="595">
        <v>0</v>
      </c>
      <c r="F16" s="595">
        <v>0</v>
      </c>
      <c r="G16" s="595">
        <v>0</v>
      </c>
      <c r="H16" s="595">
        <v>0</v>
      </c>
      <c r="I16" s="595">
        <v>0</v>
      </c>
      <c r="J16" s="595">
        <v>0</v>
      </c>
      <c r="K16" s="595"/>
      <c r="L16" s="658">
        <f>SUM(D16:INDEX(D16:K16,0,MATCH('RFPR cover'!$C$7,$D$6:$K$6,0)))</f>
        <v>0</v>
      </c>
      <c r="M16" s="659">
        <f t="shared" si="1"/>
        <v>0</v>
      </c>
      <c r="P16" s="913"/>
      <c r="Q16" s="913"/>
      <c r="R16" s="913"/>
    </row>
    <row r="17" spans="1:18" s="2" customFormat="1">
      <c r="A17" s="224" t="s">
        <v>471</v>
      </c>
      <c r="B17" s="35" t="str">
        <f>Data!B159</f>
        <v/>
      </c>
      <c r="C17" s="155" t="str">
        <f>'RFPR cover'!$C$14</f>
        <v>£m 12/13</v>
      </c>
      <c r="D17" s="954">
        <v>0</v>
      </c>
      <c r="E17" s="818">
        <v>0</v>
      </c>
      <c r="F17" s="818">
        <v>0</v>
      </c>
      <c r="G17" s="818">
        <v>0</v>
      </c>
      <c r="H17" s="818">
        <v>0</v>
      </c>
      <c r="I17" s="818">
        <v>0</v>
      </c>
      <c r="J17" s="818">
        <v>0</v>
      </c>
      <c r="K17" s="819"/>
      <c r="L17" s="658">
        <f>SUM(D17:INDEX(D17:K17,0,MATCH('RFPR cover'!$C$7,$D$6:$K$6,0)))</f>
        <v>0</v>
      </c>
      <c r="M17" s="659">
        <f t="shared" si="1"/>
        <v>0</v>
      </c>
      <c r="P17" s="913"/>
      <c r="Q17" s="913"/>
      <c r="R17" s="913"/>
    </row>
    <row r="18" spans="1:18" s="2" customFormat="1">
      <c r="A18" s="35"/>
      <c r="B18" s="12" t="s">
        <v>203</v>
      </c>
      <c r="C18" s="156" t="str">
        <f>'RFPR cover'!$C$14</f>
        <v>£m 12/13</v>
      </c>
      <c r="D18" s="607">
        <f>SUM(D11:D17)</f>
        <v>7.3646413062815359</v>
      </c>
      <c r="E18" s="607">
        <f t="shared" ref="E18:K18" si="2">SUM(E11:E17)</f>
        <v>7.8489457438483372</v>
      </c>
      <c r="F18" s="607">
        <f t="shared" si="2"/>
        <v>6.0015019026671492</v>
      </c>
      <c r="G18" s="607">
        <f t="shared" si="2"/>
        <v>8.3190493827160488</v>
      </c>
      <c r="H18" s="607">
        <f t="shared" si="2"/>
        <v>7.8295545610039845</v>
      </c>
      <c r="I18" s="607">
        <f t="shared" si="2"/>
        <v>7.9350717762186562</v>
      </c>
      <c r="J18" s="607">
        <f t="shared" si="2"/>
        <v>7.4145391757251415</v>
      </c>
      <c r="K18" s="607">
        <f t="shared" si="2"/>
        <v>5.966025183795014</v>
      </c>
      <c r="L18" s="607">
        <f>SUM(L11:L17)</f>
        <v>58.679329032255872</v>
      </c>
      <c r="M18" s="607">
        <f>SUM(M11:M17)</f>
        <v>58.679329032255872</v>
      </c>
    </row>
    <row r="19" spans="1:18" s="2" customFormat="1">
      <c r="A19" s="35"/>
      <c r="B19" s="12"/>
      <c r="C19" s="156"/>
      <c r="D19" s="156"/>
      <c r="E19" s="156"/>
      <c r="F19" s="156"/>
      <c r="G19" s="156"/>
      <c r="H19" s="156"/>
      <c r="I19" s="156"/>
      <c r="J19" s="156"/>
      <c r="K19" s="156"/>
      <c r="L19" s="156"/>
      <c r="M19" s="156"/>
    </row>
    <row r="20" spans="1:18" s="2" customFormat="1">
      <c r="A20" s="35"/>
      <c r="B20" s="12" t="s">
        <v>366</v>
      </c>
      <c r="C20" s="156"/>
      <c r="D20" s="156"/>
      <c r="E20" s="156"/>
      <c r="F20" s="156"/>
      <c r="G20" s="156"/>
      <c r="H20" s="156"/>
      <c r="I20" s="156"/>
      <c r="J20" s="156"/>
      <c r="K20" s="156"/>
      <c r="L20" s="156"/>
      <c r="M20" s="156"/>
    </row>
    <row r="21" spans="1:18" s="2" customFormat="1" ht="45.75" customHeight="1">
      <c r="A21" s="269" t="str">
        <f>A11</f>
        <v>a</v>
      </c>
      <c r="B21" s="1018" t="s">
        <v>652</v>
      </c>
      <c r="C21" s="1018"/>
      <c r="D21" s="1018"/>
      <c r="E21" s="1018"/>
      <c r="F21" s="1018"/>
      <c r="G21" s="1018"/>
      <c r="H21" s="1018"/>
      <c r="I21" s="1018"/>
      <c r="J21" s="1018"/>
      <c r="K21" s="1018"/>
      <c r="L21" s="1018"/>
      <c r="M21" s="1018"/>
      <c r="O21" s="323"/>
    </row>
    <row r="22" spans="1:18" s="2" customFormat="1" ht="33.6" customHeight="1">
      <c r="A22" s="269" t="str">
        <f>A12</f>
        <v>b</v>
      </c>
      <c r="B22" s="1018" t="s">
        <v>663</v>
      </c>
      <c r="C22" s="1018"/>
      <c r="D22" s="1018"/>
      <c r="E22" s="1018"/>
      <c r="F22" s="1018"/>
      <c r="G22" s="1018"/>
      <c r="H22" s="1018"/>
      <c r="I22" s="1018"/>
      <c r="J22" s="1018"/>
      <c r="K22" s="1018"/>
      <c r="L22" s="1018"/>
      <c r="M22" s="1018"/>
      <c r="O22" s="323"/>
    </row>
    <row r="23" spans="1:18" s="2" customFormat="1">
      <c r="A23" s="269" t="str">
        <f>A13</f>
        <v>c</v>
      </c>
      <c r="B23" s="1017"/>
      <c r="C23" s="1017"/>
      <c r="D23" s="1017"/>
      <c r="E23" s="1017"/>
      <c r="F23" s="1017"/>
      <c r="G23" s="1017"/>
      <c r="H23" s="1017"/>
      <c r="I23" s="1017"/>
      <c r="J23" s="1017"/>
      <c r="K23" s="1017"/>
      <c r="L23" s="1017"/>
      <c r="M23" s="1017"/>
    </row>
    <row r="24" spans="1:18" s="2" customFormat="1">
      <c r="A24" s="269" t="str">
        <f>A14</f>
        <v>d</v>
      </c>
      <c r="B24" s="1017" t="s">
        <v>662</v>
      </c>
      <c r="C24" s="1017"/>
      <c r="D24" s="1017"/>
      <c r="E24" s="1017"/>
      <c r="F24" s="1017"/>
      <c r="G24" s="1017"/>
      <c r="H24" s="1017"/>
      <c r="I24" s="1017"/>
      <c r="J24" s="1017"/>
      <c r="K24" s="1017"/>
      <c r="L24" s="1017"/>
      <c r="M24" s="1017"/>
    </row>
    <row r="25" spans="1:18" s="2" customFormat="1">
      <c r="A25" s="269" t="str">
        <f>A15</f>
        <v>e</v>
      </c>
      <c r="B25" s="1017"/>
      <c r="C25" s="1017"/>
      <c r="D25" s="1017"/>
      <c r="E25" s="1017"/>
      <c r="F25" s="1017"/>
      <c r="G25" s="1017"/>
      <c r="H25" s="1017"/>
      <c r="I25" s="1017"/>
      <c r="J25" s="1017"/>
      <c r="K25" s="1017"/>
      <c r="L25" s="1017"/>
      <c r="M25" s="1017"/>
    </row>
    <row r="26" spans="1:18" s="2" customFormat="1">
      <c r="A26" s="269" t="s">
        <v>170</v>
      </c>
      <c r="B26" s="814"/>
      <c r="C26" s="814"/>
      <c r="D26" s="814"/>
      <c r="E26" s="814"/>
      <c r="F26" s="814"/>
      <c r="G26" s="814"/>
      <c r="H26" s="814"/>
      <c r="I26" s="814"/>
      <c r="J26" s="814"/>
      <c r="K26" s="814"/>
      <c r="L26" s="814"/>
      <c r="M26" s="814"/>
    </row>
    <row r="27" spans="1:18" s="2" customFormat="1">
      <c r="A27" s="269" t="s">
        <v>471</v>
      </c>
      <c r="B27" s="814"/>
      <c r="C27" s="814"/>
      <c r="D27" s="814"/>
      <c r="E27" s="814"/>
      <c r="F27" s="814"/>
      <c r="G27" s="814"/>
      <c r="H27" s="814"/>
      <c r="I27" s="814"/>
      <c r="J27" s="814"/>
      <c r="K27" s="814"/>
      <c r="L27" s="814"/>
      <c r="M27" s="814"/>
    </row>
    <row r="28" spans="1:18" s="531" customFormat="1">
      <c r="A28" s="38"/>
      <c r="B28" s="535"/>
      <c r="C28" s="535"/>
      <c r="D28" s="535"/>
      <c r="E28" s="535"/>
      <c r="F28" s="535"/>
      <c r="G28" s="535"/>
      <c r="H28" s="535"/>
      <c r="I28" s="535"/>
      <c r="J28" s="535"/>
      <c r="K28" s="535"/>
      <c r="L28" s="535"/>
      <c r="M28" s="535"/>
    </row>
    <row r="29" spans="1:18" s="2" customFormat="1">
      <c r="B29" s="12"/>
      <c r="C29" s="136"/>
      <c r="D29" s="52"/>
      <c r="E29" s="52"/>
      <c r="F29" s="52"/>
      <c r="G29" s="52"/>
      <c r="H29" s="52"/>
      <c r="I29" s="52"/>
      <c r="J29" s="52"/>
      <c r="K29" s="52"/>
    </row>
    <row r="30" spans="1:18" s="2" customFormat="1">
      <c r="A30" s="35"/>
      <c r="B30" s="116" t="s">
        <v>200</v>
      </c>
      <c r="C30" s="150"/>
      <c r="D30" s="81"/>
      <c r="E30" s="81"/>
      <c r="F30" s="81"/>
      <c r="G30" s="81"/>
      <c r="H30" s="81"/>
      <c r="I30" s="81"/>
      <c r="J30" s="81"/>
      <c r="K30" s="81"/>
      <c r="L30" s="81"/>
      <c r="M30" s="81"/>
      <c r="N30" s="81"/>
    </row>
    <row r="31" spans="1:18" s="2" customFormat="1">
      <c r="A31" s="35"/>
      <c r="B31" s="35"/>
      <c r="C31" s="35"/>
      <c r="D31" s="35"/>
      <c r="E31" s="35"/>
      <c r="F31" s="35"/>
      <c r="G31" s="35"/>
      <c r="H31" s="35"/>
      <c r="I31" s="35"/>
      <c r="J31" s="35"/>
      <c r="K31" s="35"/>
      <c r="L31" s="35"/>
      <c r="M31" s="35"/>
      <c r="N31" s="35"/>
      <c r="O31" s="35"/>
      <c r="P31" s="35"/>
    </row>
    <row r="32" spans="1:18" s="2" customFormat="1">
      <c r="A32" s="35"/>
      <c r="B32" s="367" t="s">
        <v>211</v>
      </c>
      <c r="C32" s="291"/>
      <c r="D32" s="293"/>
      <c r="E32" s="293"/>
      <c r="F32" s="293"/>
      <c r="G32" s="293"/>
      <c r="H32" s="293"/>
      <c r="I32" s="293"/>
      <c r="J32" s="293"/>
      <c r="K32" s="293"/>
      <c r="L32" s="293"/>
      <c r="M32" s="293"/>
      <c r="N32" s="293"/>
    </row>
    <row r="33" spans="1:14" s="2" customFormat="1">
      <c r="A33" s="35"/>
      <c r="B33" s="368" t="s">
        <v>241</v>
      </c>
      <c r="C33" s="291"/>
      <c r="D33" s="293"/>
      <c r="E33" s="293"/>
      <c r="F33" s="293"/>
      <c r="G33" s="293"/>
      <c r="H33" s="293"/>
      <c r="I33" s="293"/>
      <c r="J33" s="293"/>
      <c r="K33" s="293"/>
      <c r="L33" s="293"/>
      <c r="M33" s="293"/>
      <c r="N33" s="293"/>
    </row>
    <row r="34" spans="1:14" s="2" customFormat="1">
      <c r="A34" s="35"/>
      <c r="B34" s="368" t="s">
        <v>472</v>
      </c>
      <c r="C34" s="291"/>
      <c r="D34" s="293"/>
      <c r="E34" s="293"/>
      <c r="F34" s="293"/>
      <c r="G34" s="293"/>
      <c r="H34" s="293"/>
      <c r="I34" s="293"/>
      <c r="J34" s="293"/>
      <c r="K34" s="293"/>
      <c r="L34" s="293"/>
      <c r="M34" s="293"/>
      <c r="N34" s="293"/>
    </row>
    <row r="35" spans="1:14" s="2" customFormat="1">
      <c r="A35" s="35"/>
      <c r="B35" s="368" t="s">
        <v>209</v>
      </c>
      <c r="C35" s="291"/>
      <c r="D35" s="293"/>
      <c r="E35" s="293"/>
      <c r="F35" s="293"/>
      <c r="G35" s="293"/>
      <c r="H35" s="293"/>
      <c r="I35" s="293"/>
      <c r="J35" s="293"/>
      <c r="K35" s="293"/>
      <c r="L35" s="293"/>
      <c r="M35" s="293"/>
      <c r="N35" s="293"/>
    </row>
    <row r="36" spans="1:14" s="2" customFormat="1">
      <c r="A36" s="35"/>
      <c r="B36" s="368" t="s">
        <v>202</v>
      </c>
      <c r="C36" s="291"/>
      <c r="D36" s="293"/>
      <c r="E36" s="293"/>
      <c r="F36" s="293"/>
      <c r="G36" s="293"/>
      <c r="H36" s="293"/>
      <c r="I36" s="293"/>
      <c r="J36" s="293"/>
      <c r="K36" s="293"/>
      <c r="L36" s="293"/>
      <c r="M36" s="293"/>
      <c r="N36" s="293"/>
    </row>
    <row r="37" spans="1:14" s="2" customFormat="1">
      <c r="A37" s="35"/>
      <c r="B37" s="368" t="s">
        <v>208</v>
      </c>
      <c r="C37" s="291"/>
      <c r="D37" s="293"/>
      <c r="E37" s="293"/>
      <c r="F37" s="293"/>
      <c r="G37" s="293"/>
      <c r="H37" s="293"/>
      <c r="I37" s="293"/>
      <c r="J37" s="293"/>
      <c r="K37" s="293"/>
      <c r="L37" s="293"/>
      <c r="M37" s="293"/>
      <c r="N37" s="293"/>
    </row>
    <row r="38" spans="1:14" s="2" customFormat="1">
      <c r="B38" s="12"/>
      <c r="C38" s="136"/>
    </row>
    <row r="39" spans="1:14" s="2" customFormat="1">
      <c r="A39" s="160" t="str">
        <f t="shared" ref="A39:A45" si="3">A11</f>
        <v>a</v>
      </c>
      <c r="B39" s="35" t="str">
        <f>$B$11&amp;""</f>
        <v>Broad measure of customer service</v>
      </c>
      <c r="C39" s="155" t="str">
        <f>'RFPR cover'!$C$14</f>
        <v>£m 12/13</v>
      </c>
      <c r="D39" s="654">
        <f>D51</f>
        <v>2.0995200000000009</v>
      </c>
      <c r="E39" s="654">
        <f t="shared" ref="E39:K39" si="4">E51</f>
        <v>1.9907370000000002</v>
      </c>
      <c r="F39" s="654">
        <f t="shared" si="4"/>
        <v>2.2315499999999999</v>
      </c>
      <c r="G39" s="654">
        <f t="shared" si="4"/>
        <v>2.1732300000000002</v>
      </c>
      <c r="H39" s="654">
        <f t="shared" si="4"/>
        <v>1.73583</v>
      </c>
      <c r="I39" s="654">
        <f t="shared" si="4"/>
        <v>1.73583</v>
      </c>
      <c r="J39" s="654">
        <f t="shared" si="4"/>
        <v>1.5350211109566674</v>
      </c>
      <c r="K39" s="654">
        <f t="shared" si="4"/>
        <v>1.6072499999999998</v>
      </c>
      <c r="L39" s="654">
        <f>SUM(D39:INDEX(D39:K39,0,MATCH('RFPR cover'!$C$7,$D$6:$K$6,0)))</f>
        <v>15.10896811095667</v>
      </c>
      <c r="M39" s="655">
        <f t="shared" ref="M39:M45" si="5">SUM(D39:K39)</f>
        <v>15.10896811095667</v>
      </c>
    </row>
    <row r="40" spans="1:14" s="2" customFormat="1">
      <c r="A40" s="160" t="str">
        <f t="shared" si="3"/>
        <v>b</v>
      </c>
      <c r="B40" s="35" t="str">
        <f>$B$12&amp;""</f>
        <v>Interruptions-related quality of service</v>
      </c>
      <c r="C40" s="155" t="str">
        <f>'RFPR cover'!$C$14</f>
        <v>£m 12/13</v>
      </c>
      <c r="D40" s="654">
        <f>D55</f>
        <v>3.4955884580880436</v>
      </c>
      <c r="E40" s="654">
        <f t="shared" ref="E40:K40" si="6">E55</f>
        <v>3.7934423193323394</v>
      </c>
      <c r="F40" s="654">
        <f t="shared" si="6"/>
        <v>2.0287275411603911</v>
      </c>
      <c r="G40" s="654">
        <f t="shared" si="6"/>
        <v>3.9285400000000004</v>
      </c>
      <c r="H40" s="654">
        <f t="shared" si="6"/>
        <v>3.9581091944132281</v>
      </c>
      <c r="I40" s="654">
        <f t="shared" si="6"/>
        <v>4.1400695207959348</v>
      </c>
      <c r="J40" s="654">
        <f t="shared" si="6"/>
        <v>3.5596944444444434</v>
      </c>
      <c r="K40" s="654">
        <f t="shared" si="6"/>
        <v>2.4971203703703697</v>
      </c>
      <c r="L40" s="658">
        <f>SUM(D40:INDEX(D40:K40,0,MATCH('RFPR cover'!$C$7,$D$6:$K$6,0)))</f>
        <v>27.40129184860475</v>
      </c>
      <c r="M40" s="659">
        <f t="shared" si="5"/>
        <v>27.40129184860475</v>
      </c>
    </row>
    <row r="41" spans="1:14" s="2" customFormat="1">
      <c r="A41" s="160" t="str">
        <f t="shared" si="3"/>
        <v>c</v>
      </c>
      <c r="B41" s="35" t="str">
        <f>$B$13&amp;""</f>
        <v>Incentive on connections engagement</v>
      </c>
      <c r="C41" s="155" t="str">
        <f>'RFPR cover'!$C$14</f>
        <v>£m 12/13</v>
      </c>
      <c r="D41" s="654">
        <f>D59</f>
        <v>0</v>
      </c>
      <c r="E41" s="654">
        <f t="shared" ref="E41:K41" si="7">E59</f>
        <v>0</v>
      </c>
      <c r="F41" s="654">
        <f t="shared" si="7"/>
        <v>0</v>
      </c>
      <c r="G41" s="654">
        <f t="shared" si="7"/>
        <v>0</v>
      </c>
      <c r="H41" s="654">
        <f t="shared" si="7"/>
        <v>0</v>
      </c>
      <c r="I41" s="654">
        <f t="shared" si="7"/>
        <v>0</v>
      </c>
      <c r="J41" s="654">
        <f t="shared" si="7"/>
        <v>0</v>
      </c>
      <c r="K41" s="654">
        <f t="shared" si="7"/>
        <v>0</v>
      </c>
      <c r="L41" s="658">
        <f>SUM(D41:INDEX(D41:K41,0,MATCH('RFPR cover'!$C$7,$D$6:$K$6,0)))</f>
        <v>0</v>
      </c>
      <c r="M41" s="659">
        <f t="shared" si="5"/>
        <v>0</v>
      </c>
    </row>
    <row r="42" spans="1:14" s="2" customFormat="1">
      <c r="A42" s="160" t="str">
        <f t="shared" si="3"/>
        <v>d</v>
      </c>
      <c r="B42" s="35" t="str">
        <f>$B$14&amp;""</f>
        <v>Time to Connect Incentive</v>
      </c>
      <c r="C42" s="155" t="str">
        <f>'RFPR cover'!$C$14</f>
        <v>£m 12/13</v>
      </c>
      <c r="D42" s="654">
        <f>D63</f>
        <v>0.37025100000000016</v>
      </c>
      <c r="E42" s="654">
        <f t="shared" ref="E42:K42" si="8">E63</f>
        <v>0.54106673318481424</v>
      </c>
      <c r="F42" s="654">
        <f t="shared" si="8"/>
        <v>0.60093900000000011</v>
      </c>
      <c r="G42" s="654">
        <f t="shared" si="8"/>
        <v>0.63666000000000011</v>
      </c>
      <c r="H42" s="654">
        <f t="shared" si="8"/>
        <v>0.64800000000000013</v>
      </c>
      <c r="I42" s="654">
        <f t="shared" si="8"/>
        <v>0.55150861794117756</v>
      </c>
      <c r="J42" s="654">
        <f t="shared" si="8"/>
        <v>0.46618882639274567</v>
      </c>
      <c r="K42" s="654">
        <f t="shared" si="8"/>
        <v>0.37014851747589089</v>
      </c>
      <c r="L42" s="658">
        <f>SUM(D42:INDEX(D42:K42,0,MATCH('RFPR cover'!$C$7,$D$6:$K$6,0)))</f>
        <v>4.1847626949946282</v>
      </c>
      <c r="M42" s="659">
        <f t="shared" si="5"/>
        <v>4.1847626949946282</v>
      </c>
    </row>
    <row r="43" spans="1:14" s="2" customFormat="1">
      <c r="A43" s="160" t="str">
        <f t="shared" si="3"/>
        <v>e</v>
      </c>
      <c r="B43" s="35" t="str">
        <f>$B$15&amp;""</f>
        <v>Losses discretionary reward scheme</v>
      </c>
      <c r="C43" s="155" t="str">
        <f>'RFPR cover'!$C$14</f>
        <v>£m 12/13</v>
      </c>
      <c r="D43" s="654">
        <f>D67</f>
        <v>0</v>
      </c>
      <c r="E43" s="654">
        <f t="shared" ref="E43:K43" si="9">E67</f>
        <v>3.2400000000000005E-2</v>
      </c>
      <c r="F43" s="654">
        <f t="shared" si="9"/>
        <v>0</v>
      </c>
      <c r="G43" s="654">
        <f t="shared" si="9"/>
        <v>0</v>
      </c>
      <c r="H43" s="654">
        <f t="shared" si="9"/>
        <v>0</v>
      </c>
      <c r="I43" s="654">
        <f t="shared" si="9"/>
        <v>0</v>
      </c>
      <c r="J43" s="654">
        <f t="shared" si="9"/>
        <v>0</v>
      </c>
      <c r="K43" s="654">
        <f t="shared" si="9"/>
        <v>0</v>
      </c>
      <c r="L43" s="658">
        <f>SUM(D43:INDEX(D43:K43,0,MATCH('RFPR cover'!$C$7,$D$6:$K$6,0)))</f>
        <v>3.2400000000000005E-2</v>
      </c>
      <c r="M43" s="659">
        <f t="shared" si="5"/>
        <v>3.2400000000000005E-2</v>
      </c>
    </row>
    <row r="44" spans="1:14" s="2" customFormat="1">
      <c r="A44" s="160" t="str">
        <f t="shared" si="3"/>
        <v>f</v>
      </c>
      <c r="B44" s="35" t="str">
        <f>$B$16&amp;""</f>
        <v/>
      </c>
      <c r="C44" s="155" t="str">
        <f>'RFPR cover'!$C$14</f>
        <v>£m 12/13</v>
      </c>
      <c r="D44" s="654">
        <f>D71</f>
        <v>0</v>
      </c>
      <c r="E44" s="654">
        <f t="shared" ref="E44:K44" si="10">E71</f>
        <v>0</v>
      </c>
      <c r="F44" s="654">
        <f t="shared" si="10"/>
        <v>0</v>
      </c>
      <c r="G44" s="654">
        <f t="shared" si="10"/>
        <v>0</v>
      </c>
      <c r="H44" s="654">
        <f t="shared" si="10"/>
        <v>0</v>
      </c>
      <c r="I44" s="654">
        <f t="shared" si="10"/>
        <v>0</v>
      </c>
      <c r="J44" s="654">
        <f t="shared" si="10"/>
        <v>0</v>
      </c>
      <c r="K44" s="654">
        <f t="shared" si="10"/>
        <v>0</v>
      </c>
      <c r="L44" s="658">
        <f>SUM(D44:INDEX(D44:K44,0,MATCH('RFPR cover'!$C$7,$D$6:$K$6,0)))</f>
        <v>0</v>
      </c>
      <c r="M44" s="659">
        <f t="shared" si="5"/>
        <v>0</v>
      </c>
    </row>
    <row r="45" spans="1:14" s="2" customFormat="1">
      <c r="A45" s="160" t="str">
        <f t="shared" si="3"/>
        <v>g</v>
      </c>
      <c r="B45" s="35" t="str">
        <f>$B$17&amp;""</f>
        <v/>
      </c>
      <c r="C45" s="155" t="str">
        <f>'RFPR cover'!$C$14</f>
        <v>£m 12/13</v>
      </c>
      <c r="D45" s="654">
        <f>D75</f>
        <v>0</v>
      </c>
      <c r="E45" s="654">
        <f t="shared" ref="E45:K45" si="11">E75</f>
        <v>0</v>
      </c>
      <c r="F45" s="654">
        <f t="shared" si="11"/>
        <v>0</v>
      </c>
      <c r="G45" s="654">
        <f t="shared" si="11"/>
        <v>0</v>
      </c>
      <c r="H45" s="654">
        <f t="shared" si="11"/>
        <v>0</v>
      </c>
      <c r="I45" s="654">
        <f t="shared" si="11"/>
        <v>0</v>
      </c>
      <c r="J45" s="654">
        <f t="shared" si="11"/>
        <v>0</v>
      </c>
      <c r="K45" s="654">
        <f t="shared" si="11"/>
        <v>0</v>
      </c>
      <c r="L45" s="658">
        <f>SUM(D45:INDEX(D45:K45,0,MATCH('RFPR cover'!$C$7,$D$6:$K$6,0)))</f>
        <v>0</v>
      </c>
      <c r="M45" s="659">
        <f t="shared" si="5"/>
        <v>0</v>
      </c>
    </row>
    <row r="46" spans="1:14" s="2" customFormat="1">
      <c r="B46" s="12" t="s">
        <v>204</v>
      </c>
      <c r="C46" s="156" t="str">
        <f>'RFPR cover'!$C$14</f>
        <v>£m 12/13</v>
      </c>
      <c r="D46" s="607">
        <f>SUM(D39:D45)</f>
        <v>5.9653594580880451</v>
      </c>
      <c r="E46" s="607">
        <f t="shared" ref="E46:M46" si="12">SUM(E39:E45)</f>
        <v>6.3576460525171541</v>
      </c>
      <c r="F46" s="607">
        <f t="shared" si="12"/>
        <v>4.8612165411603918</v>
      </c>
      <c r="G46" s="607">
        <f t="shared" si="12"/>
        <v>6.7384300000000001</v>
      </c>
      <c r="H46" s="608">
        <f t="shared" si="12"/>
        <v>6.3419391944132286</v>
      </c>
      <c r="I46" s="608">
        <f t="shared" si="12"/>
        <v>6.4274081387371123</v>
      </c>
      <c r="J46" s="608">
        <f t="shared" si="12"/>
        <v>5.5609043817938568</v>
      </c>
      <c r="K46" s="608">
        <f t="shared" si="12"/>
        <v>4.4745188878462603</v>
      </c>
      <c r="L46" s="607">
        <f t="shared" si="12"/>
        <v>46.727422654556058</v>
      </c>
      <c r="M46" s="607">
        <f t="shared" si="12"/>
        <v>46.727422654556058</v>
      </c>
    </row>
    <row r="47" spans="1:14" s="2" customFormat="1">
      <c r="B47" s="12"/>
      <c r="C47" s="156"/>
      <c r="D47" s="156"/>
      <c r="E47" s="156"/>
      <c r="F47" s="156"/>
      <c r="G47" s="156"/>
      <c r="H47" s="156"/>
      <c r="I47" s="156"/>
      <c r="J47" s="156"/>
      <c r="K47" s="156"/>
      <c r="L47" s="156"/>
      <c r="M47" s="156"/>
    </row>
    <row r="48" spans="1:14" s="2" customFormat="1">
      <c r="B48" s="12"/>
      <c r="C48" s="156"/>
      <c r="D48" s="161"/>
      <c r="E48" s="156"/>
      <c r="F48" s="156"/>
      <c r="G48" s="156"/>
      <c r="H48" s="156"/>
      <c r="I48" s="156"/>
      <c r="J48" s="156"/>
      <c r="K48" s="156"/>
      <c r="L48" s="156"/>
      <c r="M48" s="156"/>
    </row>
    <row r="49" spans="1:13" s="2" customFormat="1">
      <c r="A49" s="160" t="str">
        <f>$A$11</f>
        <v>a</v>
      </c>
      <c r="B49" s="171" t="str">
        <f>INDEX($B$11:$B$15,MATCH($A49,$A$11:$A$15,0),0)&amp;""</f>
        <v>Broad measure of customer service</v>
      </c>
      <c r="C49" s="155" t="str">
        <f>'RFPR cover'!$C$14</f>
        <v>£m 12/13</v>
      </c>
      <c r="D49" s="753">
        <f>INDEX($D$11:$K$17,MATCH($A49,$A$11:$A$17,0),0)</f>
        <v>2.592000000000001</v>
      </c>
      <c r="E49" s="753">
        <f t="shared" ref="E49:K49" si="13">INDEX($D$11:$K$17,MATCH($A49,$A$11:$A$17,0),0)</f>
        <v>2.4577</v>
      </c>
      <c r="F49" s="753">
        <f t="shared" si="13"/>
        <v>2.7549999999999999</v>
      </c>
      <c r="G49" s="753">
        <f t="shared" si="13"/>
        <v>2.6829999999999998</v>
      </c>
      <c r="H49" s="753">
        <f t="shared" si="13"/>
        <v>2.1429999999999998</v>
      </c>
      <c r="I49" s="753">
        <f t="shared" si="13"/>
        <v>2.1429999999999998</v>
      </c>
      <c r="J49" s="753">
        <f t="shared" si="13"/>
        <v>2.0466948146088897</v>
      </c>
      <c r="K49" s="753">
        <f t="shared" si="13"/>
        <v>2.1429999999999998</v>
      </c>
      <c r="L49" s="753">
        <f>SUM(D49:INDEX(D49:K49,0,MATCH('RFPR cover'!$C$7,$D$6:$K$6,0)))</f>
        <v>18.963394814608893</v>
      </c>
      <c r="M49" s="754">
        <f>SUM(D49:K49)</f>
        <v>18.963394814608893</v>
      </c>
    </row>
    <row r="50" spans="1:13" s="2" customFormat="1">
      <c r="A50" s="160"/>
      <c r="B50" s="35" t="s">
        <v>201</v>
      </c>
      <c r="C50" s="294" t="s">
        <v>202</v>
      </c>
      <c r="D50" s="855">
        <f>IF($C50=$B$33,$B$33,INDEX(Data!$G$14:$G$30,MATCH('R5 - Output Incentives'!D$6+RIGHT('R5 - Output Incentives'!$C50,2),Data!$C$14:$C$30,0),0))</f>
        <v>0.19</v>
      </c>
      <c r="E50" s="856">
        <f>IF($C50=$B$33,$B$33,INDEX(Data!$G$14:$G$30,MATCH('R5 - Output Incentives'!E$6+RIGHT('R5 - Output Incentives'!$C50,2),Data!$C$14:$C$30,0),0))</f>
        <v>0.19</v>
      </c>
      <c r="F50" s="856">
        <f>IF($C50=$B$33,$B$33,INDEX(Data!$G$14:$G$30,MATCH('R5 - Output Incentives'!F$6+RIGHT('R5 - Output Incentives'!$C50,2),Data!$C$14:$C$30,0),0))</f>
        <v>0.19</v>
      </c>
      <c r="G50" s="856">
        <f>IF($C50=$B$33,$B$33,INDEX(Data!$G$14:$G$30,MATCH('R5 - Output Incentives'!G$6+RIGHT('R5 - Output Incentives'!$C50,2),Data!$C$14:$C$30,0),0))</f>
        <v>0.19</v>
      </c>
      <c r="H50" s="856">
        <f>IF($C50=$B$33,$B$33,INDEX(Data!$G$14:$G$30,MATCH('R5 - Output Incentives'!H$6+RIGHT('R5 - Output Incentives'!$C50,2),Data!$C$14:$C$30,0),0))</f>
        <v>0.19</v>
      </c>
      <c r="I50" s="856">
        <f>IF($C50=$B$33,$B$33,INDEX(Data!$G$14:$G$30,MATCH('R5 - Output Incentives'!I$6+RIGHT('R5 - Output Incentives'!$C50,2),Data!$C$14:$C$30,0),0))</f>
        <v>0.19</v>
      </c>
      <c r="J50" s="856">
        <f>IF($C50=$B$33,$B$33,INDEX(Data!$G$14:$G$30,MATCH('R5 - Output Incentives'!J$6+RIGHT('R5 - Output Incentives'!$C50,2),Data!$C$14:$C$30,0),0))</f>
        <v>0.25</v>
      </c>
      <c r="K50" s="857">
        <f>IF($C50=$B$33,$B$33,INDEX(Data!$G$14:$G$30,MATCH('R5 - Output Incentives'!K$6+RIGHT('R5 - Output Incentives'!$C50,2),Data!$C$14:$C$30,0),0))</f>
        <v>0.25</v>
      </c>
      <c r="L50" s="755"/>
      <c r="M50" s="756"/>
    </row>
    <row r="51" spans="1:13" s="2" customFormat="1">
      <c r="A51" s="160"/>
      <c r="B51" s="35" t="s">
        <v>210</v>
      </c>
      <c r="C51" s="155"/>
      <c r="D51" s="607">
        <f>IFERROR(D49*(1-D50),0)</f>
        <v>2.0995200000000009</v>
      </c>
      <c r="E51" s="608">
        <f t="shared" ref="E51:K51" si="14">IFERROR(E49*(1-E50),0)</f>
        <v>1.9907370000000002</v>
      </c>
      <c r="F51" s="608">
        <f t="shared" si="14"/>
        <v>2.2315499999999999</v>
      </c>
      <c r="G51" s="608">
        <f t="shared" si="14"/>
        <v>2.1732300000000002</v>
      </c>
      <c r="H51" s="608">
        <f t="shared" si="14"/>
        <v>1.73583</v>
      </c>
      <c r="I51" s="608">
        <f t="shared" si="14"/>
        <v>1.73583</v>
      </c>
      <c r="J51" s="608">
        <f t="shared" si="14"/>
        <v>1.5350211109566674</v>
      </c>
      <c r="K51" s="608">
        <f t="shared" si="14"/>
        <v>1.6072499999999998</v>
      </c>
      <c r="L51" s="652">
        <f>SUM(D51:INDEX(D51:K51,0,MATCH('RFPR cover'!$C$7,$D$6:$K$6,0)))</f>
        <v>15.10896811095667</v>
      </c>
      <c r="M51" s="653">
        <f>SUM(D51:K51)</f>
        <v>15.10896811095667</v>
      </c>
    </row>
    <row r="52" spans="1:13" s="2" customFormat="1">
      <c r="A52" s="160"/>
      <c r="B52" s="51"/>
      <c r="C52" s="156"/>
      <c r="D52" s="156"/>
      <c r="E52" s="156"/>
      <c r="F52" s="156"/>
      <c r="G52" s="156"/>
      <c r="H52" s="156"/>
      <c r="I52" s="156"/>
      <c r="J52" s="156"/>
      <c r="K52" s="156"/>
      <c r="L52" s="156"/>
      <c r="M52" s="156"/>
    </row>
    <row r="53" spans="1:13" s="2" customFormat="1">
      <c r="A53" s="160" t="str">
        <f>$A$12</f>
        <v>b</v>
      </c>
      <c r="B53" s="171" t="str">
        <f>INDEX($B$11:$B$15,MATCH($A53,$A$11:$A$15,0),0)&amp;""</f>
        <v>Interruptions-related quality of service</v>
      </c>
      <c r="C53" s="155" t="str">
        <f>'RFPR cover'!$C$14</f>
        <v>£m 12/13</v>
      </c>
      <c r="D53" s="753">
        <f>INDEX($D$11:$K$17,MATCH($A53,$A$11:$A$17,0),0)</f>
        <v>4.3155413062815349</v>
      </c>
      <c r="E53" s="753">
        <f t="shared" ref="E53:K53" si="15">INDEX($D$11:$K$17,MATCH($A53,$A$11:$A$17,0),0)</f>
        <v>4.6832621226325175</v>
      </c>
      <c r="F53" s="753">
        <f t="shared" si="15"/>
        <v>2.5046019026671491</v>
      </c>
      <c r="G53" s="753">
        <f t="shared" si="15"/>
        <v>4.8500493827160494</v>
      </c>
      <c r="H53" s="753">
        <f t="shared" si="15"/>
        <v>4.8865545610039849</v>
      </c>
      <c r="I53" s="753">
        <f t="shared" si="15"/>
        <v>5.1111969392542402</v>
      </c>
      <c r="J53" s="753">
        <f t="shared" si="15"/>
        <v>4.7462592592592578</v>
      </c>
      <c r="K53" s="753">
        <f t="shared" si="15"/>
        <v>3.3294938271604932</v>
      </c>
      <c r="L53" s="654">
        <f>SUM(D53:INDEX(D53:K53,0,MATCH('RFPR cover'!$C$7,$D$6:$K$6,0)))</f>
        <v>34.426959300975227</v>
      </c>
      <c r="M53" s="655">
        <f>SUM(D53:K53)</f>
        <v>34.426959300975227</v>
      </c>
    </row>
    <row r="54" spans="1:13" s="2" customFormat="1">
      <c r="A54" s="160"/>
      <c r="B54" s="35" t="s">
        <v>201</v>
      </c>
      <c r="C54" s="294" t="s">
        <v>202</v>
      </c>
      <c r="D54" s="855">
        <f>IF($C54=$B$33,$B$33,INDEX(Data!$G$14:$G$30,MATCH('R5 - Output Incentives'!D$6+RIGHT('R5 - Output Incentives'!$C54,2),Data!$C$14:$C$30,0),0))</f>
        <v>0.19</v>
      </c>
      <c r="E54" s="856">
        <f>IF($C54=$B$33,$B$33,INDEX(Data!$G$14:$G$30,MATCH('R5 - Output Incentives'!E$6+RIGHT('R5 - Output Incentives'!$C54,2),Data!$C$14:$C$30,0),0))</f>
        <v>0.19</v>
      </c>
      <c r="F54" s="856">
        <f>IF($C54=$B$33,$B$33,INDEX(Data!$G$14:$G$30,MATCH('R5 - Output Incentives'!F$6+RIGHT('R5 - Output Incentives'!$C54,2),Data!$C$14:$C$30,0),0))</f>
        <v>0.19</v>
      </c>
      <c r="G54" s="856">
        <f>IF($C54=$B$33,$B$33,INDEX(Data!$G$14:$G$30,MATCH('R5 - Output Incentives'!G$6+RIGHT('R5 - Output Incentives'!$C54,2),Data!$C$14:$C$30,0),0))</f>
        <v>0.19</v>
      </c>
      <c r="H54" s="856">
        <f>IF($C54=$B$33,$B$33,INDEX(Data!$G$14:$G$30,MATCH('R5 - Output Incentives'!H$6+RIGHT('R5 - Output Incentives'!$C54,2),Data!$C$14:$C$30,0),0))</f>
        <v>0.19</v>
      </c>
      <c r="I54" s="856">
        <f>IF($C54=$B$33,$B$33,INDEX(Data!$G$14:$G$30,MATCH('R5 - Output Incentives'!I$6+RIGHT('R5 - Output Incentives'!$C54,2),Data!$C$14:$C$30,0),0))</f>
        <v>0.19</v>
      </c>
      <c r="J54" s="856">
        <f>IF($C54=$B$33,$B$33,INDEX(Data!$G$14:$G$30,MATCH('R5 - Output Incentives'!J$6+RIGHT('R5 - Output Incentives'!$C54,2),Data!$C$14:$C$30,0),0))</f>
        <v>0.25</v>
      </c>
      <c r="K54" s="857">
        <f>IF($C54=$B$33,$B$33,INDEX(Data!$G$14:$G$30,MATCH('R5 - Output Incentives'!K$6+RIGHT('R5 - Output Incentives'!$C54,2),Data!$C$14:$C$30,0),0))</f>
        <v>0.25</v>
      </c>
      <c r="L54" s="755"/>
      <c r="M54" s="756"/>
    </row>
    <row r="55" spans="1:13" s="2" customFormat="1">
      <c r="A55" s="160"/>
      <c r="B55" s="35" t="s">
        <v>210</v>
      </c>
      <c r="C55" s="155"/>
      <c r="D55" s="607">
        <f>IFERROR(D53*(1-D54),0)</f>
        <v>3.4955884580880436</v>
      </c>
      <c r="E55" s="608">
        <f t="shared" ref="E55:K55" si="16">IFERROR(E53*(1-E54),0)</f>
        <v>3.7934423193323394</v>
      </c>
      <c r="F55" s="608">
        <f t="shared" si="16"/>
        <v>2.0287275411603911</v>
      </c>
      <c r="G55" s="608">
        <f t="shared" si="16"/>
        <v>3.9285400000000004</v>
      </c>
      <c r="H55" s="608">
        <f t="shared" si="16"/>
        <v>3.9581091944132281</v>
      </c>
      <c r="I55" s="608">
        <f t="shared" si="16"/>
        <v>4.1400695207959348</v>
      </c>
      <c r="J55" s="608">
        <f t="shared" si="16"/>
        <v>3.5596944444444434</v>
      </c>
      <c r="K55" s="608">
        <f t="shared" si="16"/>
        <v>2.4971203703703697</v>
      </c>
      <c r="L55" s="652">
        <f>SUM(D55:INDEX(D55:K55,0,MATCH('RFPR cover'!$C$7,$D$6:$K$6,0)))</f>
        <v>27.40129184860475</v>
      </c>
      <c r="M55" s="653">
        <f>SUM(D55:K55)</f>
        <v>27.40129184860475</v>
      </c>
    </row>
    <row r="56" spans="1:13" s="2" customFormat="1">
      <c r="A56" s="160"/>
      <c r="B56" s="51"/>
      <c r="C56" s="156"/>
      <c r="D56" s="156"/>
      <c r="E56" s="156"/>
      <c r="F56" s="156"/>
      <c r="G56" s="156"/>
      <c r="H56" s="156"/>
      <c r="I56" s="156"/>
      <c r="J56" s="156"/>
      <c r="K56" s="156"/>
      <c r="L56" s="156"/>
      <c r="M56" s="156"/>
    </row>
    <row r="57" spans="1:13" s="2" customFormat="1">
      <c r="A57" s="160" t="str">
        <f>$A$13</f>
        <v>c</v>
      </c>
      <c r="B57" s="171" t="str">
        <f>INDEX($B$11:$B$15,MATCH($A57,$A$11:$A$15,0),0)&amp;""</f>
        <v>Incentive on connections engagement</v>
      </c>
      <c r="C57" s="155" t="str">
        <f>'RFPR cover'!$C$14</f>
        <v>£m 12/13</v>
      </c>
      <c r="D57" s="753">
        <f>INDEX($D$11:$K$17,MATCH($A57,$A$11:$A$17,0),0)</f>
        <v>0</v>
      </c>
      <c r="E57" s="753">
        <f t="shared" ref="E57:K57" si="17">INDEX($D$11:$K$17,MATCH($A57,$A$11:$A$17,0),0)</f>
        <v>0</v>
      </c>
      <c r="F57" s="753">
        <f t="shared" si="17"/>
        <v>0</v>
      </c>
      <c r="G57" s="753">
        <f t="shared" si="17"/>
        <v>0</v>
      </c>
      <c r="H57" s="753">
        <f t="shared" si="17"/>
        <v>0</v>
      </c>
      <c r="I57" s="753">
        <f t="shared" si="17"/>
        <v>0</v>
      </c>
      <c r="J57" s="753">
        <f t="shared" si="17"/>
        <v>0</v>
      </c>
      <c r="K57" s="753">
        <f t="shared" si="17"/>
        <v>0</v>
      </c>
      <c r="L57" s="654">
        <f>SUM(D57:INDEX(D57:K57,0,MATCH('RFPR cover'!$C$7,$D$6:$K$6,0)))</f>
        <v>0</v>
      </c>
      <c r="M57" s="655">
        <f>SUM(D57:K57)</f>
        <v>0</v>
      </c>
    </row>
    <row r="58" spans="1:13" s="2" customFormat="1">
      <c r="A58" s="160"/>
      <c r="B58" s="35" t="s">
        <v>201</v>
      </c>
      <c r="C58" s="294" t="s">
        <v>208</v>
      </c>
      <c r="D58" s="855">
        <f>IF($C58=$B$33,$B$33,INDEX(Data!$G$14:$G$30,MATCH('R5 - Output Incentives'!D$6+RIGHT('R5 - Output Incentives'!$C58,2),Data!$C$14:$C$30,0),0))</f>
        <v>0.19</v>
      </c>
      <c r="E58" s="856">
        <f>IF($C58=$B$33,$B$33,INDEX(Data!$G$14:$G$30,MATCH('R5 - Output Incentives'!E$6+RIGHT('R5 - Output Incentives'!$C58,2),Data!$C$14:$C$30,0),0))</f>
        <v>0.19</v>
      </c>
      <c r="F58" s="856">
        <f>IF($C58=$B$33,$B$33,INDEX(Data!$G$14:$G$30,MATCH('R5 - Output Incentives'!F$6+RIGHT('R5 - Output Incentives'!$C58,2),Data!$C$14:$C$30,0),0))</f>
        <v>0.19</v>
      </c>
      <c r="G58" s="856">
        <f>IF($C58=$B$33,$B$33,INDEX(Data!$G$14:$G$30,MATCH('R5 - Output Incentives'!G$6+RIGHT('R5 - Output Incentives'!$C58,2),Data!$C$14:$C$30,0),0))</f>
        <v>0.19</v>
      </c>
      <c r="H58" s="856">
        <f>IF($C58=$B$33,$B$33,INDEX(Data!$G$14:$G$30,MATCH('R5 - Output Incentives'!H$6+RIGHT('R5 - Output Incentives'!$C58,2),Data!$C$14:$C$30,0),0))</f>
        <v>0.19</v>
      </c>
      <c r="I58" s="856">
        <f>IF($C58=$B$33,$B$33,INDEX(Data!$G$14:$G$30,MATCH('R5 - Output Incentives'!I$6+RIGHT('R5 - Output Incentives'!$C58,2),Data!$C$14:$C$30,0),0))</f>
        <v>0.25</v>
      </c>
      <c r="J58" s="856">
        <f>IF($C58=$B$33,$B$33,INDEX(Data!$G$14:$G$30,MATCH('R5 - Output Incentives'!J$6+RIGHT('R5 - Output Incentives'!$C58,2),Data!$C$14:$C$30,0),0))</f>
        <v>0.25</v>
      </c>
      <c r="K58" s="857">
        <f>IF($C58=$B$33,$B$33,INDEX(Data!$G$14:$G$30,MATCH('R5 - Output Incentives'!K$6+RIGHT('R5 - Output Incentives'!$C58,2),Data!$C$14:$C$30,0),0))</f>
        <v>0.25</v>
      </c>
      <c r="L58" s="755"/>
      <c r="M58" s="756"/>
    </row>
    <row r="59" spans="1:13" s="2" customFormat="1">
      <c r="A59" s="160"/>
      <c r="B59" s="35" t="s">
        <v>210</v>
      </c>
      <c r="C59" s="155"/>
      <c r="D59" s="607">
        <f>IFERROR(D57*(1-D58),0)</f>
        <v>0</v>
      </c>
      <c r="E59" s="608">
        <f t="shared" ref="E59:K59" si="18">IFERROR(E57*(1-E58),0)</f>
        <v>0</v>
      </c>
      <c r="F59" s="608">
        <f t="shared" si="18"/>
        <v>0</v>
      </c>
      <c r="G59" s="608">
        <f t="shared" si="18"/>
        <v>0</v>
      </c>
      <c r="H59" s="608">
        <f t="shared" si="18"/>
        <v>0</v>
      </c>
      <c r="I59" s="608">
        <f t="shared" si="18"/>
        <v>0</v>
      </c>
      <c r="J59" s="608">
        <f t="shared" si="18"/>
        <v>0</v>
      </c>
      <c r="K59" s="608">
        <f t="shared" si="18"/>
        <v>0</v>
      </c>
      <c r="L59" s="652">
        <f>SUM(D59:INDEX(D59:K59,0,MATCH('RFPR cover'!$C$7,$D$6:$K$6,0)))</f>
        <v>0</v>
      </c>
      <c r="M59" s="653">
        <f>SUM(D59:K59)</f>
        <v>0</v>
      </c>
    </row>
    <row r="60" spans="1:13" s="2" customFormat="1">
      <c r="A60" s="160"/>
      <c r="B60" s="51"/>
      <c r="C60" s="156"/>
      <c r="D60" s="156"/>
      <c r="E60" s="156"/>
      <c r="F60" s="156"/>
      <c r="G60" s="156"/>
      <c r="H60" s="156"/>
      <c r="I60" s="156"/>
      <c r="J60" s="156"/>
      <c r="K60" s="156"/>
      <c r="L60" s="156"/>
      <c r="M60" s="156"/>
    </row>
    <row r="61" spans="1:13" s="2" customFormat="1">
      <c r="A61" s="160" t="str">
        <f>$A$14</f>
        <v>d</v>
      </c>
      <c r="B61" s="171" t="str">
        <f>INDEX($B$11:$B$15,MATCH($A61,$A$11:$A$15,0),0)&amp;""</f>
        <v>Time to Connect Incentive</v>
      </c>
      <c r="C61" s="155" t="str">
        <f>'RFPR cover'!$C$14</f>
        <v>£m 12/13</v>
      </c>
      <c r="D61" s="753">
        <f>INDEX($D$11:$K$17,MATCH($A61,$A$11:$A$17,0),0)</f>
        <v>0.45710000000000017</v>
      </c>
      <c r="E61" s="753">
        <f t="shared" ref="E61:K61" si="19">INDEX($D$11:$K$17,MATCH($A61,$A$11:$A$17,0),0)</f>
        <v>0.66798362121582</v>
      </c>
      <c r="F61" s="753">
        <f t="shared" si="19"/>
        <v>0.74190000000000011</v>
      </c>
      <c r="G61" s="753">
        <f t="shared" si="19"/>
        <v>0.78600000000000014</v>
      </c>
      <c r="H61" s="753">
        <f t="shared" si="19"/>
        <v>0.8</v>
      </c>
      <c r="I61" s="753">
        <f t="shared" si="19"/>
        <v>0.68087483696441664</v>
      </c>
      <c r="J61" s="753">
        <f t="shared" si="19"/>
        <v>0.62158510185699423</v>
      </c>
      <c r="K61" s="753">
        <f t="shared" si="19"/>
        <v>0.49353135663452119</v>
      </c>
      <c r="L61" s="654">
        <f>SUM(D61:INDEX(D61:K61,0,MATCH('RFPR cover'!$C$7,$D$6:$K$6,0)))</f>
        <v>5.2489749166717523</v>
      </c>
      <c r="M61" s="655">
        <f>SUM(D61:K61)</f>
        <v>5.2489749166717523</v>
      </c>
    </row>
    <row r="62" spans="1:13" s="2" customFormat="1">
      <c r="A62" s="160"/>
      <c r="B62" s="35" t="s">
        <v>201</v>
      </c>
      <c r="C62" s="294" t="s">
        <v>202</v>
      </c>
      <c r="D62" s="855">
        <f>IF($C62=$B$33,$B$33,INDEX(Data!$G$14:$G$30,MATCH('R5 - Output Incentives'!D$6+RIGHT('R5 - Output Incentives'!$C62,2),Data!$C$14:$C$30,0),0))</f>
        <v>0.19</v>
      </c>
      <c r="E62" s="856">
        <f>IF($C62=$B$33,$B$33,INDEX(Data!$G$14:$G$30,MATCH('R5 - Output Incentives'!E$6+RIGHT('R5 - Output Incentives'!$C62,2),Data!$C$14:$C$30,0),0))</f>
        <v>0.19</v>
      </c>
      <c r="F62" s="856">
        <f>IF($C62=$B$33,$B$33,INDEX(Data!$G$14:$G$30,MATCH('R5 - Output Incentives'!F$6+RIGHT('R5 - Output Incentives'!$C62,2),Data!$C$14:$C$30,0),0))</f>
        <v>0.19</v>
      </c>
      <c r="G62" s="856">
        <f>IF($C62=$B$33,$B$33,INDEX(Data!$G$14:$G$30,MATCH('R5 - Output Incentives'!G$6+RIGHT('R5 - Output Incentives'!$C62,2),Data!$C$14:$C$30,0),0))</f>
        <v>0.19</v>
      </c>
      <c r="H62" s="856">
        <f>IF($C62=$B$33,$B$33,INDEX(Data!$G$14:$G$30,MATCH('R5 - Output Incentives'!H$6+RIGHT('R5 - Output Incentives'!$C62,2),Data!$C$14:$C$30,0),0))</f>
        <v>0.19</v>
      </c>
      <c r="I62" s="856">
        <f>IF($C62=$B$33,$B$33,INDEX(Data!$G$14:$G$30,MATCH('R5 - Output Incentives'!I$6+RIGHT('R5 - Output Incentives'!$C62,2),Data!$C$14:$C$30,0),0))</f>
        <v>0.19</v>
      </c>
      <c r="J62" s="856">
        <f>IF($C62=$B$33,$B$33,INDEX(Data!$G$14:$G$30,MATCH('R5 - Output Incentives'!J$6+RIGHT('R5 - Output Incentives'!$C62,2),Data!$C$14:$C$30,0),0))</f>
        <v>0.25</v>
      </c>
      <c r="K62" s="857">
        <f>IF($C62=$B$33,$B$33,INDEX(Data!$G$14:$G$30,MATCH('R5 - Output Incentives'!K$6+RIGHT('R5 - Output Incentives'!$C62,2),Data!$C$14:$C$30,0),0))</f>
        <v>0.25</v>
      </c>
      <c r="L62" s="755"/>
      <c r="M62" s="756"/>
    </row>
    <row r="63" spans="1:13" s="2" customFormat="1">
      <c r="A63" s="160"/>
      <c r="B63" s="35" t="s">
        <v>210</v>
      </c>
      <c r="C63" s="155"/>
      <c r="D63" s="607">
        <f>IFERROR(D61*(1-D62),0)</f>
        <v>0.37025100000000016</v>
      </c>
      <c r="E63" s="608">
        <f t="shared" ref="E63:K63" si="20">IFERROR(E61*(1-E62),0)</f>
        <v>0.54106673318481424</v>
      </c>
      <c r="F63" s="608">
        <f t="shared" si="20"/>
        <v>0.60093900000000011</v>
      </c>
      <c r="G63" s="608">
        <f t="shared" si="20"/>
        <v>0.63666000000000011</v>
      </c>
      <c r="H63" s="608">
        <f t="shared" si="20"/>
        <v>0.64800000000000013</v>
      </c>
      <c r="I63" s="608">
        <f t="shared" si="20"/>
        <v>0.55150861794117756</v>
      </c>
      <c r="J63" s="608">
        <f t="shared" si="20"/>
        <v>0.46618882639274567</v>
      </c>
      <c r="K63" s="608">
        <f t="shared" si="20"/>
        <v>0.37014851747589089</v>
      </c>
      <c r="L63" s="652">
        <f>SUM(D63:INDEX(D63:K63,0,MATCH('RFPR cover'!$C$7,$D$6:$K$6,0)))</f>
        <v>4.1847626949946282</v>
      </c>
      <c r="M63" s="653">
        <f>SUM(D63:K63)</f>
        <v>4.1847626949946282</v>
      </c>
    </row>
    <row r="64" spans="1:13" s="2" customFormat="1">
      <c r="A64" s="160"/>
      <c r="B64" s="51"/>
      <c r="C64" s="156"/>
      <c r="D64" s="156"/>
      <c r="E64" s="156"/>
      <c r="F64" s="156"/>
      <c r="G64" s="156"/>
      <c r="H64" s="156"/>
      <c r="I64" s="156"/>
      <c r="J64" s="156"/>
      <c r="K64" s="156"/>
      <c r="L64" s="156"/>
      <c r="M64" s="156"/>
    </row>
    <row r="65" spans="1:14" s="2" customFormat="1">
      <c r="A65" s="160" t="str">
        <f>$A$15</f>
        <v>e</v>
      </c>
      <c r="B65" s="171" t="str">
        <f>INDEX($B$11:$B$15,MATCH($A65,$A$11:$A$15,0),0)&amp;""</f>
        <v>Losses discretionary reward scheme</v>
      </c>
      <c r="C65" s="155" t="str">
        <f>'RFPR cover'!$C$14</f>
        <v>£m 12/13</v>
      </c>
      <c r="D65" s="753">
        <f>INDEX($D$11:$K$17,MATCH($A65,$A$11:$A$17,0),0)</f>
        <v>0</v>
      </c>
      <c r="E65" s="753">
        <f t="shared" ref="E65:K65" si="21">INDEX($D$11:$K$17,MATCH($A65,$A$11:$A$17,0),0)</f>
        <v>0.04</v>
      </c>
      <c r="F65" s="753">
        <f t="shared" si="21"/>
        <v>0</v>
      </c>
      <c r="G65" s="753">
        <f t="shared" si="21"/>
        <v>0</v>
      </c>
      <c r="H65" s="753">
        <f t="shared" si="21"/>
        <v>0</v>
      </c>
      <c r="I65" s="753">
        <f t="shared" si="21"/>
        <v>0</v>
      </c>
      <c r="J65" s="753">
        <f t="shared" si="21"/>
        <v>0</v>
      </c>
      <c r="K65" s="753">
        <f t="shared" si="21"/>
        <v>0</v>
      </c>
      <c r="L65" s="654">
        <f>SUM(D65:INDEX(D65:K65,0,MATCH('RFPR cover'!$C$7,$D$6:$K$6,0)))</f>
        <v>0.04</v>
      </c>
      <c r="M65" s="655">
        <f>SUM(D65:K65)</f>
        <v>0.04</v>
      </c>
    </row>
    <row r="66" spans="1:14" s="2" customFormat="1">
      <c r="A66" s="160"/>
      <c r="B66" s="35" t="s">
        <v>201</v>
      </c>
      <c r="C66" s="294" t="s">
        <v>209</v>
      </c>
      <c r="D66" s="855">
        <f>IF($C66=$B$33,$B$33,INDEX(Data!$G$14:$G$30,MATCH('R5 - Output Incentives'!D$6+RIGHT('R5 - Output Incentives'!$C66,2),Data!$C$14:$C$30,0),0))</f>
        <v>0.2</v>
      </c>
      <c r="E66" s="856">
        <f>IF($C66=$B$33,$B$33,INDEX(Data!$G$14:$G$30,MATCH('R5 - Output Incentives'!E$6+RIGHT('R5 - Output Incentives'!$C66,2),Data!$C$14:$C$30,0),0))</f>
        <v>0.19</v>
      </c>
      <c r="F66" s="856">
        <f>IF($C66=$B$33,$B$33,INDEX(Data!$G$14:$G$30,MATCH('R5 - Output Incentives'!F$6+RIGHT('R5 - Output Incentives'!$C66,2),Data!$C$14:$C$30,0),0))</f>
        <v>0.19</v>
      </c>
      <c r="G66" s="856">
        <f>IF($C66=$B$33,$B$33,INDEX(Data!$G$14:$G$30,MATCH('R5 - Output Incentives'!G$6+RIGHT('R5 - Output Incentives'!$C66,2),Data!$C$14:$C$30,0),0))</f>
        <v>0.19</v>
      </c>
      <c r="H66" s="856">
        <f>IF($C66=$B$33,$B$33,INDEX(Data!$G$14:$G$30,MATCH('R5 - Output Incentives'!H$6+RIGHT('R5 - Output Incentives'!$C66,2),Data!$C$14:$C$30,0),0))</f>
        <v>0.19</v>
      </c>
      <c r="I66" s="856">
        <f>IF($C66=$B$33,$B$33,INDEX(Data!$G$14:$G$30,MATCH('R5 - Output Incentives'!I$6+RIGHT('R5 - Output Incentives'!$C66,2),Data!$C$14:$C$30,0),0))</f>
        <v>0.19</v>
      </c>
      <c r="J66" s="856">
        <f>IF($C66=$B$33,$B$33,INDEX(Data!$G$14:$G$30,MATCH('R5 - Output Incentives'!J$6+RIGHT('R5 - Output Incentives'!$C66,2),Data!$C$14:$C$30,0),0))</f>
        <v>0.19</v>
      </c>
      <c r="K66" s="857">
        <f>IF($C66=$B$33,$B$33,INDEX(Data!$G$14:$G$30,MATCH('R5 - Output Incentives'!K$6+RIGHT('R5 - Output Incentives'!$C66,2),Data!$C$14:$C$30,0),0))</f>
        <v>0.25</v>
      </c>
      <c r="L66" s="755"/>
      <c r="M66" s="756"/>
    </row>
    <row r="67" spans="1:14" s="2" customFormat="1">
      <c r="A67" s="160"/>
      <c r="B67" s="35" t="s">
        <v>210</v>
      </c>
      <c r="C67" s="155"/>
      <c r="D67" s="607">
        <f>IFERROR(D65*(1-D66),0)</f>
        <v>0</v>
      </c>
      <c r="E67" s="608">
        <f t="shared" ref="E67:K67" si="22">IFERROR(E65*(1-E66),0)</f>
        <v>3.2400000000000005E-2</v>
      </c>
      <c r="F67" s="608">
        <f t="shared" si="22"/>
        <v>0</v>
      </c>
      <c r="G67" s="608">
        <f t="shared" si="22"/>
        <v>0</v>
      </c>
      <c r="H67" s="608">
        <f t="shared" si="22"/>
        <v>0</v>
      </c>
      <c r="I67" s="608">
        <f t="shared" si="22"/>
        <v>0</v>
      </c>
      <c r="J67" s="608">
        <f t="shared" si="22"/>
        <v>0</v>
      </c>
      <c r="K67" s="608">
        <f t="shared" si="22"/>
        <v>0</v>
      </c>
      <c r="L67" s="652">
        <f>SUM(D67:INDEX(D67:K67,0,MATCH('RFPR cover'!$C$7,$D$6:$K$6,0)))</f>
        <v>3.2400000000000005E-2</v>
      </c>
      <c r="M67" s="653">
        <f>SUM(D67:K67)</f>
        <v>3.2400000000000005E-2</v>
      </c>
    </row>
    <row r="68" spans="1:14" s="2" customFormat="1">
      <c r="A68" s="160"/>
      <c r="B68" s="51"/>
      <c r="C68" s="156"/>
      <c r="D68" s="156"/>
      <c r="E68" s="156"/>
      <c r="F68" s="156"/>
      <c r="G68" s="156"/>
      <c r="H68" s="156"/>
      <c r="I68" s="156"/>
      <c r="J68" s="156"/>
      <c r="K68" s="156"/>
      <c r="L68" s="156"/>
      <c r="M68" s="156"/>
    </row>
    <row r="69" spans="1:14" s="2" customFormat="1">
      <c r="A69" s="160" t="str">
        <f>$A$16</f>
        <v>f</v>
      </c>
      <c r="B69" s="171" t="str">
        <f>INDEX($B$11:$B$17,MATCH($A69,$A$11:$A$17,0),0)&amp;""</f>
        <v/>
      </c>
      <c r="C69" s="155" t="str">
        <f>'RFPR cover'!$C$14</f>
        <v>£m 12/13</v>
      </c>
      <c r="D69" s="753">
        <f>INDEX($D$11:$K$17,MATCH($A69,$A$11:$A$17,0),0)</f>
        <v>0</v>
      </c>
      <c r="E69" s="753">
        <f t="shared" ref="E69:K69" si="23">INDEX($D$11:$K$17,MATCH($A69,$A$11:$A$17,0),0)</f>
        <v>0</v>
      </c>
      <c r="F69" s="753">
        <f t="shared" si="23"/>
        <v>0</v>
      </c>
      <c r="G69" s="753">
        <f t="shared" si="23"/>
        <v>0</v>
      </c>
      <c r="H69" s="753">
        <f t="shared" si="23"/>
        <v>0</v>
      </c>
      <c r="I69" s="753">
        <f t="shared" si="23"/>
        <v>0</v>
      </c>
      <c r="J69" s="753">
        <f t="shared" si="23"/>
        <v>0</v>
      </c>
      <c r="K69" s="753">
        <f t="shared" si="23"/>
        <v>0</v>
      </c>
      <c r="L69" s="654">
        <f>SUM(D69:INDEX(D69:K69,0,MATCH('RFPR cover'!$C$7,$D$6:$K$6,0)))</f>
        <v>0</v>
      </c>
      <c r="M69" s="655">
        <f>SUM(D69:K69)</f>
        <v>0</v>
      </c>
    </row>
    <row r="70" spans="1:14" s="2" customFormat="1">
      <c r="A70" s="160"/>
      <c r="B70" s="35" t="s">
        <v>201</v>
      </c>
      <c r="C70" s="294" t="s">
        <v>209</v>
      </c>
      <c r="D70" s="855">
        <f>IF($C70=$B$33,$B$33,INDEX(Data!$G$14:$G$30,MATCH('R5 - Output Incentives'!D$6+RIGHT('R5 - Output Incentives'!$C70,2),Data!$C$14:$C$30,0),0))</f>
        <v>0.2</v>
      </c>
      <c r="E70" s="856">
        <f>IF($C70=$B$33,$B$33,INDEX(Data!$G$14:$G$30,MATCH('R5 - Output Incentives'!E$6+RIGHT('R5 - Output Incentives'!$C70,2),Data!$C$14:$C$30,0),0))</f>
        <v>0.19</v>
      </c>
      <c r="F70" s="856">
        <f>IF($C70=$B$33,$B$33,INDEX(Data!$G$14:$G$30,MATCH('R5 - Output Incentives'!F$6+RIGHT('R5 - Output Incentives'!$C70,2),Data!$C$14:$C$30,0),0))</f>
        <v>0.19</v>
      </c>
      <c r="G70" s="856">
        <f>IF($C70=$B$33,$B$33,INDEX(Data!$G$14:$G$30,MATCH('R5 - Output Incentives'!G$6+RIGHT('R5 - Output Incentives'!$C70,2),Data!$C$14:$C$30,0),0))</f>
        <v>0.19</v>
      </c>
      <c r="H70" s="856">
        <f>IF($C70=$B$33,$B$33,INDEX(Data!$G$14:$G$30,MATCH('R5 - Output Incentives'!H$6+RIGHT('R5 - Output Incentives'!$C70,2),Data!$C$14:$C$30,0),0))</f>
        <v>0.19</v>
      </c>
      <c r="I70" s="856">
        <f>IF($C70=$B$33,$B$33,INDEX(Data!$G$14:$G$30,MATCH('R5 - Output Incentives'!I$6+RIGHT('R5 - Output Incentives'!$C70,2),Data!$C$14:$C$30,0),0))</f>
        <v>0.19</v>
      </c>
      <c r="J70" s="856">
        <f>IF($C70=$B$33,$B$33,INDEX(Data!$G$14:$G$30,MATCH('R5 - Output Incentives'!J$6+RIGHT('R5 - Output Incentives'!$C70,2),Data!$C$14:$C$30,0),0))</f>
        <v>0.19</v>
      </c>
      <c r="K70" s="857">
        <f>IF($C70=$B$33,$B$33,INDEX(Data!$G$14:$G$30,MATCH('R5 - Output Incentives'!K$6+RIGHT('R5 - Output Incentives'!$C70,2),Data!$C$14:$C$30,0),0))</f>
        <v>0.25</v>
      </c>
      <c r="L70" s="755"/>
      <c r="M70" s="756"/>
    </row>
    <row r="71" spans="1:14" s="2" customFormat="1">
      <c r="A71" s="160"/>
      <c r="B71" s="35" t="s">
        <v>210</v>
      </c>
      <c r="C71" s="155"/>
      <c r="D71" s="607">
        <f>IFERROR(D69*(1-D70),0)</f>
        <v>0</v>
      </c>
      <c r="E71" s="608">
        <f t="shared" ref="E71:K71" si="24">IFERROR(E69*(1-E70),0)</f>
        <v>0</v>
      </c>
      <c r="F71" s="608">
        <f t="shared" si="24"/>
        <v>0</v>
      </c>
      <c r="G71" s="608">
        <f t="shared" si="24"/>
        <v>0</v>
      </c>
      <c r="H71" s="608">
        <f t="shared" si="24"/>
        <v>0</v>
      </c>
      <c r="I71" s="608">
        <f t="shared" si="24"/>
        <v>0</v>
      </c>
      <c r="J71" s="608">
        <f t="shared" si="24"/>
        <v>0</v>
      </c>
      <c r="K71" s="608">
        <f t="shared" si="24"/>
        <v>0</v>
      </c>
      <c r="L71" s="652">
        <f>SUM(D71:INDEX(D71:K71,0,MATCH('RFPR cover'!$C$7,$D$6:$K$6,0)))</f>
        <v>0</v>
      </c>
      <c r="M71" s="653">
        <f>SUM(D71:K71)</f>
        <v>0</v>
      </c>
    </row>
    <row r="72" spans="1:14" s="2" customFormat="1">
      <c r="A72" s="160"/>
      <c r="B72" s="51"/>
      <c r="C72" s="156"/>
      <c r="D72" s="156"/>
      <c r="E72" s="156"/>
      <c r="F72" s="156"/>
      <c r="G72" s="156"/>
      <c r="H72" s="156"/>
      <c r="I72" s="156"/>
      <c r="J72" s="156"/>
      <c r="K72" s="156"/>
      <c r="L72" s="156"/>
      <c r="M72" s="156"/>
    </row>
    <row r="73" spans="1:14" s="2" customFormat="1">
      <c r="A73" s="160" t="s">
        <v>471</v>
      </c>
      <c r="B73" s="171" t="str">
        <f>INDEX($B$11:$B$17,MATCH($A73,$A$11:$A$17,0),0)&amp;""</f>
        <v/>
      </c>
      <c r="C73" s="155" t="str">
        <f>'RFPR cover'!$C$14</f>
        <v>£m 12/13</v>
      </c>
      <c r="D73" s="753">
        <f>INDEX($D$11:$K$17,MATCH($A73,$A$11:$A$17,0),0)</f>
        <v>0</v>
      </c>
      <c r="E73" s="753">
        <f t="shared" ref="E73:K73" si="25">INDEX($D$11:$K$17,MATCH($A73,$A$11:$A$17,0),0)</f>
        <v>0</v>
      </c>
      <c r="F73" s="753">
        <f t="shared" si="25"/>
        <v>0</v>
      </c>
      <c r="G73" s="753">
        <f t="shared" si="25"/>
        <v>0</v>
      </c>
      <c r="H73" s="753">
        <f t="shared" si="25"/>
        <v>0</v>
      </c>
      <c r="I73" s="753">
        <f t="shared" si="25"/>
        <v>0</v>
      </c>
      <c r="J73" s="753">
        <f t="shared" si="25"/>
        <v>0</v>
      </c>
      <c r="K73" s="753">
        <f t="shared" si="25"/>
        <v>0</v>
      </c>
      <c r="L73" s="654">
        <f>SUM(D73:INDEX(D73:K73,0,MATCH('RFPR cover'!$C$7,$D$6:$K$6,0)))</f>
        <v>0</v>
      </c>
      <c r="M73" s="655">
        <f>SUM(D73:K73)</f>
        <v>0</v>
      </c>
    </row>
    <row r="74" spans="1:14" s="2" customFormat="1">
      <c r="A74" s="160"/>
      <c r="B74" s="35" t="s">
        <v>201</v>
      </c>
      <c r="C74" s="294" t="s">
        <v>209</v>
      </c>
      <c r="D74" s="855">
        <f>IF($C74=$B$33,$B$33,INDEX(Data!$G$14:$G$30,MATCH('R5 - Output Incentives'!D$6+RIGHT('R5 - Output Incentives'!$C74,2),Data!$C$14:$C$30,0),0))</f>
        <v>0.2</v>
      </c>
      <c r="E74" s="856">
        <f>IF($C74=$B$33,$B$33,INDEX(Data!$G$14:$G$30,MATCH('R5 - Output Incentives'!E$6+RIGHT('R5 - Output Incentives'!$C74,2),Data!$C$14:$C$30,0),0))</f>
        <v>0.19</v>
      </c>
      <c r="F74" s="856">
        <f>IF($C74=$B$33,$B$33,INDEX(Data!$G$14:$G$30,MATCH('R5 - Output Incentives'!F$6+RIGHT('R5 - Output Incentives'!$C74,2),Data!$C$14:$C$30,0),0))</f>
        <v>0.19</v>
      </c>
      <c r="G74" s="856">
        <f>IF($C74=$B$33,$B$33,INDEX(Data!$G$14:$G$30,MATCH('R5 - Output Incentives'!G$6+RIGHT('R5 - Output Incentives'!$C74,2),Data!$C$14:$C$30,0),0))</f>
        <v>0.19</v>
      </c>
      <c r="H74" s="856">
        <f>IF($C74=$B$33,$B$33,INDEX(Data!$G$14:$G$30,MATCH('R5 - Output Incentives'!H$6+RIGHT('R5 - Output Incentives'!$C74,2),Data!$C$14:$C$30,0),0))</f>
        <v>0.19</v>
      </c>
      <c r="I74" s="856">
        <f>IF($C74=$B$33,$B$33,INDEX(Data!$G$14:$G$30,MATCH('R5 - Output Incentives'!I$6+RIGHT('R5 - Output Incentives'!$C74,2),Data!$C$14:$C$30,0),0))</f>
        <v>0.19</v>
      </c>
      <c r="J74" s="856">
        <f>IF($C74=$B$33,$B$33,INDEX(Data!$G$14:$G$30,MATCH('R5 - Output Incentives'!J$6+RIGHT('R5 - Output Incentives'!$C74,2),Data!$C$14:$C$30,0),0))</f>
        <v>0.19</v>
      </c>
      <c r="K74" s="857">
        <f>IF($C74=$B$33,$B$33,INDEX(Data!$G$14:$G$30,MATCH('R5 - Output Incentives'!K$6+RIGHT('R5 - Output Incentives'!$C74,2),Data!$C$14:$C$30,0),0))</f>
        <v>0.25</v>
      </c>
      <c r="L74" s="755"/>
      <c r="M74" s="756"/>
    </row>
    <row r="75" spans="1:14" s="2" customFormat="1">
      <c r="A75" s="160"/>
      <c r="B75" s="35" t="s">
        <v>210</v>
      </c>
      <c r="C75" s="155"/>
      <c r="D75" s="607">
        <f>IFERROR(D73*(1-D74),0)</f>
        <v>0</v>
      </c>
      <c r="E75" s="608">
        <f t="shared" ref="E75:K75" si="26">IFERROR(E73*(1-E74),0)</f>
        <v>0</v>
      </c>
      <c r="F75" s="608">
        <f t="shared" si="26"/>
        <v>0</v>
      </c>
      <c r="G75" s="608">
        <f t="shared" si="26"/>
        <v>0</v>
      </c>
      <c r="H75" s="608">
        <f t="shared" si="26"/>
        <v>0</v>
      </c>
      <c r="I75" s="608">
        <f t="shared" si="26"/>
        <v>0</v>
      </c>
      <c r="J75" s="608">
        <f t="shared" si="26"/>
        <v>0</v>
      </c>
      <c r="K75" s="608">
        <f t="shared" si="26"/>
        <v>0</v>
      </c>
      <c r="L75" s="652">
        <f>SUM(D75:INDEX(D75:K75,0,MATCH('RFPR cover'!$C$7,$D$6:$K$6,0)))</f>
        <v>0</v>
      </c>
      <c r="M75" s="653">
        <f>SUM(D75:K75)</f>
        <v>0</v>
      </c>
    </row>
    <row r="76" spans="1:14" s="531" customFormat="1" ht="14.25" customHeight="1">
      <c r="A76" s="530"/>
      <c r="C76" s="532"/>
      <c r="D76" s="533"/>
      <c r="E76" s="533"/>
      <c r="F76" s="533"/>
      <c r="G76" s="533"/>
      <c r="H76" s="533"/>
      <c r="I76" s="533"/>
      <c r="J76" s="533"/>
      <c r="K76" s="533"/>
      <c r="L76" s="534"/>
      <c r="M76" s="534"/>
    </row>
    <row r="77" spans="1:14" s="2" customFormat="1">
      <c r="B77" s="116" t="s">
        <v>388</v>
      </c>
      <c r="C77" s="150"/>
      <c r="D77" s="133"/>
      <c r="E77" s="133"/>
      <c r="F77" s="133"/>
      <c r="G77" s="133"/>
      <c r="H77" s="133"/>
      <c r="I77" s="133"/>
      <c r="J77" s="133"/>
      <c r="K77" s="133"/>
      <c r="L77" s="81"/>
      <c r="M77" s="81"/>
      <c r="N77" s="81"/>
    </row>
    <row r="78" spans="1:14" s="2" customFormat="1">
      <c r="B78" s="367" t="s">
        <v>387</v>
      </c>
      <c r="C78" s="291"/>
      <c r="D78" s="292"/>
      <c r="E78" s="292"/>
      <c r="F78" s="292"/>
      <c r="G78" s="292"/>
      <c r="H78" s="292"/>
      <c r="I78" s="292"/>
      <c r="J78" s="292"/>
      <c r="K78" s="292"/>
      <c r="L78" s="293"/>
      <c r="M78" s="293"/>
      <c r="N78" s="293"/>
    </row>
    <row r="79" spans="1:14" s="2" customFormat="1">
      <c r="B79" s="367" t="s">
        <v>389</v>
      </c>
      <c r="C79" s="291"/>
      <c r="D79" s="292"/>
      <c r="E79" s="292"/>
      <c r="F79" s="292"/>
      <c r="G79" s="292"/>
      <c r="H79" s="292"/>
      <c r="I79" s="292"/>
      <c r="J79" s="292"/>
      <c r="K79" s="292"/>
      <c r="L79" s="293"/>
      <c r="M79" s="293"/>
      <c r="N79" s="293"/>
    </row>
    <row r="80" spans="1:14" s="531" customFormat="1">
      <c r="B80" s="536"/>
      <c r="C80" s="537"/>
      <c r="D80" s="538"/>
      <c r="E80" s="538"/>
      <c r="F80" s="538"/>
      <c r="G80" s="538"/>
      <c r="H80" s="538"/>
      <c r="I80" s="538"/>
      <c r="J80" s="538"/>
      <c r="K80" s="538"/>
    </row>
    <row r="81" spans="1:22" s="2" customFormat="1">
      <c r="B81" s="12"/>
      <c r="C81" s="539" t="s">
        <v>390</v>
      </c>
      <c r="D81" s="542" t="str">
        <f t="shared" ref="D81:K81" si="27">IF($C50=$B$33,D$6,IF(D$6-RIGHT($C50,1)&lt;$D$6,"Pre-RIIO",D$6-RIGHT($C50,1)))</f>
        <v>Pre-RIIO</v>
      </c>
      <c r="E81" s="543" t="str">
        <f t="shared" si="27"/>
        <v>Pre-RIIO</v>
      </c>
      <c r="F81" s="543">
        <f t="shared" si="27"/>
        <v>2016</v>
      </c>
      <c r="G81" s="543">
        <f t="shared" si="27"/>
        <v>2017</v>
      </c>
      <c r="H81" s="543">
        <f t="shared" si="27"/>
        <v>2018</v>
      </c>
      <c r="I81" s="543">
        <f t="shared" si="27"/>
        <v>2019</v>
      </c>
      <c r="J81" s="543">
        <f t="shared" si="27"/>
        <v>2020</v>
      </c>
      <c r="K81" s="544">
        <f t="shared" si="27"/>
        <v>2021</v>
      </c>
    </row>
    <row r="82" spans="1:22" s="2" customFormat="1">
      <c r="A82" s="3" t="str">
        <f>A11</f>
        <v>a</v>
      </c>
      <c r="B82" s="129" t="str">
        <f>B11&amp;""</f>
        <v>Broad measure of customer service</v>
      </c>
      <c r="C82" s="136" t="s">
        <v>128</v>
      </c>
      <c r="D82" s="592">
        <v>1.5318180553499996</v>
      </c>
      <c r="E82" s="592">
        <v>1.6797453762794363</v>
      </c>
      <c r="F82" s="592">
        <v>2.7483410074588748</v>
      </c>
      <c r="G82" s="592">
        <v>2.6569000740000011</v>
      </c>
      <c r="H82" s="592">
        <v>3.0954185756615917</v>
      </c>
      <c r="I82" s="592">
        <v>3.1066327332175332</v>
      </c>
      <c r="J82" s="610">
        <v>2.5456046020230918</v>
      </c>
      <c r="K82" s="610">
        <v>2.5764785163993049</v>
      </c>
      <c r="O82" s="915"/>
      <c r="P82" s="967">
        <v>0</v>
      </c>
      <c r="Q82" s="967">
        <v>0</v>
      </c>
      <c r="R82" s="915"/>
      <c r="S82" s="915"/>
      <c r="T82" s="915"/>
      <c r="U82" s="915"/>
      <c r="V82" s="915"/>
    </row>
    <row r="83" spans="1:22" s="2" customFormat="1">
      <c r="A83" s="3"/>
      <c r="B83" s="129"/>
      <c r="C83" s="136"/>
      <c r="D83" s="136"/>
      <c r="E83" s="136"/>
      <c r="F83" s="136"/>
      <c r="G83" s="136"/>
      <c r="H83" s="136"/>
      <c r="I83" s="136"/>
      <c r="J83" s="136"/>
      <c r="K83" s="136"/>
      <c r="L83" s="136"/>
      <c r="O83" s="915"/>
      <c r="P83" s="915"/>
      <c r="Q83" s="915"/>
      <c r="R83" s="915"/>
      <c r="S83" s="915"/>
      <c r="T83" s="915"/>
      <c r="U83" s="915"/>
      <c r="V83" s="915"/>
    </row>
    <row r="84" spans="1:22" s="2" customFormat="1">
      <c r="A84" s="3"/>
      <c r="B84" s="129"/>
      <c r="C84" s="539" t="s">
        <v>390</v>
      </c>
      <c r="D84" s="542" t="str">
        <f t="shared" ref="D84:K84" si="28">IF($C54=$B$33,D$6,IF(D$6-RIGHT($C54,1)&lt;$D$6,"Pre-RIIO",D$6-RIGHT($C54,1)))</f>
        <v>Pre-RIIO</v>
      </c>
      <c r="E84" s="543" t="str">
        <f t="shared" si="28"/>
        <v>Pre-RIIO</v>
      </c>
      <c r="F84" s="543">
        <f t="shared" si="28"/>
        <v>2016</v>
      </c>
      <c r="G84" s="543">
        <f t="shared" si="28"/>
        <v>2017</v>
      </c>
      <c r="H84" s="543">
        <f t="shared" si="28"/>
        <v>2018</v>
      </c>
      <c r="I84" s="543">
        <f t="shared" si="28"/>
        <v>2019</v>
      </c>
      <c r="J84" s="543">
        <f t="shared" si="28"/>
        <v>2020</v>
      </c>
      <c r="K84" s="544">
        <f t="shared" si="28"/>
        <v>2021</v>
      </c>
      <c r="O84" s="915"/>
      <c r="P84" s="915"/>
      <c r="Q84" s="915"/>
      <c r="R84" s="915"/>
      <c r="S84" s="915"/>
      <c r="T84" s="915"/>
      <c r="U84" s="915"/>
      <c r="V84" s="915"/>
    </row>
    <row r="85" spans="1:22" s="2" customFormat="1">
      <c r="A85" s="3" t="str">
        <f>A12</f>
        <v>b</v>
      </c>
      <c r="B85" s="129" t="str">
        <f>B12&amp;""</f>
        <v>Interruptions-related quality of service</v>
      </c>
      <c r="C85" s="136" t="s">
        <v>128</v>
      </c>
      <c r="D85" s="592">
        <v>4.8450475039499992</v>
      </c>
      <c r="E85" s="592">
        <v>4.7026683197999999</v>
      </c>
      <c r="F85" s="592">
        <v>5.2112505332402117</v>
      </c>
      <c r="G85" s="592">
        <v>5.8535884616814347</v>
      </c>
      <c r="H85" s="592">
        <v>3.2193322062076191</v>
      </c>
      <c r="I85" s="592">
        <v>6.3075545434771403</v>
      </c>
      <c r="J85" s="592">
        <v>6.4313919937153905</v>
      </c>
      <c r="K85" s="610">
        <v>7.1410102055615399</v>
      </c>
      <c r="O85" s="915"/>
      <c r="P85" s="915"/>
      <c r="Q85" s="915"/>
      <c r="R85" s="915"/>
      <c r="S85" s="915"/>
      <c r="T85" s="914"/>
      <c r="U85" s="914"/>
      <c r="V85" s="915"/>
    </row>
    <row r="86" spans="1:22" s="2" customFormat="1">
      <c r="A86" s="3"/>
      <c r="B86" s="129"/>
      <c r="C86" s="136"/>
      <c r="D86" s="136"/>
      <c r="E86" s="136"/>
      <c r="F86" s="136"/>
      <c r="G86" s="136"/>
      <c r="H86" s="136"/>
      <c r="I86" s="136"/>
      <c r="J86" s="136"/>
      <c r="K86" s="136"/>
      <c r="L86" s="136"/>
      <c r="O86" s="915"/>
      <c r="P86" s="915"/>
      <c r="Q86" s="915"/>
      <c r="R86" s="915"/>
      <c r="S86" s="915"/>
      <c r="T86" s="915"/>
      <c r="U86" s="915"/>
      <c r="V86" s="915"/>
    </row>
    <row r="87" spans="1:22" s="2" customFormat="1">
      <c r="A87" s="3"/>
      <c r="B87" s="129"/>
      <c r="C87" s="539" t="s">
        <v>390</v>
      </c>
      <c r="D87" s="542" t="str">
        <f t="shared" ref="D87:K87" si="29">IF($C58=$B$33,D$6,IF(D$6-RIGHT($C58,1)&lt;$D$6,"Pre-RIIO",D$6-RIGHT($C58,1)))</f>
        <v>Pre-RIIO</v>
      </c>
      <c r="E87" s="543" t="str">
        <f t="shared" si="29"/>
        <v>Pre-RIIO</v>
      </c>
      <c r="F87" s="543" t="str">
        <f t="shared" si="29"/>
        <v>Pre-RIIO</v>
      </c>
      <c r="G87" s="543">
        <f t="shared" si="29"/>
        <v>2016</v>
      </c>
      <c r="H87" s="543">
        <f t="shared" si="29"/>
        <v>2017</v>
      </c>
      <c r="I87" s="543">
        <f t="shared" si="29"/>
        <v>2018</v>
      </c>
      <c r="J87" s="543">
        <f t="shared" si="29"/>
        <v>2019</v>
      </c>
      <c r="K87" s="544">
        <f t="shared" si="29"/>
        <v>2020</v>
      </c>
      <c r="O87" s="915"/>
      <c r="P87" s="915"/>
      <c r="Q87" s="915"/>
      <c r="R87" s="915"/>
      <c r="S87" s="915"/>
      <c r="T87" s="915"/>
      <c r="U87" s="915"/>
      <c r="V87" s="915"/>
    </row>
    <row r="88" spans="1:22" s="2" customFormat="1">
      <c r="A88" s="3" t="str">
        <f>A13</f>
        <v>c</v>
      </c>
      <c r="B88" s="129" t="str">
        <f>B13&amp;""</f>
        <v>Incentive on connections engagement</v>
      </c>
      <c r="C88" s="136" t="s">
        <v>128</v>
      </c>
      <c r="D88" s="592">
        <v>0</v>
      </c>
      <c r="E88" s="592">
        <v>0</v>
      </c>
      <c r="F88" s="592">
        <v>0</v>
      </c>
      <c r="G88" s="592">
        <v>0</v>
      </c>
      <c r="H88" s="592">
        <v>0</v>
      </c>
      <c r="I88" s="592">
        <v>0</v>
      </c>
      <c r="J88" s="592">
        <v>0</v>
      </c>
      <c r="K88" s="592">
        <v>0</v>
      </c>
      <c r="O88" s="915"/>
      <c r="P88" s="915"/>
      <c r="Q88" s="915"/>
      <c r="R88" s="915"/>
      <c r="S88" s="915"/>
      <c r="T88" s="915"/>
      <c r="U88" s="915"/>
      <c r="V88" s="915"/>
    </row>
    <row r="89" spans="1:22" s="2" customFormat="1">
      <c r="A89" s="3"/>
      <c r="B89" s="129"/>
      <c r="C89" s="136"/>
      <c r="D89" s="136"/>
      <c r="E89" s="136"/>
      <c r="F89" s="136"/>
      <c r="G89" s="136"/>
      <c r="H89" s="136"/>
      <c r="I89" s="136"/>
      <c r="J89" s="136"/>
      <c r="K89" s="136"/>
      <c r="L89" s="136"/>
      <c r="O89" s="915"/>
      <c r="P89" s="915"/>
      <c r="Q89" s="915"/>
      <c r="R89" s="915"/>
      <c r="S89" s="915"/>
      <c r="T89" s="915"/>
      <c r="U89" s="915"/>
      <c r="V89" s="915"/>
    </row>
    <row r="90" spans="1:22" s="2" customFormat="1">
      <c r="A90" s="3"/>
      <c r="B90" s="129"/>
      <c r="C90" s="539" t="s">
        <v>390</v>
      </c>
      <c r="D90" s="542" t="str">
        <f t="shared" ref="D90:K90" si="30">IF($C62=$B$33,D$6,IF(D$6-RIGHT($C62,1)&lt;$D$6,"Pre-RIIO",D$6-RIGHT($C62,1)))</f>
        <v>Pre-RIIO</v>
      </c>
      <c r="E90" s="543" t="str">
        <f t="shared" si="30"/>
        <v>Pre-RIIO</v>
      </c>
      <c r="F90" s="543">
        <f t="shared" si="30"/>
        <v>2016</v>
      </c>
      <c r="G90" s="543">
        <f t="shared" si="30"/>
        <v>2017</v>
      </c>
      <c r="H90" s="543">
        <f t="shared" si="30"/>
        <v>2018</v>
      </c>
      <c r="I90" s="543">
        <f t="shared" si="30"/>
        <v>2019</v>
      </c>
      <c r="J90" s="543">
        <f t="shared" si="30"/>
        <v>2020</v>
      </c>
      <c r="K90" s="544">
        <f t="shared" si="30"/>
        <v>2021</v>
      </c>
      <c r="O90" s="915"/>
      <c r="P90" s="915"/>
      <c r="Q90" s="915"/>
      <c r="R90" s="915"/>
      <c r="S90" s="915"/>
      <c r="T90" s="915"/>
      <c r="U90" s="915"/>
      <c r="V90" s="915"/>
    </row>
    <row r="91" spans="1:22" s="2" customFormat="1">
      <c r="A91" s="3" t="str">
        <f>A14</f>
        <v>d</v>
      </c>
      <c r="B91" s="129" t="str">
        <f>B14&amp;""</f>
        <v>Time to Connect Incentive</v>
      </c>
      <c r="C91" s="136" t="s">
        <v>128</v>
      </c>
      <c r="D91" s="592">
        <v>0</v>
      </c>
      <c r="E91" s="592">
        <v>0</v>
      </c>
      <c r="F91" s="592">
        <v>0.48467078491876997</v>
      </c>
      <c r="G91" s="592">
        <v>0.72333570000000003</v>
      </c>
      <c r="H91" s="592">
        <v>0.83357206580157361</v>
      </c>
      <c r="I91" s="592">
        <v>0.91010560130785745</v>
      </c>
      <c r="J91" s="592">
        <v>0.95029569837539596</v>
      </c>
      <c r="K91" s="592">
        <v>0.81859980858408721</v>
      </c>
      <c r="O91" s="915"/>
      <c r="P91" s="915"/>
      <c r="Q91" s="915"/>
      <c r="R91" s="915"/>
      <c r="S91" s="915"/>
      <c r="T91" s="915"/>
      <c r="U91" s="915"/>
      <c r="V91" s="915"/>
    </row>
    <row r="92" spans="1:22" s="2" customFormat="1">
      <c r="A92" s="3"/>
      <c r="B92" s="129"/>
      <c r="C92" s="136"/>
      <c r="D92" s="136"/>
      <c r="E92" s="136"/>
      <c r="F92" s="136"/>
      <c r="G92" s="136"/>
      <c r="H92" s="136"/>
      <c r="I92" s="136"/>
      <c r="J92" s="136"/>
      <c r="K92" s="136"/>
      <c r="L92" s="136"/>
    </row>
    <row r="93" spans="1:22" s="2" customFormat="1">
      <c r="A93" s="3"/>
      <c r="B93" s="129"/>
      <c r="C93" s="539" t="s">
        <v>390</v>
      </c>
      <c r="D93" s="542" t="str">
        <f>IF($C66=$B$33,D$6,IF(D$6-RIGHT($C66,1)&lt;$D$6,"Pre-RIIO",D$6-RIGHT($C66,1)))</f>
        <v>Pre-RIIO</v>
      </c>
      <c r="E93" s="543">
        <f t="shared" ref="E93:K93" si="31">IF($C66=$B$33,E$6,IF(E$6-RIGHT($C66,1)&lt;$D$6,"Pre-RIIO",E$6-RIGHT($C66,1)))</f>
        <v>2016</v>
      </c>
      <c r="F93" s="543">
        <f t="shared" si="31"/>
        <v>2017</v>
      </c>
      <c r="G93" s="543">
        <f t="shared" si="31"/>
        <v>2018</v>
      </c>
      <c r="H93" s="543">
        <f t="shared" si="31"/>
        <v>2019</v>
      </c>
      <c r="I93" s="543">
        <f t="shared" si="31"/>
        <v>2020</v>
      </c>
      <c r="J93" s="543">
        <f t="shared" si="31"/>
        <v>2021</v>
      </c>
      <c r="K93" s="544">
        <f t="shared" si="31"/>
        <v>2022</v>
      </c>
    </row>
    <row r="94" spans="1:22" s="2" customFormat="1">
      <c r="A94" s="3" t="str">
        <f>A15</f>
        <v>e</v>
      </c>
      <c r="B94" s="129" t="str">
        <f>B15&amp;""</f>
        <v>Losses discretionary reward scheme</v>
      </c>
      <c r="C94" s="136" t="s">
        <v>128</v>
      </c>
      <c r="D94" s="592">
        <v>0</v>
      </c>
      <c r="E94" s="592">
        <v>0</v>
      </c>
      <c r="F94" s="592">
        <v>4.4839999999999998E-2</v>
      </c>
      <c r="G94" s="592">
        <v>0</v>
      </c>
      <c r="H94" s="592">
        <v>0</v>
      </c>
      <c r="I94" s="592">
        <v>0</v>
      </c>
      <c r="J94" s="592">
        <v>0</v>
      </c>
      <c r="K94" s="592">
        <v>0</v>
      </c>
    </row>
    <row r="95" spans="1:22" s="2" customFormat="1">
      <c r="A95" s="3"/>
      <c r="B95" s="129"/>
      <c r="C95" s="136"/>
      <c r="D95" s="136"/>
      <c r="E95" s="136"/>
      <c r="F95" s="136"/>
      <c r="G95" s="136"/>
      <c r="H95" s="136"/>
      <c r="I95" s="136"/>
      <c r="J95" s="136"/>
      <c r="K95" s="136"/>
      <c r="L95" s="136"/>
    </row>
    <row r="96" spans="1:22" s="2" customFormat="1">
      <c r="A96" s="3"/>
      <c r="B96" s="129"/>
      <c r="C96" s="539" t="s">
        <v>390</v>
      </c>
      <c r="D96" s="542" t="str">
        <f>IF($C70=$B$33,D$6,IF(D$6-RIGHT($C70,1)&lt;$D$6,"Pre-RIIO",D$6-RIGHT($C70,1)))</f>
        <v>Pre-RIIO</v>
      </c>
      <c r="E96" s="542">
        <f t="shared" ref="E96:K96" si="32">IF($C70=$B$33,E$6,IF(E$6-RIGHT($C70,1)&lt;$D$6,"Pre-RIIO",E$6-RIGHT($C70,1)))</f>
        <v>2016</v>
      </c>
      <c r="F96" s="542">
        <f t="shared" si="32"/>
        <v>2017</v>
      </c>
      <c r="G96" s="542">
        <f t="shared" si="32"/>
        <v>2018</v>
      </c>
      <c r="H96" s="542">
        <f t="shared" si="32"/>
        <v>2019</v>
      </c>
      <c r="I96" s="542">
        <f t="shared" si="32"/>
        <v>2020</v>
      </c>
      <c r="J96" s="542">
        <f t="shared" si="32"/>
        <v>2021</v>
      </c>
      <c r="K96" s="542">
        <f t="shared" si="32"/>
        <v>2022</v>
      </c>
    </row>
    <row r="97" spans="1:13" s="2" customFormat="1">
      <c r="A97" s="3" t="str">
        <f>A16</f>
        <v>f</v>
      </c>
      <c r="B97" s="129" t="str">
        <f>B16&amp;""</f>
        <v/>
      </c>
      <c r="C97" s="136" t="s">
        <v>128</v>
      </c>
      <c r="D97" s="621"/>
      <c r="E97" s="622"/>
      <c r="F97" s="622"/>
      <c r="G97" s="622"/>
      <c r="H97" s="610"/>
      <c r="I97" s="610"/>
      <c r="J97" s="610"/>
      <c r="K97" s="610"/>
    </row>
    <row r="98" spans="1:13" s="2" customFormat="1">
      <c r="A98" s="3"/>
      <c r="B98" s="129"/>
      <c r="C98" s="136"/>
      <c r="D98" s="136"/>
      <c r="E98" s="136"/>
      <c r="F98" s="136"/>
      <c r="G98" s="136"/>
      <c r="H98" s="136"/>
      <c r="I98" s="136"/>
      <c r="J98" s="136"/>
      <c r="K98" s="136"/>
      <c r="L98" s="136"/>
    </row>
    <row r="99" spans="1:13" s="2" customFormat="1">
      <c r="A99" s="3"/>
      <c r="B99" s="129"/>
      <c r="C99" s="539" t="s">
        <v>390</v>
      </c>
      <c r="D99" s="542" t="str">
        <f>IF($C74=$B$33,D$6,IF(D$6-RIGHT($C74,1)&lt;$D$6,"Pre-RIIO",D$6-RIGHT($C74,1)))</f>
        <v>Pre-RIIO</v>
      </c>
      <c r="E99" s="542">
        <f t="shared" ref="E99:K99" si="33">IF($C74=$B$33,E$6,IF(E$6-RIGHT($C74,1)&lt;$D$6,"Pre-RIIO",E$6-RIGHT($C74,1)))</f>
        <v>2016</v>
      </c>
      <c r="F99" s="542">
        <f t="shared" si="33"/>
        <v>2017</v>
      </c>
      <c r="G99" s="542">
        <f t="shared" si="33"/>
        <v>2018</v>
      </c>
      <c r="H99" s="542">
        <f t="shared" si="33"/>
        <v>2019</v>
      </c>
      <c r="I99" s="542">
        <f t="shared" si="33"/>
        <v>2020</v>
      </c>
      <c r="J99" s="542">
        <f t="shared" si="33"/>
        <v>2021</v>
      </c>
      <c r="K99" s="542">
        <f t="shared" si="33"/>
        <v>2022</v>
      </c>
    </row>
    <row r="100" spans="1:13" s="2" customFormat="1">
      <c r="A100" s="3" t="str">
        <f>A17</f>
        <v>g</v>
      </c>
      <c r="B100" s="129" t="str">
        <f>B17&amp;""</f>
        <v/>
      </c>
      <c r="C100" s="136" t="s">
        <v>128</v>
      </c>
      <c r="D100" s="621"/>
      <c r="E100" s="622"/>
      <c r="F100" s="622"/>
      <c r="G100" s="622"/>
      <c r="H100" s="610"/>
      <c r="I100" s="610"/>
      <c r="J100" s="610"/>
      <c r="K100" s="610"/>
    </row>
    <row r="101" spans="1:13" s="2" customFormat="1">
      <c r="A101" s="3"/>
      <c r="B101" s="129"/>
      <c r="C101" s="136"/>
      <c r="D101" s="136"/>
      <c r="E101" s="136"/>
      <c r="F101" s="136"/>
      <c r="G101" s="136"/>
      <c r="H101" s="136"/>
      <c r="I101" s="136"/>
      <c r="J101" s="136"/>
      <c r="K101" s="136"/>
      <c r="L101" s="136"/>
      <c r="M101" s="136"/>
    </row>
    <row r="102" spans="1:13" s="2" customFormat="1">
      <c r="B102" s="12" t="s">
        <v>158</v>
      </c>
      <c r="C102" s="157" t="s">
        <v>128</v>
      </c>
      <c r="D102" s="607">
        <f>SUM(D82,D85,D88,D91,D94,D97,D100)</f>
        <v>6.3768655592999988</v>
      </c>
      <c r="E102" s="607">
        <f t="shared" ref="E102:K102" si="34">SUM(E82,E85,E88,E91,E94,E97,E100)</f>
        <v>6.3824136960794364</v>
      </c>
      <c r="F102" s="607">
        <f t="shared" si="34"/>
        <v>8.489102325617857</v>
      </c>
      <c r="G102" s="607">
        <f t="shared" si="34"/>
        <v>9.2338242356814355</v>
      </c>
      <c r="H102" s="608">
        <f>SUM(H82,H85,H88,H91,H94,H97,H100)</f>
        <v>7.1483228476707845</v>
      </c>
      <c r="I102" s="608">
        <f t="shared" si="34"/>
        <v>10.324292878002531</v>
      </c>
      <c r="J102" s="608">
        <f t="shared" si="34"/>
        <v>9.9272922941138777</v>
      </c>
      <c r="K102" s="608">
        <f t="shared" si="34"/>
        <v>10.536088530544932</v>
      </c>
    </row>
    <row r="103" spans="1:13" s="2" customFormat="1">
      <c r="C103" s="136"/>
    </row>
    <row r="104" spans="1:13" s="2" customFormat="1">
      <c r="A104" s="35"/>
      <c r="B104" s="12" t="s">
        <v>366</v>
      </c>
      <c r="C104" s="156"/>
      <c r="D104" s="156"/>
      <c r="E104" s="156"/>
      <c r="F104" s="156"/>
      <c r="G104" s="156"/>
      <c r="H104" s="156"/>
      <c r="I104" s="156"/>
      <c r="J104" s="156"/>
      <c r="K104" s="156"/>
      <c r="L104" s="156"/>
      <c r="M104" s="156"/>
    </row>
    <row r="105" spans="1:13" s="2" customFormat="1" ht="114" customHeight="1">
      <c r="A105" s="269" t="str">
        <f>A82</f>
        <v>a</v>
      </c>
      <c r="B105" s="973" t="str">
        <f t="shared" ref="B105:B108" si="35">+B21</f>
        <v>NGED remains in discussion with Ofgem regarding the 2019/20 and 2020/21 SECV incentive awards. 2019/20 and 2020/21 SECV award forecasts included above reflect the 2021/22 SECV award.
The 2021/22 actuals have been updated from the 2021/22 RFPR submission following final Ofgem approval of Broad Measure Incentives. This has decreased the Broad Measure incentive earned in 2021/22 from that reported in the 2021/22 RFPR  by -£0.096m. 2023 actuals are subject to change until Ofgem confirm our performance KPIs later in 2023.</v>
      </c>
      <c r="C105" s="912"/>
      <c r="D105" s="912"/>
      <c r="E105" s="912"/>
      <c r="F105" s="912"/>
      <c r="G105" s="912"/>
      <c r="H105" s="912"/>
      <c r="I105" s="912"/>
      <c r="J105" s="912"/>
      <c r="K105" s="912"/>
      <c r="L105" s="912"/>
      <c r="M105" s="912"/>
    </row>
    <row r="106" spans="1:13" s="2" customFormat="1" ht="63.75">
      <c r="A106" s="269" t="str">
        <f>A85</f>
        <v>b</v>
      </c>
      <c r="B106" s="973" t="str">
        <f t="shared" si="35"/>
        <v>The 2021 and 2022 actuals have been updated to equal the final Ofgem approved values for Interruptions related quality of service performance.  This has decreased the Output Incentive in 2021 by -£0.007m and increased the Output Incentive in 2022 by £0.084m. 2023 actuals are subject to change until Ofgem confirm our performance KPIs later in 2023.</v>
      </c>
      <c r="C106" s="912"/>
      <c r="D106" s="912"/>
      <c r="E106" s="912"/>
      <c r="F106" s="912"/>
      <c r="G106" s="912"/>
      <c r="H106" s="912"/>
      <c r="I106" s="912"/>
      <c r="J106" s="912"/>
      <c r="K106" s="912"/>
      <c r="L106" s="912"/>
      <c r="M106" s="912"/>
    </row>
    <row r="107" spans="1:13" s="2" customFormat="1">
      <c r="A107" s="269" t="str">
        <f>A88</f>
        <v>c</v>
      </c>
      <c r="B107" s="973"/>
      <c r="C107" s="912"/>
      <c r="D107" s="912"/>
      <c r="E107" s="912"/>
      <c r="F107" s="912"/>
      <c r="G107" s="912"/>
      <c r="H107" s="912"/>
      <c r="I107" s="912"/>
      <c r="J107" s="912"/>
      <c r="K107" s="912"/>
      <c r="L107" s="912"/>
      <c r="M107" s="912"/>
    </row>
    <row r="108" spans="1:13" s="2" customFormat="1">
      <c r="A108" s="269" t="str">
        <f>A91</f>
        <v>d</v>
      </c>
      <c r="B108" s="953" t="str">
        <f t="shared" si="35"/>
        <v>2023 actuals are subject to change until Ofgem confirm our performance KPIs later in 2023.</v>
      </c>
      <c r="C108" s="912"/>
      <c r="D108" s="912"/>
      <c r="E108" s="912"/>
      <c r="F108" s="912"/>
      <c r="G108" s="912"/>
      <c r="H108" s="912"/>
      <c r="I108" s="912"/>
      <c r="J108" s="912"/>
      <c r="K108" s="912"/>
      <c r="L108" s="912"/>
      <c r="M108" s="912"/>
    </row>
    <row r="109" spans="1:13" s="2" customFormat="1">
      <c r="A109" s="269" t="str">
        <f>A94</f>
        <v>e</v>
      </c>
      <c r="B109" s="953"/>
      <c r="C109" s="912"/>
      <c r="D109" s="912"/>
      <c r="E109" s="912"/>
      <c r="F109" s="912"/>
      <c r="G109" s="912"/>
      <c r="H109" s="912"/>
      <c r="I109" s="912"/>
      <c r="J109" s="912"/>
      <c r="K109" s="912"/>
      <c r="L109" s="912"/>
      <c r="M109" s="912"/>
    </row>
    <row r="110" spans="1:13" s="2" customFormat="1">
      <c r="A110" s="269" t="str">
        <f>A97</f>
        <v>f</v>
      </c>
      <c r="B110" s="1017"/>
      <c r="C110" s="1017"/>
      <c r="D110" s="1017"/>
      <c r="E110" s="1017"/>
      <c r="F110" s="1017"/>
      <c r="G110" s="1017"/>
      <c r="H110" s="1017"/>
      <c r="I110" s="1017"/>
      <c r="J110" s="1017"/>
      <c r="K110" s="1017"/>
      <c r="L110" s="1017"/>
      <c r="M110" s="1017"/>
    </row>
    <row r="111" spans="1:13" s="2" customFormat="1">
      <c r="A111" s="269" t="str">
        <f>A100</f>
        <v>g</v>
      </c>
      <c r="B111" s="1017"/>
      <c r="C111" s="1017"/>
      <c r="D111" s="1017"/>
      <c r="E111" s="1017"/>
      <c r="F111" s="1017"/>
      <c r="G111" s="1017"/>
      <c r="H111" s="1017"/>
      <c r="I111" s="1017"/>
      <c r="J111" s="1017"/>
      <c r="K111" s="1017"/>
      <c r="L111" s="1017"/>
      <c r="M111" s="1017"/>
    </row>
    <row r="112" spans="1:13" s="531" customFormat="1">
      <c r="A112" s="530"/>
      <c r="C112" s="532"/>
      <c r="D112" s="533"/>
      <c r="E112" s="533"/>
      <c r="F112" s="533"/>
      <c r="G112" s="533"/>
      <c r="H112" s="533"/>
      <c r="I112" s="533"/>
      <c r="J112" s="533"/>
      <c r="K112" s="533"/>
      <c r="L112" s="534"/>
      <c r="M112" s="534"/>
    </row>
    <row r="113" spans="1:14" s="531" customFormat="1">
      <c r="A113" s="530"/>
      <c r="C113" s="532"/>
      <c r="D113" s="532"/>
      <c r="E113" s="532"/>
      <c r="F113" s="532"/>
      <c r="G113" s="532"/>
      <c r="H113" s="532"/>
      <c r="I113" s="532"/>
      <c r="J113" s="532"/>
      <c r="K113" s="532"/>
      <c r="L113" s="532"/>
      <c r="M113" s="532"/>
    </row>
    <row r="114" spans="1:14" s="2" customFormat="1">
      <c r="A114" s="81"/>
      <c r="B114" s="81"/>
      <c r="C114" s="150"/>
      <c r="D114" s="81"/>
      <c r="E114" s="81"/>
      <c r="F114" s="81"/>
      <c r="G114" s="81"/>
      <c r="H114" s="81"/>
      <c r="I114" s="81"/>
      <c r="J114" s="81"/>
      <c r="K114" s="81"/>
      <c r="L114" s="81"/>
      <c r="M114" s="81"/>
      <c r="N114" s="81"/>
    </row>
  </sheetData>
  <mergeCells count="7">
    <mergeCell ref="B110:M110"/>
    <mergeCell ref="B111:M111"/>
    <mergeCell ref="B21:M21"/>
    <mergeCell ref="B22:M22"/>
    <mergeCell ref="B23:M23"/>
    <mergeCell ref="B24:M24"/>
    <mergeCell ref="B25:M25"/>
  </mergeCells>
  <conditionalFormatting sqref="D6:K6">
    <cfRule type="expression" dxfId="66" priority="31">
      <formula>AND(D$5="Actuals",E$5="Forecast")</formula>
    </cfRule>
  </conditionalFormatting>
  <conditionalFormatting sqref="D5:K5">
    <cfRule type="expression" dxfId="65"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3.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CC285FE4-1466-4BF7-8FA9-67F63A3D57B8}">
  <ds:schemaRefs>
    <ds:schemaRef ds:uri="http://schemas.microsoft.com/office/2006/metadata/properties"/>
    <ds:schemaRef ds:uri="http://purl.org/dc/terms/"/>
    <ds:schemaRef ds:uri="http://schemas.microsoft.com/office/2006/documentManagement/types"/>
    <ds:schemaRef ds:uri="b1b6b1d3-9b1c-419f-ba2e-fefc168d435a"/>
    <ds:schemaRef ds:uri="http://purl.org/dc/elements/1.1/"/>
    <ds:schemaRef ds:uri="http://schemas.microsoft.com/office/infopath/2007/PartnerControls"/>
    <ds:schemaRef ds:uri="http://schemas.openxmlformats.org/package/2006/metadata/core-properties"/>
    <ds:schemaRef ds:uri="f35b5cbd-7b0b-4440-92cd-b510cab4ec6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lastModifiedBy>Bartlam, Katherine</cp:lastModifiedBy>
  <cp:lastPrinted>2018-10-02T10:25:02Z</cp:lastPrinted>
  <dcterms:created xsi:type="dcterms:W3CDTF">2018-06-13T08:32:09Z</dcterms:created>
  <dcterms:modified xsi:type="dcterms:W3CDTF">2023-07-31T11:42:47Z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