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64011"/>
  <mc:AlternateContent xmlns:mc="http://schemas.openxmlformats.org/markup-compatibility/2006">
    <mc:Choice Requires="x15">
      <x15ac:absPath xmlns:x15ac="http://schemas.microsoft.com/office/spreadsheetml/2010/11/ac" url="T:\ED1 RRPs\RRP 2022 23\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log'!$A$1:$D$62</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29" l="1"/>
  <c r="D19" i="29"/>
  <c r="K14" i="4"/>
  <c r="K57" i="5"/>
  <c r="K59" i="5"/>
  <c r="K41" i="5"/>
  <c r="K53" i="1"/>
  <c r="K53" i="5"/>
  <c r="K55" i="5"/>
  <c r="K40" i="5"/>
  <c r="K52" i="1"/>
  <c r="I49" i="5"/>
  <c r="I51" i="5"/>
  <c r="I39" i="5"/>
  <c r="K14" i="19"/>
  <c r="D35" i="19"/>
  <c r="F19" i="19"/>
  <c r="H19" i="19"/>
  <c r="J14" i="19"/>
  <c r="I14" i="19"/>
  <c r="H14" i="19"/>
  <c r="G14" i="19"/>
  <c r="F14" i="19"/>
  <c r="D14" i="19"/>
  <c r="G17" i="3"/>
  <c r="G18" i="4"/>
  <c r="F17" i="3"/>
  <c r="F18" i="4"/>
  <c r="E17" i="3"/>
  <c r="E18" i="4"/>
  <c r="E12" i="3"/>
  <c r="E17" i="4"/>
  <c r="J12" i="3"/>
  <c r="J17" i="4"/>
  <c r="D12" i="3"/>
  <c r="D17" i="4"/>
  <c r="I102" i="5"/>
  <c r="H102" i="5"/>
  <c r="H15" i="4"/>
  <c r="D53" i="5"/>
  <c r="D55" i="5"/>
  <c r="D40" i="5"/>
  <c r="E53" i="5"/>
  <c r="E55" i="5"/>
  <c r="E40" i="5"/>
  <c r="E52" i="1"/>
  <c r="F53" i="5"/>
  <c r="F55" i="5"/>
  <c r="F40" i="5"/>
  <c r="F52" i="1"/>
  <c r="G53" i="5"/>
  <c r="G55" i="5"/>
  <c r="G40" i="5"/>
  <c r="G52" i="1"/>
  <c r="G57" i="5"/>
  <c r="G59" i="5"/>
  <c r="G41" i="5"/>
  <c r="G53" i="1"/>
  <c r="D61" i="5"/>
  <c r="E61" i="5"/>
  <c r="E63" i="5"/>
  <c r="E42" i="5"/>
  <c r="F61" i="5"/>
  <c r="F63" i="5"/>
  <c r="F42" i="5"/>
  <c r="F54" i="1"/>
  <c r="G61" i="5"/>
  <c r="G63" i="5"/>
  <c r="G42" i="5"/>
  <c r="G54" i="1"/>
  <c r="H61" i="5"/>
  <c r="H63" i="5"/>
  <c r="H42" i="5"/>
  <c r="H54" i="1"/>
  <c r="E65" i="5"/>
  <c r="E67" i="5"/>
  <c r="E43" i="5"/>
  <c r="E55" i="1"/>
  <c r="I65" i="5"/>
  <c r="I67" i="5"/>
  <c r="I43" i="5"/>
  <c r="I55" i="1"/>
  <c r="F69" i="5"/>
  <c r="F71" i="5"/>
  <c r="F44" i="5"/>
  <c r="J69" i="5"/>
  <c r="E49" i="5"/>
  <c r="E51" i="5"/>
  <c r="E39" i="5"/>
  <c r="E51" i="1"/>
  <c r="F49" i="5"/>
  <c r="F51" i="5"/>
  <c r="F39" i="5"/>
  <c r="D49" i="5"/>
  <c r="D51" i="5"/>
  <c r="D39" i="5"/>
  <c r="D51" i="1"/>
  <c r="I78" i="15"/>
  <c r="G78" i="15"/>
  <c r="I14" i="4"/>
  <c r="D18" i="10"/>
  <c r="T83" i="28"/>
  <c r="K40" i="10"/>
  <c r="K43" i="10"/>
  <c r="F91" i="2"/>
  <c r="K91" i="2"/>
  <c r="G49" i="5"/>
  <c r="G51" i="5"/>
  <c r="G39" i="5"/>
  <c r="K49" i="5"/>
  <c r="K51" i="5"/>
  <c r="K39" i="5"/>
  <c r="I53" i="5"/>
  <c r="I55" i="5"/>
  <c r="D57" i="5"/>
  <c r="D59" i="5"/>
  <c r="D41" i="5"/>
  <c r="D53" i="1"/>
  <c r="E57" i="5"/>
  <c r="E59" i="5"/>
  <c r="E41" i="5"/>
  <c r="E53" i="1"/>
  <c r="F57" i="5"/>
  <c r="F59" i="5"/>
  <c r="F65" i="5"/>
  <c r="F67" i="5"/>
  <c r="F43" i="5"/>
  <c r="F55" i="1"/>
  <c r="G65" i="5"/>
  <c r="G67" i="5"/>
  <c r="K65" i="5"/>
  <c r="K67" i="5"/>
  <c r="K43" i="5"/>
  <c r="K55" i="1"/>
  <c r="D14" i="20"/>
  <c r="D16" i="20"/>
  <c r="D8" i="20"/>
  <c r="D57" i="1"/>
  <c r="E14" i="20"/>
  <c r="E16" i="20"/>
  <c r="E21" i="20"/>
  <c r="G14" i="20"/>
  <c r="G16" i="20"/>
  <c r="G21" i="20"/>
  <c r="H14" i="20"/>
  <c r="H16" i="20"/>
  <c r="H21" i="20"/>
  <c r="E19" i="29"/>
  <c r="G13" i="11"/>
  <c r="K63" i="29"/>
  <c r="J63" i="29"/>
  <c r="I63" i="29"/>
  <c r="H63" i="29"/>
  <c r="G63" i="29"/>
  <c r="F63" i="29"/>
  <c r="D63" i="29"/>
  <c r="E63" i="29"/>
  <c r="J20" i="20"/>
  <c r="J21" i="20"/>
  <c r="J8" i="20"/>
  <c r="J57" i="1"/>
  <c r="T81" i="28"/>
  <c r="J11" i="20"/>
  <c r="E19" i="19"/>
  <c r="F26" i="28"/>
  <c r="D13" i="11"/>
  <c r="I20" i="20"/>
  <c r="I21" i="20"/>
  <c r="I8" i="20"/>
  <c r="I57" i="1"/>
  <c r="K17" i="3"/>
  <c r="K18" i="4"/>
  <c r="I16" i="20"/>
  <c r="K14" i="20"/>
  <c r="J14" i="20"/>
  <c r="I14" i="20"/>
  <c r="K15" i="20"/>
  <c r="K16" i="20"/>
  <c r="J15" i="20"/>
  <c r="J16" i="20"/>
  <c r="B108" i="5"/>
  <c r="B106" i="5"/>
  <c r="B105" i="5"/>
  <c r="B21" i="1"/>
  <c r="B3" i="1"/>
  <c r="B3" i="11"/>
  <c r="A3" i="20"/>
  <c r="A2" i="20"/>
  <c r="A3" i="19"/>
  <c r="A2" i="19"/>
  <c r="A3" i="11"/>
  <c r="A2" i="11"/>
  <c r="K19" i="29"/>
  <c r="A3" i="29"/>
  <c r="A2" i="29"/>
  <c r="K28" i="10"/>
  <c r="J28" i="10"/>
  <c r="I28" i="10"/>
  <c r="H28" i="10"/>
  <c r="G28" i="10"/>
  <c r="F28" i="10"/>
  <c r="E28" i="10"/>
  <c r="D28" i="10"/>
  <c r="A3" i="10"/>
  <c r="A2" i="10"/>
  <c r="I12" i="3"/>
  <c r="I17" i="4"/>
  <c r="B3" i="3"/>
  <c r="A3" i="3"/>
  <c r="A2" i="3"/>
  <c r="A111" i="5"/>
  <c r="A110" i="5"/>
  <c r="A109" i="5"/>
  <c r="A108" i="5"/>
  <c r="A107" i="5"/>
  <c r="A106" i="5"/>
  <c r="A105" i="5"/>
  <c r="A100" i="5"/>
  <c r="A97" i="5"/>
  <c r="A94" i="5"/>
  <c r="A91" i="5"/>
  <c r="A88" i="5"/>
  <c r="A85" i="5"/>
  <c r="A82" i="5"/>
  <c r="K73" i="5"/>
  <c r="K75" i="5"/>
  <c r="K45" i="5"/>
  <c r="J73" i="5"/>
  <c r="J75" i="5"/>
  <c r="I73" i="5"/>
  <c r="I75" i="5"/>
  <c r="I45" i="5"/>
  <c r="E73" i="5"/>
  <c r="E75" i="5"/>
  <c r="E45" i="5"/>
  <c r="D73" i="5"/>
  <c r="K69" i="5"/>
  <c r="K71" i="5"/>
  <c r="K44" i="5"/>
  <c r="G69" i="5"/>
  <c r="G71" i="5"/>
  <c r="G44" i="5"/>
  <c r="E69" i="5"/>
  <c r="E71" i="5"/>
  <c r="E44" i="5"/>
  <c r="D69" i="5"/>
  <c r="A69" i="5"/>
  <c r="A65" i="5"/>
  <c r="A61" i="5"/>
  <c r="A57" i="5"/>
  <c r="A53" i="5"/>
  <c r="A49" i="5"/>
  <c r="A45" i="5"/>
  <c r="A44" i="5"/>
  <c r="A43" i="5"/>
  <c r="A42" i="5"/>
  <c r="A41" i="5"/>
  <c r="A40" i="5"/>
  <c r="A39" i="5"/>
  <c r="A25" i="5"/>
  <c r="A24" i="5"/>
  <c r="A23" i="5"/>
  <c r="A22" i="5"/>
  <c r="A2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J58" i="2"/>
  <c r="I44" i="2"/>
  <c r="I58" i="2"/>
  <c r="H44" i="2"/>
  <c r="H58" i="2"/>
  <c r="G44" i="2"/>
  <c r="G59" i="2"/>
  <c r="F44" i="2"/>
  <c r="F46" i="2"/>
  <c r="E44" i="2"/>
  <c r="E58" i="2"/>
  <c r="D44" i="2"/>
  <c r="D59" i="2"/>
  <c r="M42" i="2"/>
  <c r="K42" i="2"/>
  <c r="J42" i="2"/>
  <c r="I42" i="2"/>
  <c r="H42" i="2"/>
  <c r="G42" i="2"/>
  <c r="F42" i="2"/>
  <c r="E42" i="2"/>
  <c r="D42" i="2"/>
  <c r="M41" i="2"/>
  <c r="M40" i="2"/>
  <c r="K16" i="2"/>
  <c r="J16" i="2"/>
  <c r="I16" i="2"/>
  <c r="H16" i="2"/>
  <c r="G16" i="2"/>
  <c r="F16" i="2"/>
  <c r="E16" i="2"/>
  <c r="D16" i="2"/>
  <c r="L6" i="2"/>
  <c r="A3" i="2"/>
  <c r="A2" i="2"/>
  <c r="A3" i="15"/>
  <c r="A2" i="15"/>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S86" i="28"/>
  <c r="R86" i="28"/>
  <c r="Q86" i="28"/>
  <c r="P86" i="28"/>
  <c r="O86" i="28"/>
  <c r="N86" i="28"/>
  <c r="M86" i="28"/>
  <c r="H86" i="28"/>
  <c r="S85" i="28"/>
  <c r="R85" i="28"/>
  <c r="Q85" i="28"/>
  <c r="P85" i="28"/>
  <c r="O85" i="28"/>
  <c r="N85" i="28"/>
  <c r="M85" i="28"/>
  <c r="H85" i="28"/>
  <c r="S84" i="28"/>
  <c r="R84" i="28"/>
  <c r="Q84" i="28"/>
  <c r="P84" i="28"/>
  <c r="O84" i="28"/>
  <c r="N84" i="28"/>
  <c r="M84" i="28"/>
  <c r="H84" i="28"/>
  <c r="S83" i="28"/>
  <c r="R83" i="28"/>
  <c r="Q83" i="28"/>
  <c r="P83" i="28"/>
  <c r="O83" i="28"/>
  <c r="N83" i="28"/>
  <c r="M83" i="28"/>
  <c r="H83" i="28"/>
  <c r="S82" i="28"/>
  <c r="R82" i="28"/>
  <c r="Q82" i="28"/>
  <c r="P82" i="28"/>
  <c r="O82" i="28"/>
  <c r="N82" i="28"/>
  <c r="M82" i="28"/>
  <c r="H82" i="28"/>
  <c r="S81" i="28"/>
  <c r="R81" i="28"/>
  <c r="Q81" i="28"/>
  <c r="P81" i="28"/>
  <c r="O81" i="28"/>
  <c r="N81" i="28"/>
  <c r="M81" i="28"/>
  <c r="H81" i="28"/>
  <c r="S80" i="28"/>
  <c r="R80" i="28"/>
  <c r="Q80" i="28"/>
  <c r="P80" i="28"/>
  <c r="O80" i="28"/>
  <c r="N80" i="28"/>
  <c r="M80" i="28"/>
  <c r="H80" i="28"/>
  <c r="S79" i="28"/>
  <c r="R79" i="28"/>
  <c r="Q79" i="28"/>
  <c r="P79" i="28"/>
  <c r="O79" i="28"/>
  <c r="N79" i="28"/>
  <c r="M79" i="28"/>
  <c r="H79" i="28"/>
  <c r="S78" i="28"/>
  <c r="R78" i="28"/>
  <c r="Q78" i="28"/>
  <c r="P78" i="28"/>
  <c r="O78" i="28"/>
  <c r="N78" i="28"/>
  <c r="M78" i="28"/>
  <c r="H78" i="28"/>
  <c r="S77" i="28"/>
  <c r="R77" i="28"/>
  <c r="Q77" i="28"/>
  <c r="P77" i="28"/>
  <c r="O77" i="28"/>
  <c r="N77" i="28"/>
  <c r="M77" i="28"/>
  <c r="H77" i="28"/>
  <c r="S76" i="28"/>
  <c r="R76" i="28"/>
  <c r="Q76" i="28"/>
  <c r="P76" i="28"/>
  <c r="O76" i="28"/>
  <c r="N76" i="28"/>
  <c r="M76" i="28"/>
  <c r="H76" i="28"/>
  <c r="S75" i="28"/>
  <c r="R75" i="28"/>
  <c r="Q75" i="28"/>
  <c r="P75" i="28"/>
  <c r="O75" i="28"/>
  <c r="N75" i="28"/>
  <c r="M75" i="28"/>
  <c r="H75" i="28"/>
  <c r="S74" i="28"/>
  <c r="R74" i="28"/>
  <c r="Q74" i="28"/>
  <c r="P74" i="28"/>
  <c r="O74" i="28"/>
  <c r="N74" i="28"/>
  <c r="M74" i="28"/>
  <c r="H74"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55" i="1"/>
  <c r="C13" i="13"/>
  <c r="D6" i="15"/>
  <c r="D5" i="15"/>
  <c r="C12" i="13"/>
  <c r="C11" i="13"/>
  <c r="C10" i="13"/>
  <c r="D41" i="10"/>
  <c r="C6" i="13"/>
  <c r="E159" i="28"/>
  <c r="A3" i="13"/>
  <c r="A2" i="13"/>
  <c r="K46" i="2"/>
  <c r="F47" i="2"/>
  <c r="E46" i="2"/>
  <c r="E59" i="2"/>
  <c r="C33" i="28"/>
  <c r="D6" i="19"/>
  <c r="D5" i="19"/>
  <c r="D6" i="29"/>
  <c r="D5" i="29"/>
  <c r="D6" i="1"/>
  <c r="D5" i="1"/>
  <c r="D6" i="2"/>
  <c r="D78" i="2"/>
  <c r="D6" i="5"/>
  <c r="D81" i="5"/>
  <c r="F58" i="2"/>
  <c r="F59" i="2"/>
  <c r="J59" i="2"/>
  <c r="C26" i="2"/>
  <c r="K58" i="2"/>
  <c r="K59" i="2"/>
  <c r="G47" i="2"/>
  <c r="H46" i="2"/>
  <c r="H62" i="2"/>
  <c r="H47" i="2"/>
  <c r="D47" i="2"/>
  <c r="E47" i="2"/>
  <c r="F63" i="2"/>
  <c r="H59" i="2"/>
  <c r="G58" i="2"/>
  <c r="E155" i="28"/>
  <c r="E152" i="28"/>
  <c r="B153" i="28"/>
  <c r="B51" i="28"/>
  <c r="B38" i="2"/>
  <c r="B116" i="2"/>
  <c r="G46" i="2"/>
  <c r="E158" i="28"/>
  <c r="B149" i="28"/>
  <c r="E153" i="28"/>
  <c r="E6" i="19"/>
  <c r="F6" i="19"/>
  <c r="E6" i="29"/>
  <c r="E5" i="29"/>
  <c r="D46" i="2"/>
  <c r="J46" i="2"/>
  <c r="J62" i="2"/>
  <c r="D58" i="2"/>
  <c r="M58" i="2"/>
  <c r="J47" i="2"/>
  <c r="E63" i="2"/>
  <c r="K62" i="2"/>
  <c r="J61" i="5"/>
  <c r="J63" i="5"/>
  <c r="J42" i="5"/>
  <c r="J54" i="1"/>
  <c r="I57" i="5"/>
  <c r="I59" i="5"/>
  <c r="I41" i="5"/>
  <c r="I53" i="1"/>
  <c r="J47" i="29"/>
  <c r="B48" i="28"/>
  <c r="B10" i="2"/>
  <c r="B88" i="2"/>
  <c r="D6" i="20"/>
  <c r="E6" i="20"/>
  <c r="C56" i="1"/>
  <c r="C77" i="2"/>
  <c r="C19" i="19"/>
  <c r="C8" i="20"/>
  <c r="C51" i="1"/>
  <c r="C52" i="1"/>
  <c r="C59" i="1"/>
  <c r="C71" i="2"/>
  <c r="C62" i="2"/>
  <c r="C58" i="2"/>
  <c r="C61" i="5"/>
  <c r="C53" i="5"/>
  <c r="C54" i="29"/>
  <c r="C87" i="29"/>
  <c r="C23" i="2"/>
  <c r="C63" i="1"/>
  <c r="B46" i="1"/>
  <c r="C40" i="2"/>
  <c r="C70" i="2"/>
  <c r="C64" i="2"/>
  <c r="C46" i="5"/>
  <c r="C73" i="5"/>
  <c r="C13" i="5"/>
  <c r="C69" i="5"/>
  <c r="C67" i="29"/>
  <c r="C20" i="10"/>
  <c r="C84" i="29"/>
  <c r="C21" i="10"/>
  <c r="C14" i="19"/>
  <c r="C61" i="1"/>
  <c r="H63" i="2"/>
  <c r="H64" i="2"/>
  <c r="G62" i="2"/>
  <c r="C30" i="2"/>
  <c r="C22" i="2"/>
  <c r="C60" i="1"/>
  <c r="C63" i="2"/>
  <c r="C54" i="2"/>
  <c r="C41" i="5"/>
  <c r="C65" i="5"/>
  <c r="C18" i="10"/>
  <c r="C15" i="5"/>
  <c r="C26" i="10"/>
  <c r="C19" i="10"/>
  <c r="C82" i="29"/>
  <c r="C28" i="10"/>
  <c r="C28" i="3"/>
  <c r="C29" i="10"/>
  <c r="K41" i="10"/>
  <c r="E157" i="28"/>
  <c r="K42" i="10"/>
  <c r="E154" i="28"/>
  <c r="C14" i="2"/>
  <c r="C18" i="5"/>
  <c r="D87" i="5"/>
  <c r="C27" i="2"/>
  <c r="C31" i="2"/>
  <c r="C36" i="2"/>
  <c r="C65" i="1"/>
  <c r="C28" i="2"/>
  <c r="C59" i="2"/>
  <c r="C42" i="5"/>
  <c r="C89" i="29"/>
  <c r="C16" i="5"/>
  <c r="C49" i="10"/>
  <c r="C23" i="10"/>
  <c r="C90" i="29"/>
  <c r="C46" i="10"/>
  <c r="C47" i="10"/>
  <c r="G41" i="10"/>
  <c r="C12" i="2"/>
  <c r="D42" i="10"/>
  <c r="K63" i="2"/>
  <c r="K64" i="2"/>
  <c r="C73" i="29"/>
  <c r="C24" i="2"/>
  <c r="C49" i="1"/>
  <c r="C34" i="2"/>
  <c r="C46" i="2"/>
  <c r="C10" i="4"/>
  <c r="C35" i="2"/>
  <c r="C69" i="2"/>
  <c r="C45" i="5"/>
  <c r="C22" i="10"/>
  <c r="C17" i="5"/>
  <c r="C42" i="29"/>
  <c r="C27" i="10"/>
  <c r="C18" i="19"/>
  <c r="C51" i="10"/>
  <c r="C62" i="29"/>
  <c r="J41" i="10"/>
  <c r="C53" i="1"/>
  <c r="C25" i="10"/>
  <c r="G63" i="2"/>
  <c r="C18" i="2"/>
  <c r="C58" i="1"/>
  <c r="C41" i="2"/>
  <c r="C47" i="2"/>
  <c r="C13" i="2"/>
  <c r="C51" i="2"/>
  <c r="C79" i="2"/>
  <c r="C57" i="5"/>
  <c r="C31" i="10"/>
  <c r="C63" i="29"/>
  <c r="C39" i="5"/>
  <c r="C72" i="29"/>
  <c r="C45" i="10"/>
  <c r="C61" i="29"/>
  <c r="C69" i="29"/>
  <c r="C48" i="1"/>
  <c r="C66" i="1"/>
  <c r="C52" i="2"/>
  <c r="C49" i="5"/>
  <c r="C14" i="5"/>
  <c r="C24" i="10"/>
  <c r="C57" i="1"/>
  <c r="C62" i="1"/>
  <c r="C56" i="2"/>
  <c r="C50" i="2"/>
  <c r="C19" i="2"/>
  <c r="C55" i="2"/>
  <c r="C53" i="2"/>
  <c r="C40" i="5"/>
  <c r="C80" i="29"/>
  <c r="C11" i="5"/>
  <c r="C43" i="5"/>
  <c r="C17" i="19"/>
  <c r="C50" i="10"/>
  <c r="C68" i="29"/>
  <c r="C16" i="10"/>
  <c r="C75" i="29"/>
  <c r="C54" i="1"/>
  <c r="F62" i="2"/>
  <c r="F64" i="2"/>
  <c r="C12" i="4"/>
  <c r="C25" i="2"/>
  <c r="C44" i="5"/>
  <c r="C12" i="5"/>
  <c r="C11" i="10"/>
  <c r="C74" i="29"/>
  <c r="C17" i="10"/>
  <c r="C50" i="1"/>
  <c r="H42" i="10"/>
  <c r="C11" i="4"/>
  <c r="E156" i="28"/>
  <c r="I47" i="2"/>
  <c r="M47" i="2"/>
  <c r="I59" i="2"/>
  <c r="M59" i="2"/>
  <c r="E62" i="2"/>
  <c r="E64" i="2"/>
  <c r="D63" i="2"/>
  <c r="J63" i="2"/>
  <c r="I46" i="2"/>
  <c r="I62" i="2"/>
  <c r="D33" i="28"/>
  <c r="C36" i="28"/>
  <c r="C35" i="28"/>
  <c r="D34" i="10"/>
  <c r="F6" i="29"/>
  <c r="D93" i="5"/>
  <c r="D70" i="5"/>
  <c r="D90" i="5"/>
  <c r="D5" i="5"/>
  <c r="D84" i="5"/>
  <c r="E6" i="5"/>
  <c r="D66" i="5"/>
  <c r="D54" i="5"/>
  <c r="D99" i="5"/>
  <c r="E6" i="2"/>
  <c r="E78" i="2"/>
  <c r="D5" i="2"/>
  <c r="D77" i="2"/>
  <c r="D62" i="5"/>
  <c r="D5" i="20"/>
  <c r="E6" i="1"/>
  <c r="D74" i="5"/>
  <c r="D62" i="2"/>
  <c r="E6" i="15"/>
  <c r="C32" i="28"/>
  <c r="D58" i="5"/>
  <c r="C34" i="28"/>
  <c r="D50" i="5"/>
  <c r="F6" i="20"/>
  <c r="E5" i="20"/>
  <c r="D96" i="5"/>
  <c r="H41" i="10"/>
  <c r="H47" i="29"/>
  <c r="I42" i="10"/>
  <c r="E41" i="10"/>
  <c r="G42" i="10"/>
  <c r="E47" i="29"/>
  <c r="F42" i="10"/>
  <c r="C42" i="2"/>
  <c r="I41" i="10"/>
  <c r="D6" i="10"/>
  <c r="K47" i="29"/>
  <c r="I47" i="29"/>
  <c r="J42" i="10"/>
  <c r="F41" i="10"/>
  <c r="D6" i="3"/>
  <c r="F47" i="29"/>
  <c r="D6" i="4"/>
  <c r="D6" i="11"/>
  <c r="G47" i="29"/>
  <c r="D47" i="29"/>
  <c r="E42" i="10"/>
  <c r="F13" i="11"/>
  <c r="F21" i="20"/>
  <c r="J14" i="2"/>
  <c r="J19" i="2"/>
  <c r="I14" i="2"/>
  <c r="I18" i="2"/>
  <c r="F14" i="20"/>
  <c r="F16" i="20"/>
  <c r="F8" i="20"/>
  <c r="F57" i="1"/>
  <c r="H28" i="2"/>
  <c r="H30" i="2"/>
  <c r="D14" i="2"/>
  <c r="K20" i="20"/>
  <c r="K21" i="20"/>
  <c r="H13" i="11"/>
  <c r="I13" i="11"/>
  <c r="G19" i="19"/>
  <c r="D24" i="10"/>
  <c r="D19" i="19"/>
  <c r="D21" i="20"/>
  <c r="E13" i="11"/>
  <c r="I28" i="2"/>
  <c r="I31" i="2"/>
  <c r="F28" i="2"/>
  <c r="E28" i="2"/>
  <c r="E31" i="2"/>
  <c r="H14" i="2"/>
  <c r="H19" i="2"/>
  <c r="G14" i="2"/>
  <c r="G18" i="2"/>
  <c r="B156" i="28"/>
  <c r="B14" i="5"/>
  <c r="E5" i="19"/>
  <c r="B158" i="28"/>
  <c r="B16" i="5"/>
  <c r="B157" i="28"/>
  <c r="B15" i="5"/>
  <c r="B94" i="5"/>
  <c r="J64" i="2"/>
  <c r="G64" i="2"/>
  <c r="B91" i="5"/>
  <c r="B61" i="5"/>
  <c r="B42" i="5"/>
  <c r="B54" i="1"/>
  <c r="B154" i="28"/>
  <c r="B12" i="5"/>
  <c r="B85" i="5"/>
  <c r="I63" i="2"/>
  <c r="M63" i="2"/>
  <c r="B160" i="28"/>
  <c r="B155" i="28"/>
  <c r="B13" i="5"/>
  <c r="B41" i="5"/>
  <c r="B53" i="1"/>
  <c r="B159" i="28"/>
  <c r="B17" i="5"/>
  <c r="B11" i="5"/>
  <c r="B39" i="5"/>
  <c r="B51" i="1"/>
  <c r="I64" i="2"/>
  <c r="M46" i="2"/>
  <c r="B97" i="5"/>
  <c r="B44" i="5"/>
  <c r="B69" i="5"/>
  <c r="D35" i="28"/>
  <c r="E34" i="10"/>
  <c r="D32" i="28"/>
  <c r="E33" i="28"/>
  <c r="D36" i="28"/>
  <c r="D34" i="28"/>
  <c r="D40" i="29"/>
  <c r="D86" i="2"/>
  <c r="D35" i="10"/>
  <c r="F6" i="1"/>
  <c r="E5" i="1"/>
  <c r="G6" i="19"/>
  <c r="F5" i="19"/>
  <c r="M62" i="2"/>
  <c r="D64" i="2"/>
  <c r="B88" i="5"/>
  <c r="B57" i="5"/>
  <c r="E5" i="2"/>
  <c r="F6" i="2"/>
  <c r="F78" i="2"/>
  <c r="E77" i="2"/>
  <c r="E90" i="5"/>
  <c r="E74" i="5"/>
  <c r="E54" i="5"/>
  <c r="E50" i="5"/>
  <c r="F6" i="5"/>
  <c r="E5" i="5"/>
  <c r="E81" i="5"/>
  <c r="E58" i="5"/>
  <c r="E66" i="5"/>
  <c r="E96" i="5"/>
  <c r="E62" i="5"/>
  <c r="E84" i="5"/>
  <c r="E99" i="5"/>
  <c r="E70" i="5"/>
  <c r="E87" i="5"/>
  <c r="E93" i="5"/>
  <c r="F5" i="29"/>
  <c r="G6" i="29"/>
  <c r="F6" i="15"/>
  <c r="E5" i="15"/>
  <c r="D40" i="10"/>
  <c r="D43" i="10"/>
  <c r="D36" i="10"/>
  <c r="D5" i="10"/>
  <c r="E6" i="10"/>
  <c r="B100" i="5"/>
  <c r="B73" i="5"/>
  <c r="B45" i="5"/>
  <c r="B35" i="1"/>
  <c r="B16" i="1"/>
  <c r="D5" i="3"/>
  <c r="E6" i="3"/>
  <c r="F5" i="20"/>
  <c r="G6" i="20"/>
  <c r="E6" i="11"/>
  <c r="D5" i="11"/>
  <c r="D5" i="4"/>
  <c r="E6" i="4"/>
  <c r="D79" i="2"/>
  <c r="F31" i="2"/>
  <c r="F30" i="2"/>
  <c r="I30" i="2"/>
  <c r="B43" i="5"/>
  <c r="B55" i="1"/>
  <c r="B17" i="1"/>
  <c r="B65" i="5"/>
  <c r="M64" i="2"/>
  <c r="D23" i="29"/>
  <c r="B36" i="1"/>
  <c r="B82" i="5"/>
  <c r="B53" i="5"/>
  <c r="B49" i="5"/>
  <c r="B40" i="5"/>
  <c r="B52" i="1"/>
  <c r="B14" i="1"/>
  <c r="B34" i="1"/>
  <c r="B15" i="1"/>
  <c r="F5" i="1"/>
  <c r="G6" i="1"/>
  <c r="E14" i="19"/>
  <c r="E86" i="2"/>
  <c r="E35" i="10"/>
  <c r="E40" i="29"/>
  <c r="G5" i="20"/>
  <c r="H6" i="20"/>
  <c r="F5" i="15"/>
  <c r="G6" i="15"/>
  <c r="F90" i="5"/>
  <c r="F74" i="5"/>
  <c r="F87" i="5"/>
  <c r="G6" i="5"/>
  <c r="F81" i="5"/>
  <c r="F62" i="5"/>
  <c r="F58" i="5"/>
  <c r="F50" i="5"/>
  <c r="F99" i="5"/>
  <c r="F96" i="5"/>
  <c r="F93" i="5"/>
  <c r="F5" i="5"/>
  <c r="F66" i="5"/>
  <c r="F70" i="5"/>
  <c r="F54" i="5"/>
  <c r="F84" i="5"/>
  <c r="E79" i="2"/>
  <c r="E50" i="1"/>
  <c r="E34" i="28"/>
  <c r="E32" i="28"/>
  <c r="F33" i="28"/>
  <c r="E36" i="28"/>
  <c r="E35" i="28"/>
  <c r="F34" i="10"/>
  <c r="G6" i="2"/>
  <c r="G78" i="2"/>
  <c r="F5" i="2"/>
  <c r="F77" i="2"/>
  <c r="F6" i="11"/>
  <c r="E5" i="11"/>
  <c r="E5" i="4"/>
  <c r="F6" i="4"/>
  <c r="E40" i="10"/>
  <c r="E43" i="10"/>
  <c r="E5" i="10"/>
  <c r="F6" i="10"/>
  <c r="G5" i="29"/>
  <c r="H6" i="29"/>
  <c r="D133" i="2"/>
  <c r="D118" i="2"/>
  <c r="D130" i="2"/>
  <c r="D129" i="2"/>
  <c r="D105" i="2"/>
  <c r="D131" i="2"/>
  <c r="D128" i="2"/>
  <c r="D132" i="2"/>
  <c r="D119" i="2"/>
  <c r="D100" i="2"/>
  <c r="D90" i="2"/>
  <c r="D81" i="15"/>
  <c r="D101" i="2"/>
  <c r="D103" i="2"/>
  <c r="D102" i="2"/>
  <c r="D91" i="2"/>
  <c r="B13" i="1"/>
  <c r="B32" i="1"/>
  <c r="D50" i="1"/>
  <c r="E5" i="3"/>
  <c r="F6" i="3"/>
  <c r="H6" i="19"/>
  <c r="G5" i="19"/>
  <c r="B33" i="1"/>
  <c r="D120" i="2"/>
  <c r="G5" i="2"/>
  <c r="H6" i="2"/>
  <c r="H78" i="2"/>
  <c r="G77" i="2"/>
  <c r="F79" i="2"/>
  <c r="F50" i="1"/>
  <c r="F32" i="28"/>
  <c r="F35" i="28"/>
  <c r="G34" i="10"/>
  <c r="F34" i="28"/>
  <c r="G33" i="28"/>
  <c r="F36" i="28"/>
  <c r="F35" i="10"/>
  <c r="F86" i="2"/>
  <c r="F40" i="29"/>
  <c r="H5" i="19"/>
  <c r="I6" i="19"/>
  <c r="E119" i="2"/>
  <c r="E130" i="2"/>
  <c r="E102" i="2"/>
  <c r="E131" i="2"/>
  <c r="E132" i="2"/>
  <c r="E101" i="2"/>
  <c r="E128" i="2"/>
  <c r="E133" i="2"/>
  <c r="E129" i="2"/>
  <c r="E118" i="2"/>
  <c r="E100" i="2"/>
  <c r="E90" i="2"/>
  <c r="E81" i="15"/>
  <c r="E104" i="2"/>
  <c r="E103" i="2"/>
  <c r="E105" i="2"/>
  <c r="G6" i="11"/>
  <c r="F5" i="11"/>
  <c r="G5" i="15"/>
  <c r="H6" i="15"/>
  <c r="D134" i="2"/>
  <c r="F5" i="10"/>
  <c r="F40" i="10"/>
  <c r="F43" i="10"/>
  <c r="G6" i="10"/>
  <c r="H5" i="20"/>
  <c r="I6" i="20"/>
  <c r="G6" i="4"/>
  <c r="F5" i="4"/>
  <c r="E23" i="29"/>
  <c r="G87" i="5"/>
  <c r="G58" i="5"/>
  <c r="G84" i="5"/>
  <c r="G54" i="5"/>
  <c r="G90" i="5"/>
  <c r="G5" i="5"/>
  <c r="G99" i="5"/>
  <c r="G70" i="5"/>
  <c r="G74" i="5"/>
  <c r="G62" i="5"/>
  <c r="G96" i="5"/>
  <c r="G50" i="5"/>
  <c r="G66" i="5"/>
  <c r="H6" i="5"/>
  <c r="G81" i="5"/>
  <c r="G93" i="5"/>
  <c r="H6" i="1"/>
  <c r="G5" i="1"/>
  <c r="F5" i="3"/>
  <c r="G6" i="3"/>
  <c r="I6" i="29"/>
  <c r="H5" i="29"/>
  <c r="E134" i="2"/>
  <c r="F23" i="29"/>
  <c r="J6" i="29"/>
  <c r="I5" i="29"/>
  <c r="H87" i="5"/>
  <c r="H58" i="5"/>
  <c r="H84" i="5"/>
  <c r="H5" i="5"/>
  <c r="H66" i="5"/>
  <c r="I6" i="5"/>
  <c r="H99" i="5"/>
  <c r="H50" i="5"/>
  <c r="H96" i="5"/>
  <c r="H54" i="5"/>
  <c r="H90" i="5"/>
  <c r="H70" i="5"/>
  <c r="H74" i="5"/>
  <c r="H62" i="5"/>
  <c r="H93" i="5"/>
  <c r="H81" i="5"/>
  <c r="D137" i="2"/>
  <c r="D136" i="2"/>
  <c r="H6" i="3"/>
  <c r="G5" i="3"/>
  <c r="D125" i="2"/>
  <c r="D124" i="2"/>
  <c r="H6" i="11"/>
  <c r="G5" i="11"/>
  <c r="H5" i="1"/>
  <c r="I6" i="1"/>
  <c r="J6" i="20"/>
  <c r="I5" i="20"/>
  <c r="E120" i="2"/>
  <c r="I5" i="19"/>
  <c r="J6" i="19"/>
  <c r="F132" i="2"/>
  <c r="F118" i="2"/>
  <c r="F128" i="2"/>
  <c r="F100" i="2"/>
  <c r="F130" i="2"/>
  <c r="F129" i="2"/>
  <c r="F133" i="2"/>
  <c r="F131" i="2"/>
  <c r="F119" i="2"/>
  <c r="F105" i="2"/>
  <c r="F102" i="2"/>
  <c r="F101" i="2"/>
  <c r="F90" i="2"/>
  <c r="F81" i="15"/>
  <c r="F104" i="2"/>
  <c r="F103" i="2"/>
  <c r="H33" i="28"/>
  <c r="G36" i="28"/>
  <c r="G34" i="28"/>
  <c r="G32" i="28"/>
  <c r="G35" i="28"/>
  <c r="H34" i="10"/>
  <c r="G40" i="10"/>
  <c r="G43" i="10"/>
  <c r="G5" i="10"/>
  <c r="H6" i="10"/>
  <c r="G35" i="10"/>
  <c r="G86" i="2"/>
  <c r="G40" i="29"/>
  <c r="G79" i="2"/>
  <c r="G50" i="1"/>
  <c r="H6" i="4"/>
  <c r="G5" i="4"/>
  <c r="I6" i="15"/>
  <c r="H5" i="15"/>
  <c r="E137" i="2"/>
  <c r="E136" i="2"/>
  <c r="H77" i="2"/>
  <c r="H5" i="2"/>
  <c r="I6" i="2"/>
  <c r="I78" i="2"/>
  <c r="F120" i="2"/>
  <c r="F125" i="2"/>
  <c r="F134" i="2"/>
  <c r="F137" i="2"/>
  <c r="D140" i="2"/>
  <c r="H79" i="2"/>
  <c r="H50" i="1"/>
  <c r="G119" i="2"/>
  <c r="G118" i="2"/>
  <c r="G133" i="2"/>
  <c r="G128" i="2"/>
  <c r="G100" i="2"/>
  <c r="G132" i="2"/>
  <c r="G131" i="2"/>
  <c r="G129" i="2"/>
  <c r="G130" i="2"/>
  <c r="G105" i="2"/>
  <c r="G102" i="2"/>
  <c r="G90" i="2"/>
  <c r="G81" i="15"/>
  <c r="G104" i="2"/>
  <c r="G103" i="2"/>
  <c r="G91" i="2"/>
  <c r="E125" i="2"/>
  <c r="E141" i="2"/>
  <c r="E124" i="2"/>
  <c r="E140" i="2"/>
  <c r="I6" i="11"/>
  <c r="H5" i="11"/>
  <c r="G23" i="29"/>
  <c r="H40" i="29"/>
  <c r="H35" i="10"/>
  <c r="H86" i="2"/>
  <c r="I70" i="5"/>
  <c r="I66" i="5"/>
  <c r="I96" i="5"/>
  <c r="I93" i="5"/>
  <c r="I90" i="5"/>
  <c r="I74" i="5"/>
  <c r="I84" i="5"/>
  <c r="I62" i="5"/>
  <c r="I58" i="5"/>
  <c r="I5" i="5"/>
  <c r="I81" i="5"/>
  <c r="I54" i="5"/>
  <c r="J6" i="5"/>
  <c r="I87" i="5"/>
  <c r="I50" i="5"/>
  <c r="I99" i="5"/>
  <c r="K6" i="29"/>
  <c r="K5" i="29"/>
  <c r="J5" i="29"/>
  <c r="J6" i="15"/>
  <c r="I5" i="15"/>
  <c r="K6" i="20"/>
  <c r="K5" i="20"/>
  <c r="J5" i="20"/>
  <c r="J6" i="1"/>
  <c r="I5" i="1"/>
  <c r="H5" i="3"/>
  <c r="I6" i="3"/>
  <c r="D141" i="2"/>
  <c r="H34" i="28"/>
  <c r="I33" i="28"/>
  <c r="H32" i="28"/>
  <c r="H35" i="28"/>
  <c r="I34" i="10"/>
  <c r="H36" i="28"/>
  <c r="J6" i="2"/>
  <c r="J78" i="2"/>
  <c r="I77" i="2"/>
  <c r="I5" i="2"/>
  <c r="H5" i="4"/>
  <c r="I6" i="4"/>
  <c r="H40" i="10"/>
  <c r="H43" i="10"/>
  <c r="I6" i="10"/>
  <c r="H5" i="10"/>
  <c r="K6" i="19"/>
  <c r="K5" i="19"/>
  <c r="J5" i="19"/>
  <c r="F141" i="2"/>
  <c r="F136" i="2"/>
  <c r="F124" i="2"/>
  <c r="G120" i="2"/>
  <c r="G125" i="2"/>
  <c r="G134" i="2"/>
  <c r="E142" i="2"/>
  <c r="H23" i="29"/>
  <c r="F140" i="2"/>
  <c r="F142" i="2"/>
  <c r="J77" i="2"/>
  <c r="K6" i="2"/>
  <c r="K78" i="2"/>
  <c r="J5" i="2"/>
  <c r="L50" i="2"/>
  <c r="L64" i="2"/>
  <c r="I35" i="28"/>
  <c r="J34" i="10"/>
  <c r="I32" i="28"/>
  <c r="J33" i="28"/>
  <c r="I36" i="28"/>
  <c r="I34" i="28"/>
  <c r="K6" i="1"/>
  <c r="J5" i="1"/>
  <c r="J6" i="11"/>
  <c r="I5" i="11"/>
  <c r="K6" i="15"/>
  <c r="K5" i="15"/>
  <c r="J5" i="15"/>
  <c r="G136" i="2"/>
  <c r="G137" i="2"/>
  <c r="I86" i="2"/>
  <c r="I35" i="10"/>
  <c r="I40" i="29"/>
  <c r="J6" i="3"/>
  <c r="I5" i="3"/>
  <c r="G124" i="2"/>
  <c r="H119" i="2"/>
  <c r="H130" i="2"/>
  <c r="H132" i="2"/>
  <c r="H129" i="2"/>
  <c r="H118" i="2"/>
  <c r="H131" i="2"/>
  <c r="H128" i="2"/>
  <c r="H133" i="2"/>
  <c r="H104" i="2"/>
  <c r="H101" i="2"/>
  <c r="H91" i="2"/>
  <c r="H90" i="2"/>
  <c r="H81" i="15"/>
  <c r="H105" i="2"/>
  <c r="H102" i="2"/>
  <c r="H100" i="2"/>
  <c r="I40" i="10"/>
  <c r="I43" i="10"/>
  <c r="J6" i="10"/>
  <c r="I5" i="10"/>
  <c r="D142" i="2"/>
  <c r="I79" i="2"/>
  <c r="I5" i="4"/>
  <c r="J6" i="4"/>
  <c r="J90" i="5"/>
  <c r="J74" i="5"/>
  <c r="J84" i="5"/>
  <c r="J58" i="5"/>
  <c r="J87" i="5"/>
  <c r="J5" i="5"/>
  <c r="J66" i="5"/>
  <c r="J96" i="5"/>
  <c r="J70" i="5"/>
  <c r="J50" i="5"/>
  <c r="J62" i="5"/>
  <c r="J99" i="5"/>
  <c r="J54" i="5"/>
  <c r="J93" i="5"/>
  <c r="J81" i="5"/>
  <c r="K6" i="5"/>
  <c r="H134" i="2"/>
  <c r="H137" i="2"/>
  <c r="G141" i="2"/>
  <c r="L46" i="2"/>
  <c r="I50" i="1"/>
  <c r="L59" i="2"/>
  <c r="L58" i="2"/>
  <c r="J5" i="11"/>
  <c r="K6" i="11"/>
  <c r="K5" i="11"/>
  <c r="G140" i="2"/>
  <c r="K5" i="1"/>
  <c r="J5" i="4"/>
  <c r="K6" i="4"/>
  <c r="K5" i="4"/>
  <c r="J40" i="10"/>
  <c r="J43" i="10"/>
  <c r="K6" i="10"/>
  <c r="J5" i="10"/>
  <c r="J40" i="29"/>
  <c r="J35" i="10"/>
  <c r="J86" i="2"/>
  <c r="K5" i="2"/>
  <c r="K77" i="2"/>
  <c r="M77" i="2"/>
  <c r="L51" i="2"/>
  <c r="L41" i="2"/>
  <c r="L47" i="2"/>
  <c r="L55" i="2"/>
  <c r="L63" i="2"/>
  <c r="L53" i="2"/>
  <c r="L52" i="2"/>
  <c r="L40" i="2"/>
  <c r="L54" i="2"/>
  <c r="L62" i="2"/>
  <c r="L56" i="2"/>
  <c r="L23" i="2"/>
  <c r="J79" i="2"/>
  <c r="J50" i="1"/>
  <c r="I104" i="2"/>
  <c r="I118" i="2"/>
  <c r="I132" i="2"/>
  <c r="I102" i="2"/>
  <c r="I128" i="2"/>
  <c r="I129" i="2"/>
  <c r="I90" i="2"/>
  <c r="I81" i="15"/>
  <c r="I103" i="2"/>
  <c r="I130" i="2"/>
  <c r="I131" i="2"/>
  <c r="I119" i="2"/>
  <c r="I133" i="2"/>
  <c r="I100" i="2"/>
  <c r="I106" i="2"/>
  <c r="I91" i="2"/>
  <c r="I105" i="2"/>
  <c r="I101" i="2"/>
  <c r="J34" i="28"/>
  <c r="J32" i="28"/>
  <c r="J35" i="28"/>
  <c r="K34" i="10"/>
  <c r="J36" i="28"/>
  <c r="K84" i="5"/>
  <c r="K5" i="5"/>
  <c r="K90" i="5"/>
  <c r="K50" i="5"/>
  <c r="K96" i="5"/>
  <c r="K81" i="5"/>
  <c r="K99" i="5"/>
  <c r="K70" i="5"/>
  <c r="K93" i="5"/>
  <c r="K54" i="5"/>
  <c r="K87" i="5"/>
  <c r="K58" i="5"/>
  <c r="K66" i="5"/>
  <c r="K62" i="5"/>
  <c r="K74" i="5"/>
  <c r="I23" i="29"/>
  <c r="H120" i="2"/>
  <c r="K6" i="3"/>
  <c r="K5" i="3"/>
  <c r="J5" i="3"/>
  <c r="H136" i="2"/>
  <c r="G142" i="2"/>
  <c r="I134" i="2"/>
  <c r="J23" i="29"/>
  <c r="L77" i="2"/>
  <c r="I120" i="2"/>
  <c r="K5" i="10"/>
  <c r="K32" i="10"/>
  <c r="J132" i="2"/>
  <c r="J105" i="2"/>
  <c r="J90" i="2"/>
  <c r="J81" i="15"/>
  <c r="J128" i="2"/>
  <c r="J119" i="2"/>
  <c r="J118" i="2"/>
  <c r="J131" i="2"/>
  <c r="J130" i="2"/>
  <c r="J104" i="2"/>
  <c r="J129" i="2"/>
  <c r="J133" i="2"/>
  <c r="J101" i="2"/>
  <c r="J91" i="2"/>
  <c r="H125" i="2"/>
  <c r="H124" i="2"/>
  <c r="K79" i="2"/>
  <c r="M79" i="2"/>
  <c r="I125" i="2"/>
  <c r="I124" i="2"/>
  <c r="K35" i="10"/>
  <c r="K86" i="2"/>
  <c r="K40" i="29"/>
  <c r="K8" i="20"/>
  <c r="K57" i="1"/>
  <c r="I136" i="2"/>
  <c r="I137" i="2"/>
  <c r="K50" i="1"/>
  <c r="L79" i="2"/>
  <c r="K23" i="29"/>
  <c r="H140" i="2"/>
  <c r="H141" i="2"/>
  <c r="J120" i="2"/>
  <c r="J125" i="2"/>
  <c r="J134" i="2"/>
  <c r="J137" i="2"/>
  <c r="K128" i="2"/>
  <c r="L128" i="2"/>
  <c r="K129" i="2"/>
  <c r="M129" i="2"/>
  <c r="K119" i="2"/>
  <c r="M119" i="2"/>
  <c r="K118" i="2"/>
  <c r="K132" i="2"/>
  <c r="M132" i="2"/>
  <c r="K130" i="2"/>
  <c r="M130" i="2"/>
  <c r="K100" i="2"/>
  <c r="K131" i="2"/>
  <c r="M131" i="2"/>
  <c r="K133" i="2"/>
  <c r="M133" i="2"/>
  <c r="K101" i="2"/>
  <c r="K104" i="2"/>
  <c r="J136" i="2"/>
  <c r="I140" i="2"/>
  <c r="I141" i="2"/>
  <c r="L133" i="2"/>
  <c r="I142" i="2"/>
  <c r="L131" i="2"/>
  <c r="J124" i="2"/>
  <c r="J140" i="2"/>
  <c r="M118" i="2"/>
  <c r="M120" i="2"/>
  <c r="L118" i="2"/>
  <c r="L130" i="2"/>
  <c r="L129" i="2"/>
  <c r="L119" i="2"/>
  <c r="L132" i="2"/>
  <c r="K134" i="2"/>
  <c r="M134" i="2"/>
  <c r="M128" i="2"/>
  <c r="H142" i="2"/>
  <c r="M50" i="1"/>
  <c r="N50" i="1"/>
  <c r="K137" i="2"/>
  <c r="M137" i="2"/>
  <c r="K136" i="2"/>
  <c r="J141" i="2"/>
  <c r="K120" i="2"/>
  <c r="J142" i="2"/>
  <c r="L134" i="2"/>
  <c r="M136" i="2"/>
  <c r="L136" i="2"/>
  <c r="L137" i="2"/>
  <c r="K125" i="2"/>
  <c r="K124" i="2"/>
  <c r="K140" i="2"/>
  <c r="M124" i="2"/>
  <c r="M140" i="2"/>
  <c r="L140" i="2"/>
  <c r="K141" i="2"/>
  <c r="L125" i="2"/>
  <c r="M125" i="2"/>
  <c r="L124" i="2"/>
  <c r="M141" i="2"/>
  <c r="L141" i="2"/>
  <c r="K142" i="2"/>
  <c r="M142" i="2"/>
  <c r="L142" i="2"/>
  <c r="D17" i="3"/>
  <c r="D18" i="4"/>
  <c r="E14" i="4"/>
  <c r="G18" i="5"/>
  <c r="I45" i="4"/>
  <c r="F106" i="2"/>
  <c r="E30" i="2"/>
  <c r="H8" i="20"/>
  <c r="H57" i="1"/>
  <c r="G8" i="20"/>
  <c r="G57" i="1"/>
  <c r="N57" i="1"/>
  <c r="E8" i="20"/>
  <c r="E57" i="1"/>
  <c r="H53" i="5"/>
  <c r="H55" i="5"/>
  <c r="H40" i="5"/>
  <c r="H52" i="1"/>
  <c r="L27" i="2"/>
  <c r="M22" i="2"/>
  <c r="J49" i="5"/>
  <c r="J51" i="5"/>
  <c r="J39" i="5"/>
  <c r="F28" i="3"/>
  <c r="F56" i="1"/>
  <c r="G14" i="4"/>
  <c r="J19" i="19"/>
  <c r="L16" i="5"/>
  <c r="H69" i="5"/>
  <c r="H71" i="5"/>
  <c r="H44" i="5"/>
  <c r="H73" i="5"/>
  <c r="H75" i="5"/>
  <c r="H45" i="5"/>
  <c r="I28" i="3"/>
  <c r="I56" i="1"/>
  <c r="E28" i="3"/>
  <c r="E56" i="1"/>
  <c r="I69" i="5"/>
  <c r="I71" i="5"/>
  <c r="I44" i="5"/>
  <c r="K11" i="3"/>
  <c r="K12" i="3"/>
  <c r="K17" i="4"/>
  <c r="G28" i="3"/>
  <c r="G56" i="1"/>
  <c r="I17" i="3"/>
  <c r="I18" i="4"/>
  <c r="F102" i="5"/>
  <c r="G102" i="5"/>
  <c r="G22" i="29"/>
  <c r="F12" i="3"/>
  <c r="F17" i="4"/>
  <c r="J17" i="3"/>
  <c r="J18" i="4"/>
  <c r="J65" i="5"/>
  <c r="J67" i="5"/>
  <c r="J43" i="5"/>
  <c r="J55" i="1"/>
  <c r="J45" i="4"/>
  <c r="J28" i="3"/>
  <c r="J56" i="1"/>
  <c r="D18" i="15"/>
  <c r="D23" i="15"/>
  <c r="G46" i="15"/>
  <c r="H78" i="15"/>
  <c r="I18" i="15"/>
  <c r="I23" i="15"/>
  <c r="G18" i="15"/>
  <c r="G23" i="15"/>
  <c r="E18" i="15"/>
  <c r="E23" i="15"/>
  <c r="E78" i="15"/>
  <c r="M17" i="5"/>
  <c r="D28" i="3"/>
  <c r="D56" i="1"/>
  <c r="F15" i="4"/>
  <c r="F22" i="29"/>
  <c r="D14" i="4"/>
  <c r="J14" i="4"/>
  <c r="H14" i="4"/>
  <c r="F14" i="4"/>
  <c r="D45" i="4"/>
  <c r="E45" i="4"/>
  <c r="F45" i="4"/>
  <c r="G45" i="4"/>
  <c r="H45" i="4"/>
  <c r="D64" i="4"/>
  <c r="E64" i="4"/>
  <c r="F64" i="4"/>
  <c r="G64" i="4"/>
  <c r="H64" i="4"/>
  <c r="I64" i="4"/>
  <c r="J64" i="4"/>
  <c r="H18" i="15"/>
  <c r="H23" i="15"/>
  <c r="F18" i="15"/>
  <c r="F23" i="15"/>
  <c r="F48" i="15"/>
  <c r="J18" i="15"/>
  <c r="J23" i="15"/>
  <c r="F46" i="15"/>
  <c r="H46" i="15"/>
  <c r="I46" i="15"/>
  <c r="J46" i="15"/>
  <c r="D46" i="15"/>
  <c r="E46" i="15"/>
  <c r="D78" i="15"/>
  <c r="J78" i="15"/>
  <c r="F78" i="15"/>
  <c r="L17" i="5"/>
  <c r="M16" i="5"/>
  <c r="M15" i="5"/>
  <c r="G73" i="5"/>
  <c r="G75" i="5"/>
  <c r="G45" i="5"/>
  <c r="H65" i="5"/>
  <c r="H67" i="5"/>
  <c r="H43" i="5"/>
  <c r="H55" i="1"/>
  <c r="H22" i="29"/>
  <c r="J57" i="5"/>
  <c r="J59" i="5"/>
  <c r="J41" i="5"/>
  <c r="J53" i="1"/>
  <c r="I61" i="5"/>
  <c r="I63" i="5"/>
  <c r="I42" i="5"/>
  <c r="I54" i="1"/>
  <c r="D102" i="5"/>
  <c r="D22" i="29"/>
  <c r="E102" i="5"/>
  <c r="E22" i="29"/>
  <c r="H28" i="3"/>
  <c r="H56" i="1"/>
  <c r="H17" i="3"/>
  <c r="H18" i="4"/>
  <c r="I19" i="19"/>
  <c r="D36" i="19"/>
  <c r="I15" i="4"/>
  <c r="I26" i="4"/>
  <c r="I28" i="4"/>
  <c r="I22" i="29"/>
  <c r="E15" i="4"/>
  <c r="E26" i="4"/>
  <c r="E28" i="4"/>
  <c r="I66" i="4"/>
  <c r="I68" i="4"/>
  <c r="L15" i="5"/>
  <c r="H57" i="5"/>
  <c r="H59" i="5"/>
  <c r="H41" i="5"/>
  <c r="H53" i="1"/>
  <c r="D18" i="5"/>
  <c r="F73" i="5"/>
  <c r="F75" i="5"/>
  <c r="F45" i="5"/>
  <c r="G15" i="4"/>
  <c r="E18" i="5"/>
  <c r="H12" i="3"/>
  <c r="H17" i="4"/>
  <c r="D65" i="5"/>
  <c r="D67" i="5"/>
  <c r="D43" i="5"/>
  <c r="D55" i="1"/>
  <c r="K19" i="19"/>
  <c r="F18" i="5"/>
  <c r="G12" i="3"/>
  <c r="G17" i="4"/>
  <c r="L120" i="2"/>
  <c r="J102" i="2"/>
  <c r="J13" i="11"/>
  <c r="F19" i="29"/>
  <c r="M11" i="5"/>
  <c r="K102" i="5"/>
  <c r="K22" i="29"/>
  <c r="K35" i="29"/>
  <c r="I18" i="5"/>
  <c r="I92" i="2"/>
  <c r="I96" i="2"/>
  <c r="K13" i="11"/>
  <c r="H18" i="5"/>
  <c r="L11" i="5"/>
  <c r="H49" i="5"/>
  <c r="H51" i="5"/>
  <c r="J102" i="5"/>
  <c r="J15" i="4"/>
  <c r="G92" i="2"/>
  <c r="G96" i="2"/>
  <c r="F108" i="2"/>
  <c r="F109" i="2"/>
  <c r="I108" i="2"/>
  <c r="I109" i="2"/>
  <c r="E106" i="2"/>
  <c r="H31" i="2"/>
  <c r="H35" i="2"/>
  <c r="J62" i="10"/>
  <c r="I34" i="2"/>
  <c r="I69" i="2"/>
  <c r="D104" i="2"/>
  <c r="M23" i="2"/>
  <c r="L26" i="2"/>
  <c r="D28" i="2"/>
  <c r="G28" i="2"/>
  <c r="G101" i="2"/>
  <c r="M27" i="2"/>
  <c r="L22" i="2"/>
  <c r="M26" i="2"/>
  <c r="K105" i="2"/>
  <c r="M105" i="2"/>
  <c r="J100" i="2"/>
  <c r="M100" i="2"/>
  <c r="H103" i="2"/>
  <c r="H106" i="2"/>
  <c r="T77" i="28"/>
  <c r="T79" i="28"/>
  <c r="T82" i="28"/>
  <c r="M13" i="5"/>
  <c r="T75" i="28"/>
  <c r="L13" i="5"/>
  <c r="L42" i="2"/>
  <c r="J18" i="2"/>
  <c r="H92" i="2"/>
  <c r="H96" i="2"/>
  <c r="T76" i="28"/>
  <c r="T74" i="28"/>
  <c r="T78" i="28"/>
  <c r="F14" i="2"/>
  <c r="T85" i="28"/>
  <c r="G19" i="2"/>
  <c r="T80" i="28"/>
  <c r="T86" i="28"/>
  <c r="T73" i="28"/>
  <c r="T84" i="28"/>
  <c r="H18" i="2"/>
  <c r="H34" i="2"/>
  <c r="I19" i="2"/>
  <c r="I35" i="2"/>
  <c r="I49" i="1"/>
  <c r="J92" i="2"/>
  <c r="J96" i="2"/>
  <c r="F92" i="2"/>
  <c r="F96" i="2"/>
  <c r="F112" i="2"/>
  <c r="D92" i="2"/>
  <c r="D96" i="2"/>
  <c r="K18" i="5"/>
  <c r="L14" i="5"/>
  <c r="M14" i="5"/>
  <c r="K61" i="5"/>
  <c r="K63" i="5"/>
  <c r="K42" i="5"/>
  <c r="K54" i="1"/>
  <c r="M13" i="2"/>
  <c r="E91" i="2"/>
  <c r="E92" i="2"/>
  <c r="E14" i="2"/>
  <c r="L13" i="2"/>
  <c r="K64" i="4"/>
  <c r="D75" i="5"/>
  <c r="D45" i="5"/>
  <c r="G43" i="5"/>
  <c r="G55" i="1"/>
  <c r="D71" i="5"/>
  <c r="D44" i="5"/>
  <c r="K51" i="1"/>
  <c r="D63" i="5"/>
  <c r="D42" i="5"/>
  <c r="D18" i="2"/>
  <c r="D19" i="2"/>
  <c r="J18" i="5"/>
  <c r="L12" i="5"/>
  <c r="M12" i="5"/>
  <c r="J53" i="5"/>
  <c r="I40" i="5"/>
  <c r="D52" i="1"/>
  <c r="F51" i="1"/>
  <c r="I51" i="1"/>
  <c r="G51" i="1"/>
  <c r="J71" i="5"/>
  <c r="J45" i="5"/>
  <c r="J51" i="1"/>
  <c r="F41" i="5"/>
  <c r="E46" i="5"/>
  <c r="E54" i="1"/>
  <c r="E48" i="15"/>
  <c r="E50" i="15"/>
  <c r="I48" i="15"/>
  <c r="I80" i="15"/>
  <c r="I82" i="15"/>
  <c r="I46" i="5"/>
  <c r="M57" i="1"/>
  <c r="I112" i="2"/>
  <c r="I147" i="2"/>
  <c r="D48" i="15"/>
  <c r="F80" i="15"/>
  <c r="F82" i="15"/>
  <c r="F50" i="15"/>
  <c r="J66" i="4"/>
  <c r="J68" i="4"/>
  <c r="M69" i="5"/>
  <c r="L69" i="5"/>
  <c r="D15" i="4"/>
  <c r="J48" i="15"/>
  <c r="J80" i="15"/>
  <c r="J82" i="15"/>
  <c r="G48" i="15"/>
  <c r="G80" i="15"/>
  <c r="G82" i="15"/>
  <c r="G26" i="4"/>
  <c r="G28" i="4"/>
  <c r="D26" i="4"/>
  <c r="D28" i="4"/>
  <c r="G66" i="4"/>
  <c r="G68" i="4"/>
  <c r="M57" i="5"/>
  <c r="D66" i="4"/>
  <c r="D68" i="4"/>
  <c r="L57" i="5"/>
  <c r="H26" i="4"/>
  <c r="H28" i="4"/>
  <c r="F26" i="4"/>
  <c r="F28" i="4"/>
  <c r="D80" i="15"/>
  <c r="D82" i="15"/>
  <c r="D50" i="15"/>
  <c r="L73" i="5"/>
  <c r="E80" i="15"/>
  <c r="E82" i="15"/>
  <c r="F66" i="4"/>
  <c r="F68" i="4"/>
  <c r="H48" i="15"/>
  <c r="E66" i="4"/>
  <c r="E68" i="4"/>
  <c r="H66" i="4"/>
  <c r="H68" i="4"/>
  <c r="M73" i="5"/>
  <c r="L65" i="5"/>
  <c r="M65" i="5"/>
  <c r="K15" i="4"/>
  <c r="K26" i="4"/>
  <c r="J22" i="29"/>
  <c r="I97" i="2"/>
  <c r="I113" i="2"/>
  <c r="I148" i="2"/>
  <c r="I149" i="2"/>
  <c r="J26" i="4"/>
  <c r="J28" i="4"/>
  <c r="G46" i="5"/>
  <c r="L42" i="5"/>
  <c r="H39" i="5"/>
  <c r="H51" i="1"/>
  <c r="L51" i="5"/>
  <c r="L49" i="5"/>
  <c r="M49" i="5"/>
  <c r="D54" i="1"/>
  <c r="N54" i="1"/>
  <c r="M42" i="5"/>
  <c r="K46" i="5"/>
  <c r="L61" i="5"/>
  <c r="G97" i="2"/>
  <c r="H70" i="2"/>
  <c r="H49" i="1"/>
  <c r="H108" i="2"/>
  <c r="H112" i="2"/>
  <c r="H147" i="2"/>
  <c r="H109" i="2"/>
  <c r="D31" i="2"/>
  <c r="D30" i="2"/>
  <c r="D34" i="2"/>
  <c r="G31" i="2"/>
  <c r="G35" i="2"/>
  <c r="G30" i="2"/>
  <c r="G34" i="2"/>
  <c r="G69" i="2"/>
  <c r="M104" i="2"/>
  <c r="L104" i="2"/>
  <c r="D106" i="2"/>
  <c r="L105" i="2"/>
  <c r="L101" i="2"/>
  <c r="M101" i="2"/>
  <c r="E108" i="2"/>
  <c r="E109" i="2"/>
  <c r="L100" i="2"/>
  <c r="H36" i="2"/>
  <c r="G106" i="2"/>
  <c r="I70" i="2"/>
  <c r="I71" i="2"/>
  <c r="H69" i="2"/>
  <c r="I36" i="2"/>
  <c r="M75" i="5"/>
  <c r="M61" i="5"/>
  <c r="L59" i="5"/>
  <c r="L75" i="5"/>
  <c r="M18" i="5"/>
  <c r="M45" i="5"/>
  <c r="L18" i="5"/>
  <c r="L43" i="5"/>
  <c r="M55" i="1"/>
  <c r="M43" i="5"/>
  <c r="N55" i="1"/>
  <c r="L67" i="5"/>
  <c r="M67" i="5"/>
  <c r="L91" i="2"/>
  <c r="M91" i="2"/>
  <c r="D97" i="2"/>
  <c r="H97" i="2"/>
  <c r="H113" i="2"/>
  <c r="H148" i="2"/>
  <c r="J97" i="2"/>
  <c r="F18" i="2"/>
  <c r="F34" i="2"/>
  <c r="F19" i="2"/>
  <c r="F35" i="2"/>
  <c r="F147" i="2"/>
  <c r="F97" i="2"/>
  <c r="F113" i="2"/>
  <c r="F148" i="2"/>
  <c r="M59" i="5"/>
  <c r="E18" i="2"/>
  <c r="E34" i="2"/>
  <c r="E19" i="2"/>
  <c r="E35" i="2"/>
  <c r="M63" i="5"/>
  <c r="M51" i="5"/>
  <c r="D46" i="5"/>
  <c r="E96" i="2"/>
  <c r="E97" i="2"/>
  <c r="L63" i="5"/>
  <c r="L53" i="5"/>
  <c r="M53" i="5"/>
  <c r="J55" i="5"/>
  <c r="L45" i="5"/>
  <c r="L41" i="5"/>
  <c r="M41" i="5"/>
  <c r="F53" i="1"/>
  <c r="I52" i="1"/>
  <c r="M71" i="5"/>
  <c r="L71" i="5"/>
  <c r="J44" i="5"/>
  <c r="D35" i="2"/>
  <c r="F46" i="5"/>
  <c r="I50" i="15"/>
  <c r="G50" i="15"/>
  <c r="J50" i="15"/>
  <c r="H80" i="15"/>
  <c r="H82" i="15"/>
  <c r="H50" i="15"/>
  <c r="L39" i="5"/>
  <c r="N51" i="1"/>
  <c r="M51" i="1"/>
  <c r="I114" i="2"/>
  <c r="H46" i="5"/>
  <c r="M39" i="5"/>
  <c r="K28" i="4"/>
  <c r="M54" i="1"/>
  <c r="H71" i="2"/>
  <c r="G49" i="1"/>
  <c r="G36" i="2"/>
  <c r="G70" i="2"/>
  <c r="G71" i="2"/>
  <c r="G108" i="2"/>
  <c r="G112" i="2"/>
  <c r="G147" i="2"/>
  <c r="G109" i="2"/>
  <c r="G113" i="2"/>
  <c r="G148" i="2"/>
  <c r="D109" i="2"/>
  <c r="D113" i="2"/>
  <c r="D108" i="2"/>
  <c r="D112" i="2"/>
  <c r="D147" i="2"/>
  <c r="E113" i="2"/>
  <c r="E148" i="2"/>
  <c r="H114" i="2"/>
  <c r="H149" i="2"/>
  <c r="F149" i="2"/>
  <c r="F70" i="2"/>
  <c r="F49" i="1"/>
  <c r="F69" i="2"/>
  <c r="F36" i="2"/>
  <c r="F114" i="2"/>
  <c r="E112" i="2"/>
  <c r="E49" i="1"/>
  <c r="E70" i="2"/>
  <c r="E69" i="2"/>
  <c r="E36" i="2"/>
  <c r="D70" i="2"/>
  <c r="D49" i="1"/>
  <c r="J40" i="5"/>
  <c r="M55" i="5"/>
  <c r="L55" i="5"/>
  <c r="N53" i="1"/>
  <c r="M53" i="1"/>
  <c r="D69" i="2"/>
  <c r="D36" i="2"/>
  <c r="M44" i="5"/>
  <c r="L44" i="5"/>
  <c r="G114" i="2"/>
  <c r="G149" i="2"/>
  <c r="D114" i="2"/>
  <c r="D148" i="2"/>
  <c r="D149" i="2"/>
  <c r="E71" i="2"/>
  <c r="F71" i="2"/>
  <c r="D71" i="2"/>
  <c r="E147" i="2"/>
  <c r="E149" i="2"/>
  <c r="E114" i="2"/>
  <c r="J52" i="1"/>
  <c r="J46" i="5"/>
  <c r="M40" i="5"/>
  <c r="M46" i="5"/>
  <c r="L40" i="5"/>
  <c r="L46" i="5"/>
  <c r="N52" i="1"/>
  <c r="M52" i="1"/>
  <c r="J65" i="10"/>
  <c r="J67" i="10"/>
  <c r="K69" i="29"/>
  <c r="K71" i="29"/>
  <c r="H69" i="29"/>
  <c r="H71" i="29"/>
  <c r="E69" i="29"/>
  <c r="E71" i="29"/>
  <c r="J69" i="29"/>
  <c r="J71" i="29"/>
  <c r="G69" i="29"/>
  <c r="G71" i="29"/>
  <c r="F69" i="29"/>
  <c r="F71" i="29"/>
  <c r="I69" i="29"/>
  <c r="I71" i="29"/>
  <c r="D69" i="29"/>
  <c r="D71" i="29"/>
  <c r="E35" i="29"/>
  <c r="E38" i="29"/>
  <c r="G35" i="29"/>
  <c r="G38" i="29"/>
  <c r="J35" i="29"/>
  <c r="H35" i="29"/>
  <c r="E42" i="29"/>
  <c r="E80" i="29"/>
  <c r="E50" i="29"/>
  <c r="G42" i="29"/>
  <c r="G80" i="29"/>
  <c r="G50" i="29"/>
  <c r="I35" i="29"/>
  <c r="D35" i="29"/>
  <c r="D38" i="29"/>
  <c r="F35" i="29"/>
  <c r="F38" i="29"/>
  <c r="F50" i="29"/>
  <c r="F42" i="29"/>
  <c r="F80" i="29"/>
  <c r="D50" i="29"/>
  <c r="D42" i="29"/>
  <c r="D80" i="29"/>
  <c r="H19" i="29"/>
  <c r="H38" i="29"/>
  <c r="H50" i="29"/>
  <c r="H42" i="29"/>
  <c r="H80" i="29"/>
  <c r="I19" i="29"/>
  <c r="I38" i="29"/>
  <c r="I42" i="29"/>
  <c r="I80" i="29"/>
  <c r="I50" i="29"/>
  <c r="J19" i="29"/>
  <c r="J38" i="29"/>
  <c r="J42" i="29"/>
  <c r="J80" i="29"/>
  <c r="J50" i="29"/>
  <c r="K38" i="29"/>
  <c r="K42" i="29"/>
  <c r="K80" i="29"/>
  <c r="K50" i="29"/>
  <c r="H75" i="29"/>
  <c r="F75" i="29"/>
  <c r="G75" i="29"/>
  <c r="D75" i="29"/>
  <c r="J75" i="29"/>
  <c r="K75" i="29"/>
  <c r="I75" i="29"/>
  <c r="E75" i="29"/>
  <c r="K18" i="15"/>
  <c r="K23" i="15"/>
  <c r="K46" i="15"/>
  <c r="K48" i="15"/>
  <c r="J21" i="10"/>
  <c r="H21" i="10"/>
  <c r="I21" i="10"/>
  <c r="F21" i="10"/>
  <c r="E21" i="10"/>
  <c r="J103" i="2"/>
  <c r="J28" i="2"/>
  <c r="D21" i="10"/>
  <c r="D29" i="10"/>
  <c r="D31" i="10"/>
  <c r="G21" i="10"/>
  <c r="E16" i="10"/>
  <c r="E18" i="10"/>
  <c r="D38" i="10"/>
  <c r="D32" i="10"/>
  <c r="D47" i="10"/>
  <c r="J31" i="2"/>
  <c r="J30" i="2"/>
  <c r="J106" i="2"/>
  <c r="D45" i="10"/>
  <c r="D46" i="10"/>
  <c r="J108" i="2"/>
  <c r="J109" i="2"/>
  <c r="J34" i="2"/>
  <c r="J35" i="2"/>
  <c r="D48" i="29"/>
  <c r="J113" i="2"/>
  <c r="J112" i="2"/>
  <c r="D50" i="10"/>
  <c r="D54" i="10"/>
  <c r="D65" i="1"/>
  <c r="J49" i="1"/>
  <c r="J70" i="2"/>
  <c r="J36" i="2"/>
  <c r="J69" i="2"/>
  <c r="D49" i="10"/>
  <c r="D53" i="10"/>
  <c r="D66" i="1"/>
  <c r="D33" i="1"/>
  <c r="D51" i="10"/>
  <c r="D57" i="10"/>
  <c r="D13" i="1"/>
  <c r="D18" i="1"/>
  <c r="D11" i="1"/>
  <c r="D15" i="1"/>
  <c r="D12" i="1"/>
  <c r="D14" i="1"/>
  <c r="D17" i="1"/>
  <c r="D16" i="1"/>
  <c r="D19" i="1"/>
  <c r="D31" i="1"/>
  <c r="J114" i="2"/>
  <c r="J147" i="2"/>
  <c r="D58" i="10"/>
  <c r="D48" i="1"/>
  <c r="J148" i="2"/>
  <c r="J71" i="2"/>
  <c r="D55" i="10"/>
  <c r="D32" i="1"/>
  <c r="D34" i="1"/>
  <c r="D38" i="1"/>
  <c r="D35" i="1"/>
  <c r="D37" i="1"/>
  <c r="D36" i="1"/>
  <c r="D30" i="1"/>
  <c r="D59" i="10"/>
  <c r="J149" i="2"/>
  <c r="D58" i="1"/>
  <c r="D10" i="1"/>
  <c r="D29" i="1"/>
  <c r="D88" i="29"/>
  <c r="D89" i="29"/>
  <c r="D59" i="1"/>
  <c r="D86" i="29"/>
  <c r="D39" i="1"/>
  <c r="D20" i="1"/>
  <c r="D21" i="1"/>
  <c r="D87" i="29"/>
  <c r="D90" i="29"/>
  <c r="D51" i="29"/>
  <c r="D52" i="29"/>
  <c r="D54" i="29"/>
  <c r="D82" i="29"/>
  <c r="D60" i="1"/>
  <c r="D40" i="1"/>
  <c r="D61" i="1"/>
  <c r="D84" i="29"/>
  <c r="D62" i="1"/>
  <c r="D63" i="1"/>
  <c r="D22" i="1"/>
  <c r="D41" i="1"/>
  <c r="D23" i="1"/>
  <c r="D42" i="1"/>
  <c r="K45" i="4"/>
  <c r="K66" i="4"/>
  <c r="K68" i="4"/>
  <c r="K28" i="3"/>
  <c r="K56" i="1"/>
  <c r="M56" i="1"/>
  <c r="N56" i="1"/>
  <c r="K50" i="15"/>
  <c r="K78" i="15"/>
  <c r="K80" i="15"/>
  <c r="L12" i="2"/>
  <c r="L14" i="2"/>
  <c r="K90" i="2"/>
  <c r="M12" i="2"/>
  <c r="M14" i="2"/>
  <c r="K14" i="2"/>
  <c r="K19" i="2"/>
  <c r="K18" i="2"/>
  <c r="M90" i="2"/>
  <c r="M92" i="2"/>
  <c r="L90" i="2"/>
  <c r="L92" i="2"/>
  <c r="K92" i="2"/>
  <c r="K81" i="15"/>
  <c r="K82" i="15"/>
  <c r="K96" i="2"/>
  <c r="K97" i="2"/>
  <c r="M18" i="2"/>
  <c r="L18" i="2"/>
  <c r="M19" i="2"/>
  <c r="L19" i="2"/>
  <c r="L97" i="2"/>
  <c r="M97" i="2"/>
  <c r="L96" i="2"/>
  <c r="M96" i="2"/>
  <c r="K103" i="2"/>
  <c r="M25" i="2"/>
  <c r="L25" i="2"/>
  <c r="M103" i="2"/>
  <c r="L103" i="2"/>
  <c r="L24" i="2"/>
  <c r="K28" i="2"/>
  <c r="K102" i="2"/>
  <c r="M24" i="2"/>
  <c r="K106" i="2"/>
  <c r="L102" i="2"/>
  <c r="M102" i="2"/>
  <c r="M28" i="2"/>
  <c r="K31" i="2"/>
  <c r="L28" i="2"/>
  <c r="K30" i="2"/>
  <c r="L31" i="2"/>
  <c r="K35" i="2"/>
  <c r="M31" i="2"/>
  <c r="M30" i="2"/>
  <c r="L30" i="2"/>
  <c r="K34" i="2"/>
  <c r="K108" i="2"/>
  <c r="M106" i="2"/>
  <c r="L106" i="2"/>
  <c r="K109" i="2"/>
  <c r="E31" i="10"/>
  <c r="K21" i="10"/>
  <c r="L109" i="2"/>
  <c r="K113" i="2"/>
  <c r="M109" i="2"/>
  <c r="E24" i="10"/>
  <c r="E29" i="10"/>
  <c r="K49" i="1"/>
  <c r="M35" i="2"/>
  <c r="L35" i="2"/>
  <c r="K70" i="2"/>
  <c r="K112" i="2"/>
  <c r="M108" i="2"/>
  <c r="L108" i="2"/>
  <c r="K69" i="2"/>
  <c r="K36" i="2"/>
  <c r="L34" i="2"/>
  <c r="M34" i="2"/>
  <c r="I31" i="10"/>
  <c r="K31" i="10"/>
  <c r="G31" i="10"/>
  <c r="J31" i="10"/>
  <c r="H31" i="10"/>
  <c r="F31" i="10"/>
  <c r="K24" i="10"/>
  <c r="E38" i="10"/>
  <c r="E47" i="10"/>
  <c r="E32" i="10"/>
  <c r="F16" i="10"/>
  <c r="F18" i="10"/>
  <c r="K71" i="2"/>
  <c r="M69" i="2"/>
  <c r="L69" i="2"/>
  <c r="M112" i="2"/>
  <c r="K114" i="2"/>
  <c r="L112" i="2"/>
  <c r="K147" i="2"/>
  <c r="F24" i="10"/>
  <c r="M36" i="2"/>
  <c r="L36" i="2"/>
  <c r="G24" i="10"/>
  <c r="L70" i="2"/>
  <c r="M70" i="2"/>
  <c r="I24" i="10"/>
  <c r="H24" i="10"/>
  <c r="M113" i="2"/>
  <c r="L113" i="2"/>
  <c r="K148" i="2"/>
  <c r="J24" i="10"/>
  <c r="J68" i="10"/>
  <c r="J70" i="10"/>
  <c r="N49" i="1"/>
  <c r="M49" i="1"/>
  <c r="M147" i="2"/>
  <c r="K149" i="2"/>
  <c r="L147" i="2"/>
  <c r="M71" i="2"/>
  <c r="L71" i="2"/>
  <c r="M148" i="2"/>
  <c r="L148" i="2"/>
  <c r="F29" i="10"/>
  <c r="E46" i="10"/>
  <c r="E45" i="10"/>
  <c r="M114" i="2"/>
  <c r="L114" i="2"/>
  <c r="E53" i="10"/>
  <c r="E49" i="10"/>
  <c r="E65" i="1"/>
  <c r="E54" i="10"/>
  <c r="E50" i="10"/>
  <c r="F47" i="10"/>
  <c r="F38" i="10"/>
  <c r="G16" i="10"/>
  <c r="G18" i="10"/>
  <c r="G29" i="10"/>
  <c r="F32" i="10"/>
  <c r="L149" i="2"/>
  <c r="M149" i="2"/>
  <c r="E18" i="1"/>
  <c r="E11" i="1"/>
  <c r="E19" i="1"/>
  <c r="E14" i="1"/>
  <c r="E13" i="1"/>
  <c r="E12" i="1"/>
  <c r="E15" i="1"/>
  <c r="E16" i="1"/>
  <c r="E17" i="1"/>
  <c r="G38" i="10"/>
  <c r="G47" i="10"/>
  <c r="H16" i="10"/>
  <c r="H18" i="10"/>
  <c r="H29" i="10"/>
  <c r="G32" i="10"/>
  <c r="F46" i="10"/>
  <c r="F45" i="10"/>
  <c r="E57" i="10"/>
  <c r="E51" i="10"/>
  <c r="E55" i="10"/>
  <c r="E48" i="29"/>
  <c r="E66" i="1"/>
  <c r="E48" i="1"/>
  <c r="E58" i="10"/>
  <c r="F49" i="10"/>
  <c r="F53" i="10"/>
  <c r="F50" i="10"/>
  <c r="F65" i="1"/>
  <c r="F54" i="10"/>
  <c r="E10" i="1"/>
  <c r="E20" i="1"/>
  <c r="E29" i="1"/>
  <c r="E58" i="1"/>
  <c r="H38" i="10"/>
  <c r="H32" i="10"/>
  <c r="I16" i="10"/>
  <c r="I18" i="10"/>
  <c r="I29" i="10"/>
  <c r="H47" i="10"/>
  <c r="E31" i="1"/>
  <c r="E30" i="1"/>
  <c r="E34" i="1"/>
  <c r="E33" i="1"/>
  <c r="E38" i="1"/>
  <c r="E32" i="1"/>
  <c r="E36" i="1"/>
  <c r="E35" i="1"/>
  <c r="E37" i="1"/>
  <c r="E59" i="10"/>
  <c r="G46" i="10"/>
  <c r="G45" i="10"/>
  <c r="F55" i="10"/>
  <c r="E39" i="1"/>
  <c r="F51" i="10"/>
  <c r="F57" i="10"/>
  <c r="H45" i="10"/>
  <c r="H46" i="10"/>
  <c r="I47" i="10"/>
  <c r="I32" i="10"/>
  <c r="I38" i="10"/>
  <c r="J16" i="10"/>
  <c r="J18" i="10"/>
  <c r="G50" i="10"/>
  <c r="G65" i="1"/>
  <c r="G54" i="10"/>
  <c r="F15" i="1"/>
  <c r="F16" i="1"/>
  <c r="F18" i="1"/>
  <c r="F11" i="1"/>
  <c r="F14" i="1"/>
  <c r="F13" i="1"/>
  <c r="F17" i="1"/>
  <c r="F12" i="1"/>
  <c r="F19" i="1"/>
  <c r="F66" i="1"/>
  <c r="F48" i="29"/>
  <c r="G49" i="10"/>
  <c r="G53" i="10"/>
  <c r="E86" i="29"/>
  <c r="F48" i="1"/>
  <c r="F58" i="10"/>
  <c r="G55" i="10"/>
  <c r="G66" i="1"/>
  <c r="G32" i="1"/>
  <c r="G58" i="10"/>
  <c r="G48" i="1"/>
  <c r="J29" i="10"/>
  <c r="J64" i="10"/>
  <c r="J71" i="10"/>
  <c r="J75" i="10"/>
  <c r="H50" i="10"/>
  <c r="H65" i="1"/>
  <c r="H54" i="10"/>
  <c r="G48" i="29"/>
  <c r="H53" i="10"/>
  <c r="H49" i="10"/>
  <c r="G33" i="1"/>
  <c r="E87" i="29"/>
  <c r="F30" i="1"/>
  <c r="F32" i="1"/>
  <c r="F34" i="1"/>
  <c r="F36" i="1"/>
  <c r="F31" i="1"/>
  <c r="F37" i="1"/>
  <c r="F35" i="1"/>
  <c r="F33" i="1"/>
  <c r="F38" i="1"/>
  <c r="F29" i="1"/>
  <c r="F10" i="1"/>
  <c r="F20" i="1"/>
  <c r="F58" i="1"/>
  <c r="G51" i="10"/>
  <c r="G57" i="10"/>
  <c r="G59" i="10"/>
  <c r="G13" i="1"/>
  <c r="G15" i="1"/>
  <c r="G12" i="1"/>
  <c r="G11" i="1"/>
  <c r="G14" i="1"/>
  <c r="G17" i="1"/>
  <c r="G16" i="1"/>
  <c r="G19" i="1"/>
  <c r="G18" i="1"/>
  <c r="I45" i="10"/>
  <c r="I46" i="10"/>
  <c r="F59" i="10"/>
  <c r="H55" i="10"/>
  <c r="G31" i="1"/>
  <c r="G38" i="1"/>
  <c r="G35" i="1"/>
  <c r="G30" i="1"/>
  <c r="G37" i="1"/>
  <c r="G36" i="1"/>
  <c r="G34" i="1"/>
  <c r="F88" i="29"/>
  <c r="F89" i="29"/>
  <c r="F59" i="1"/>
  <c r="H57" i="10"/>
  <c r="H51" i="10"/>
  <c r="G10" i="1"/>
  <c r="G20" i="1"/>
  <c r="G58" i="1"/>
  <c r="G29" i="1"/>
  <c r="F86" i="29"/>
  <c r="J47" i="10"/>
  <c r="K16" i="10"/>
  <c r="K18" i="10"/>
  <c r="K29" i="10"/>
  <c r="J38" i="10"/>
  <c r="J32" i="10"/>
  <c r="H12" i="1"/>
  <c r="H14" i="1"/>
  <c r="H17" i="1"/>
  <c r="H13" i="1"/>
  <c r="H19" i="1"/>
  <c r="H15" i="1"/>
  <c r="H18" i="1"/>
  <c r="H16" i="1"/>
  <c r="H11" i="1"/>
  <c r="F39" i="1"/>
  <c r="H48" i="29"/>
  <c r="E88" i="29"/>
  <c r="H48" i="1"/>
  <c r="H58" i="10"/>
  <c r="H66" i="1"/>
  <c r="I66" i="1"/>
  <c r="I50" i="10"/>
  <c r="I54" i="10"/>
  <c r="I65" i="1"/>
  <c r="I53" i="10"/>
  <c r="I49" i="10"/>
  <c r="G86" i="29"/>
  <c r="I48" i="29"/>
  <c r="J73" i="10"/>
  <c r="J74" i="10"/>
  <c r="G39" i="1"/>
  <c r="F21" i="1"/>
  <c r="I58" i="10"/>
  <c r="I48" i="1"/>
  <c r="H59" i="10"/>
  <c r="G87" i="29"/>
  <c r="F87" i="29"/>
  <c r="F90" i="29"/>
  <c r="F60" i="1"/>
  <c r="F40" i="1"/>
  <c r="F51" i="29"/>
  <c r="F52" i="29"/>
  <c r="F54" i="29"/>
  <c r="F82" i="29"/>
  <c r="I18" i="1"/>
  <c r="I19" i="1"/>
  <c r="I14" i="1"/>
  <c r="I11" i="1"/>
  <c r="I13" i="1"/>
  <c r="I12" i="1"/>
  <c r="I16" i="1"/>
  <c r="I17" i="1"/>
  <c r="I15" i="1"/>
  <c r="J45" i="10"/>
  <c r="J46" i="10"/>
  <c r="H58" i="1"/>
  <c r="H29" i="1"/>
  <c r="H10" i="1"/>
  <c r="H20" i="1"/>
  <c r="I57" i="10"/>
  <c r="I51" i="10"/>
  <c r="E89" i="29"/>
  <c r="E51" i="29"/>
  <c r="E52" i="29"/>
  <c r="E54" i="29"/>
  <c r="E82" i="29"/>
  <c r="I31" i="1"/>
  <c r="I34" i="1"/>
  <c r="I30" i="1"/>
  <c r="I37" i="1"/>
  <c r="I36" i="1"/>
  <c r="I33" i="1"/>
  <c r="I35" i="1"/>
  <c r="I32" i="1"/>
  <c r="I38" i="1"/>
  <c r="I55" i="10"/>
  <c r="H30" i="1"/>
  <c r="H36" i="1"/>
  <c r="H35" i="1"/>
  <c r="H31" i="1"/>
  <c r="H38" i="1"/>
  <c r="H34" i="1"/>
  <c r="H33" i="1"/>
  <c r="H37" i="1"/>
  <c r="H32" i="1"/>
  <c r="K38" i="10"/>
  <c r="K47" i="10"/>
  <c r="J54" i="10"/>
  <c r="J65" i="1"/>
  <c r="J50" i="10"/>
  <c r="G88" i="29"/>
  <c r="K46" i="10"/>
  <c r="K45" i="10"/>
  <c r="H86" i="29"/>
  <c r="E84" i="29"/>
  <c r="E61" i="1"/>
  <c r="I59" i="10"/>
  <c r="J49" i="10"/>
  <c r="J53" i="10"/>
  <c r="F84" i="29"/>
  <c r="F62" i="1"/>
  <c r="F61" i="1"/>
  <c r="E59" i="1"/>
  <c r="E90" i="29"/>
  <c r="E60" i="1"/>
  <c r="I88" i="29"/>
  <c r="I89" i="29"/>
  <c r="I59" i="1"/>
  <c r="H39" i="1"/>
  <c r="I10" i="1"/>
  <c r="I20" i="1"/>
  <c r="I58" i="1"/>
  <c r="I29" i="1"/>
  <c r="I39" i="1"/>
  <c r="J55" i="10"/>
  <c r="J17" i="1"/>
  <c r="J12" i="1"/>
  <c r="J13" i="1"/>
  <c r="J19" i="1"/>
  <c r="J14" i="1"/>
  <c r="J11" i="1"/>
  <c r="J15" i="1"/>
  <c r="J16" i="1"/>
  <c r="J18" i="1"/>
  <c r="E21" i="1"/>
  <c r="I86" i="29"/>
  <c r="G89" i="29"/>
  <c r="G51" i="29"/>
  <c r="G52" i="29"/>
  <c r="G54" i="29"/>
  <c r="G82" i="29"/>
  <c r="E40" i="1"/>
  <c r="F22" i="1"/>
  <c r="F23" i="1"/>
  <c r="F41" i="1"/>
  <c r="F42" i="1"/>
  <c r="F63" i="1"/>
  <c r="E62" i="1"/>
  <c r="E63" i="1"/>
  <c r="I21" i="1"/>
  <c r="J48" i="29"/>
  <c r="J51" i="10"/>
  <c r="J57" i="10"/>
  <c r="K65" i="1"/>
  <c r="N14" i="1"/>
  <c r="K54" i="10"/>
  <c r="K50" i="10"/>
  <c r="K48" i="29"/>
  <c r="H87" i="29"/>
  <c r="K49" i="10"/>
  <c r="K53" i="10"/>
  <c r="E22" i="1"/>
  <c r="J66" i="1"/>
  <c r="K66" i="1"/>
  <c r="J58" i="10"/>
  <c r="J48" i="1"/>
  <c r="M14" i="1"/>
  <c r="E41" i="1"/>
  <c r="M16" i="1"/>
  <c r="M18" i="1"/>
  <c r="M12" i="1"/>
  <c r="M19" i="1"/>
  <c r="K48" i="1"/>
  <c r="M48" i="1"/>
  <c r="M58" i="1"/>
  <c r="K58" i="10"/>
  <c r="G59" i="1"/>
  <c r="G90" i="29"/>
  <c r="G60" i="1"/>
  <c r="K16" i="1"/>
  <c r="K13" i="1"/>
  <c r="K14" i="1"/>
  <c r="K15" i="1"/>
  <c r="K18" i="1"/>
  <c r="K17" i="1"/>
  <c r="K19" i="1"/>
  <c r="K12" i="1"/>
  <c r="K11" i="1"/>
  <c r="N18" i="1"/>
  <c r="M11" i="1"/>
  <c r="N11" i="1"/>
  <c r="H88" i="29"/>
  <c r="N15" i="1"/>
  <c r="M17" i="1"/>
  <c r="M15" i="1"/>
  <c r="I87" i="29"/>
  <c r="I90" i="29"/>
  <c r="I60" i="1"/>
  <c r="I51" i="29"/>
  <c r="I52" i="29"/>
  <c r="I54" i="29"/>
  <c r="I82" i="29"/>
  <c r="N12" i="1"/>
  <c r="N13" i="1"/>
  <c r="J58" i="1"/>
  <c r="J10" i="1"/>
  <c r="J20" i="1"/>
  <c r="J29" i="1"/>
  <c r="M10" i="1"/>
  <c r="K35" i="1"/>
  <c r="K37" i="1"/>
  <c r="K36" i="1"/>
  <c r="K31" i="1"/>
  <c r="K34" i="1"/>
  <c r="K32" i="1"/>
  <c r="K38" i="1"/>
  <c r="K33" i="1"/>
  <c r="K30" i="1"/>
  <c r="K55" i="10"/>
  <c r="J59" i="10"/>
  <c r="E42" i="1"/>
  <c r="E23" i="1"/>
  <c r="N19" i="1"/>
  <c r="N16" i="1"/>
  <c r="J34" i="1"/>
  <c r="J38" i="1"/>
  <c r="J31" i="1"/>
  <c r="J33" i="1"/>
  <c r="J36" i="1"/>
  <c r="J37" i="1"/>
  <c r="J35" i="1"/>
  <c r="J30" i="1"/>
  <c r="J32" i="1"/>
  <c r="M32" i="1"/>
  <c r="N35" i="1"/>
  <c r="N31" i="1"/>
  <c r="N38" i="1"/>
  <c r="M31" i="1"/>
  <c r="M34" i="1"/>
  <c r="M37" i="1"/>
  <c r="N34" i="1"/>
  <c r="N32" i="1"/>
  <c r="M38" i="1"/>
  <c r="M30" i="1"/>
  <c r="N30" i="1"/>
  <c r="M36" i="1"/>
  <c r="N33" i="1"/>
  <c r="M33" i="1"/>
  <c r="N37" i="1"/>
  <c r="N36" i="1"/>
  <c r="M35" i="1"/>
  <c r="K51" i="10"/>
  <c r="K57" i="10"/>
  <c r="G61" i="1"/>
  <c r="G84" i="29"/>
  <c r="G62" i="1"/>
  <c r="N17" i="1"/>
  <c r="M13" i="1"/>
  <c r="N10" i="1"/>
  <c r="M29" i="1"/>
  <c r="M39" i="1"/>
  <c r="N48" i="1"/>
  <c r="N58" i="1"/>
  <c r="N29" i="1"/>
  <c r="K59" i="10"/>
  <c r="M20" i="1"/>
  <c r="G40" i="1"/>
  <c r="G21" i="1"/>
  <c r="G63" i="1"/>
  <c r="H89" i="29"/>
  <c r="H51" i="29"/>
  <c r="H52" i="29"/>
  <c r="H54" i="29"/>
  <c r="H82" i="29"/>
  <c r="N39" i="1"/>
  <c r="J39" i="1"/>
  <c r="I84" i="29"/>
  <c r="I62" i="1"/>
  <c r="I61" i="1"/>
  <c r="K58" i="1"/>
  <c r="K10" i="1"/>
  <c r="K20" i="1"/>
  <c r="K29" i="1"/>
  <c r="K39" i="1"/>
  <c r="J86" i="29"/>
  <c r="G41" i="1"/>
  <c r="G22" i="1"/>
  <c r="N20" i="1"/>
  <c r="I40" i="1"/>
  <c r="I63" i="1"/>
  <c r="K86" i="29"/>
  <c r="G42" i="1"/>
  <c r="H84" i="29"/>
  <c r="H61" i="1"/>
  <c r="J87" i="29"/>
  <c r="H59" i="1"/>
  <c r="H90" i="29"/>
  <c r="H60" i="1"/>
  <c r="I22" i="1"/>
  <c r="I23" i="1"/>
  <c r="I41" i="1"/>
  <c r="I42" i="1"/>
  <c r="G23" i="1"/>
  <c r="H62" i="1"/>
  <c r="H63" i="1"/>
  <c r="K87" i="29"/>
  <c r="H22" i="1"/>
  <c r="H40" i="1"/>
  <c r="J88" i="29"/>
  <c r="H21" i="1"/>
  <c r="K88" i="29"/>
  <c r="K89" i="29"/>
  <c r="K59" i="1"/>
  <c r="H41" i="1"/>
  <c r="H42" i="1"/>
  <c r="K51" i="29"/>
  <c r="K52" i="29"/>
  <c r="K54" i="29"/>
  <c r="K82" i="29"/>
  <c r="H23" i="1"/>
  <c r="K90" i="29"/>
  <c r="K60" i="1"/>
  <c r="K40" i="1"/>
  <c r="K21" i="1"/>
  <c r="J89" i="29"/>
  <c r="J51" i="29"/>
  <c r="J52" i="29"/>
  <c r="J54" i="29"/>
  <c r="J82" i="29"/>
  <c r="J59" i="1"/>
  <c r="J90" i="29"/>
  <c r="J60" i="1"/>
  <c r="J61" i="1"/>
  <c r="J84" i="29"/>
  <c r="J62" i="1"/>
  <c r="K84" i="29"/>
  <c r="K62" i="1"/>
  <c r="K61" i="1"/>
  <c r="N62" i="1"/>
  <c r="M62" i="1"/>
  <c r="N60" i="1"/>
  <c r="M60" i="1"/>
  <c r="J41" i="1"/>
  <c r="J22" i="1"/>
  <c r="M41" i="1"/>
  <c r="N41" i="1"/>
  <c r="M22" i="1"/>
  <c r="M61" i="1"/>
  <c r="N61" i="1"/>
  <c r="N22" i="1"/>
  <c r="K22" i="1"/>
  <c r="K23" i="1"/>
  <c r="K41" i="1"/>
  <c r="K42" i="1"/>
  <c r="K63" i="1"/>
  <c r="J21" i="1"/>
  <c r="J40" i="1"/>
  <c r="J63" i="1"/>
  <c r="N21" i="1"/>
  <c r="M59" i="1"/>
  <c r="M40" i="1"/>
  <c r="N40" i="1"/>
  <c r="N59" i="1"/>
  <c r="M21" i="1"/>
  <c r="N63" i="1"/>
  <c r="M23" i="1"/>
  <c r="N42" i="1"/>
  <c r="J42" i="1"/>
  <c r="M63" i="1"/>
  <c r="J23" i="1"/>
  <c r="N23" i="1"/>
  <c r="M42" i="1"/>
</calcChain>
</file>

<file path=xl/comments1.xml><?xml version="1.0" encoding="utf-8"?>
<comments xmlns="http://schemas.openxmlformats.org/spreadsheetml/2006/main">
  <authors>
    <author>Bartlam, Katherine</author>
  </authors>
  <commentList>
    <comment ref="J37" authorId="0" shapeId="0">
      <text>
        <r>
          <rPr>
            <b/>
            <sz val="9"/>
            <color indexed="81"/>
            <rFont val="Tahoma"/>
            <family val="2"/>
          </rPr>
          <t xml:space="preserve">NGED: </t>
        </r>
        <r>
          <rPr>
            <sz val="9"/>
            <color indexed="81"/>
            <rFont val="Tahoma"/>
            <family val="2"/>
          </rPr>
          <t>This cell should be greyed out as detail provided above.</t>
        </r>
      </text>
    </comment>
  </commentList>
</comments>
</file>

<file path=xl/sharedStrings.xml><?xml version="1.0" encoding="utf-8"?>
<sst xmlns="http://schemas.openxmlformats.org/spreadsheetml/2006/main" count="1515" uniqueCount="680">
  <si>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</si>
  <si>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</si>
  <si>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</si>
  <si>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</si>
  <si>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</si>
  <si>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</si>
  <si>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</si>
  <si>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</si>
  <si>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</si>
  <si>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</si>
  <si>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</si>
  <si>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</si>
  <si>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</si>
  <si>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</si>
  <si>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</si>
  <si>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</si>
  <si>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</si>
  <si>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</si>
  <si>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</si>
  <si>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</si>
  <si>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</si>
  <si>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</si>
  <si>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</si>
  <si>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</si>
  <si>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</si>
  <si>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</si>
  <si>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</si>
  <si>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</si>
  <si>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</si>
  <si>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</si>
  <si>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</si>
  <si>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</si>
  <si>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</si>
  <si>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</si>
  <si>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</si>
  <si>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</si>
  <si>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</si>
  <si>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</si>
  <si>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</si>
  <si>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</si>
  <si>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</si>
  <si>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</si>
  <si>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</si>
  <si>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</si>
  <si>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</si>
  <si>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</si>
  <si>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</si>
  <si>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</si>
  <si>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</si>
  <si>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</si>
  <si>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</si>
  <si>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</si>
  <si>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</si>
  <si>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</si>
  <si>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</si>
  <si>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</si>
  <si>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</si>
  <si>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</si>
  <si>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</si>
  <si>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</si>
  <si>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</si>
  <si>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</si>
  <si>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</si>
  <si>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</si>
  <si>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</si>
  <si>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</si>
  <si>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</si>
  <si>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</si>
  <si>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</si>
  <si>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</si>
  <si>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</si>
  <si>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</si>
  <si>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</si>
  <si>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</si>
  <si>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</si>
  <si>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</si>
  <si>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</si>
  <si>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</si>
  <si>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</si>
  <si>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</si>
  <si>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</si>
  <si>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</si>
  <si>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</si>
  <si>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</si>
  <si>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</si>
  <si>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</si>
  <si>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</si>
  <si>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</si>
  <si>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</si>
  <si>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</si>
  <si>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</si>
  <si>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</si>
  <si>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</si>
  <si>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</si>
  <si>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</si>
  <si>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</si>
  <si>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</si>
  <si>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</si>
  <si>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</si>
  <si>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</si>
  <si>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</si>
  <si>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</si>
  <si>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</si>
  <si>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</si>
  <si>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</si>
  <si>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</si>
  <si>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</si>
  <si>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</si>
  <si>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</si>
  <si>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</si>
  <si>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</si>
  <si>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</si>
  <si>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</si>
  <si>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</si>
  <si>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</si>
  <si>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</si>
  <si>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</si>
  <si>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</si>
  <si>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</si>
  <si>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</si>
  <si>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</si>
  <si>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</si>
  <si>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</si>
  <si>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</si>
  <si>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</si>
  <si>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</si>
  <si>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</si>
  <si>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</si>
  <si>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</si>
  <si>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</si>
  <si>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</si>
  <si>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</si>
  <si>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</si>
  <si>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</si>
  <si>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</si>
  <si>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</si>
  <si>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</si>
  <si>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</si>
  <si>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</si>
  <si>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</si>
  <si>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</si>
  <si>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</si>
  <si>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</si>
  <si>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</si>
  <si>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</si>
  <si>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</si>
  <si>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</si>
  <si>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</si>
  <si>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</si>
  <si>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</si>
  <si>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</si>
  <si>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</si>
  <si>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</si>
  <si>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</si>
  <si>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</si>
  <si>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</si>
  <si>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</si>
  <si>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</si>
  <si>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</si>
  <si>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</si>
  <si>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</si>
  <si>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</si>
  <si>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</si>
  <si>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</si>
  <si>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</si>
  <si>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</si>
  <si>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</si>
  <si>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</si>
  <si>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</si>
  <si>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</si>
  <si>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</si>
  <si>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</si>
  <si>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</si>
  <si>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</si>
  <si>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</si>
  <si>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</si>
  <si>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</si>
  <si>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</si>
  <si>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</si>
  <si>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</si>
  <si>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</si>
  <si>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</si>
  <si>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</si>
  <si>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</si>
  <si>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</si>
  <si>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</si>
  <si>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</si>
  <si>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</si>
  <si>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</si>
  <si>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</si>
  <si>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</si>
  <si>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</si>
  <si>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</si>
  <si>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</si>
  <si>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</si>
  <si>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</si>
  <si>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</si>
  <si>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</si>
  <si>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</si>
  <si>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</si>
  <si>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</si>
  <si>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</si>
  <si>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</si>
  <si>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</si>
  <si>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</si>
  <si>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</si>
  <si>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</si>
  <si>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</si>
  <si>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</si>
  <si>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</si>
  <si>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</si>
  <si>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</si>
  <si>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</si>
  <si>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</si>
  <si>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</si>
  <si>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</si>
  <si>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</si>
  <si>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</si>
  <si>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</si>
  <si>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</si>
  <si>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</si>
  <si>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</si>
  <si>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</si>
  <si>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</si>
  <si>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</si>
  <si>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</si>
  <si>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</si>
  <si>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</si>
  <si>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</si>
  <si>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</si>
  <si>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</si>
  <si>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</si>
  <si>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</si>
  <si>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</si>
  <si>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</si>
  <si>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</si>
  <si>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</si>
  <si>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</si>
  <si>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</si>
  <si>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</si>
  <si>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</si>
  <si>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</si>
  <si>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</si>
  <si>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</si>
  <si>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</si>
  <si>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</si>
  <si>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</si>
  <si>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</si>
  <si>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</si>
  <si>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</si>
  <si>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</si>
  <si>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</si>
  <si>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</si>
  <si>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</si>
  <si>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</si>
  <si>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</si>
  <si>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</si>
  <si>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</si>
  <si>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</si>
  <si>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</si>
  <si>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</si>
  <si>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</si>
  <si>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</si>
  <si>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</si>
  <si>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</si>
  <si>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</si>
  <si>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</si>
  <si>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</si>
  <si>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</si>
  <si>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</si>
  <si>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</si>
  <si>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</si>
  <si>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</si>
  <si>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</si>
  <si>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</si>
  <si>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</si>
  <si>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</si>
  <si>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</si>
  <si>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</si>
  <si>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</si>
  <si>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</si>
  <si>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</si>
  <si>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</si>
  <si>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</si>
  <si>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</si>
  <si>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</si>
  <si>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</si>
  <si>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</si>
  <si>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</si>
  <si>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</si>
  <si>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</si>
  <si>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</si>
  <si>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</si>
  <si>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</si>
  <si>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</si>
  <si>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</si>
  <si>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</si>
  <si>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</si>
  <si>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</si>
  <si>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</si>
  <si>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</si>
  <si>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</si>
  <si>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</si>
  <si>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</si>
  <si>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</si>
  <si>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</si>
  <si>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</si>
  <si>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</si>
  <si>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</si>
  <si>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</si>
  <si>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</si>
  <si>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</si>
  <si>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</si>
  <si>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</si>
  <si>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</si>
  <si>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</si>
  <si>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</si>
  <si>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</si>
  <si>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</si>
  <si>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</si>
  <si>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</si>
  <si>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</si>
  <si>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</si>
  <si>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</si>
  <si>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</si>
  <si>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</si>
  <si>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</si>
  <si>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</si>
  <si>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</si>
  <si>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</si>
  <si>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</si>
  <si>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</si>
  <si>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</si>
  <si>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</si>
  <si>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</si>
  <si>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</si>
  <si>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</si>
  <si>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</si>
  <si>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</si>
  <si>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</si>
  <si>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</si>
  <si>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</si>
  <si>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</si>
  <si>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</si>
  <si>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ET - excluding SHET</t>
  </si>
  <si>
    <t>Allowed cost of debt %</t>
  </si>
  <si>
    <t>6. Other adjustment (Overwrite)</t>
  </si>
  <si>
    <t>7. Other adjustment (Overwrite)</t>
  </si>
  <si>
    <t>8. Other adjustment (Overwrite)</t>
  </si>
  <si>
    <t>9. Other adjustment (Overwrite)</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</si>
  <si>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</si>
  <si>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</si>
  <si>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</si>
  <si>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</si>
  <si>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</si>
  <si>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</si>
  <si>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</si>
  <si>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</si>
  <si>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</si>
  <si>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</si>
  <si>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</si>
  <si>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</si>
  <si>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</si>
  <si>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</si>
  <si>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</si>
  <si>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</si>
  <si>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</si>
  <si>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</si>
  <si>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</si>
  <si>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</si>
  <si>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</si>
  <si>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</si>
  <si>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</si>
  <si>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</si>
  <si>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</si>
  <si>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</si>
  <si>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</si>
  <si>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</si>
  <si>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</si>
  <si>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</si>
  <si>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</si>
  <si>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</si>
  <si>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</si>
  <si>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</si>
  <si>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</si>
  <si>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</si>
  <si>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</si>
  <si>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</si>
  <si>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</si>
  <si>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</si>
  <si>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</si>
  <si>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</si>
  <si>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</si>
  <si>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</si>
  <si>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</si>
  <si>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</si>
  <si>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</si>
  <si>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</si>
  <si>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</si>
  <si>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</si>
  <si>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</si>
  <si>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</si>
  <si>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</si>
  <si>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</si>
  <si>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</si>
  <si>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</si>
  <si>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</si>
  <si>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</si>
  <si>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</si>
  <si>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</si>
  <si>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</si>
  <si>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</si>
  <si>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</si>
  <si>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</si>
  <si>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</si>
  <si>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</si>
  <si>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</si>
  <si>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</si>
  <si>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</si>
  <si>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</si>
  <si>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</si>
  <si>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</si>
  <si>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</si>
  <si>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</si>
  <si>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</si>
  <si>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</si>
  <si>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</si>
  <si>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</si>
  <si>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</si>
  <si>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</si>
  <si>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</si>
  <si>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</si>
  <si>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</si>
  <si>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</si>
  <si>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</si>
  <si>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</si>
  <si>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</si>
  <si>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</si>
  <si>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</si>
  <si>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</si>
  <si>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</si>
  <si>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</si>
  <si>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</si>
  <si>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</si>
  <si>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</si>
  <si>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</si>
  <si>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</si>
  <si>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</si>
  <si>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</si>
  <si>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</si>
  <si>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</si>
  <si>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</si>
  <si>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</si>
  <si>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</si>
  <si>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</si>
  <si>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</si>
  <si>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</si>
  <si>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</si>
  <si>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</si>
  <si>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</si>
  <si>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</si>
  <si>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</si>
  <si>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</si>
  <si>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</si>
  <si>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</si>
  <si>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</si>
  <si>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</si>
  <si>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</si>
  <si>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</si>
  <si>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</si>
  <si>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</si>
  <si>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</si>
  <si>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</si>
  <si>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</si>
  <si>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</si>
  <si>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</si>
  <si>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</si>
  <si>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</si>
  <si>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</si>
  <si>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</si>
  <si>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</si>
  <si>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</si>
  <si>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</si>
  <si>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</si>
  <si>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</si>
  <si>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</si>
  <si>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</si>
  <si>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</si>
  <si>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</si>
  <si>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</si>
  <si>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</si>
  <si>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</si>
  <si>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</si>
  <si>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</si>
  <si>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</si>
  <si>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</si>
  <si>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</si>
  <si>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</si>
  <si>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</si>
  <si>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</si>
  <si>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</si>
  <si>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</si>
  <si>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</si>
  <si>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</si>
  <si>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</si>
  <si>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</si>
  <si>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</si>
  <si>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</si>
  <si>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</si>
  <si>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</si>
  <si>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</si>
  <si>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</si>
  <si>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</si>
  <si>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</si>
  <si>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</si>
  <si>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</si>
  <si>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</si>
  <si>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</si>
  <si>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</si>
  <si>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</si>
  <si>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</si>
  <si>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</si>
  <si>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</si>
  <si>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</si>
  <si>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</si>
  <si>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</si>
  <si>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</si>
  <si>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</si>
  <si>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</si>
  <si>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</si>
  <si>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</si>
  <si>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</si>
  <si>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</si>
  <si>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</si>
  <si>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</si>
  <si>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</si>
  <si>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</si>
  <si>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</si>
  <si>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</si>
  <si>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</si>
  <si>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</si>
  <si>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</si>
  <si>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</si>
  <si>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</si>
  <si>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</si>
  <si>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</si>
  <si>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</si>
  <si>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</si>
  <si>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</si>
  <si>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</si>
  <si>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</si>
  <si>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</si>
  <si>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</si>
  <si>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</si>
  <si>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</si>
  <si>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</si>
  <si>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</si>
  <si>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</si>
  <si>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</si>
  <si>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</si>
  <si>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</si>
  <si>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</si>
  <si>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</si>
  <si>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</si>
  <si>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</si>
  <si>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</si>
  <si>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</si>
  <si>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</si>
  <si>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</si>
  <si>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</si>
  <si>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</si>
  <si>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</si>
  <si>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</si>
  <si>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</si>
  <si>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</si>
  <si>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</si>
  <si>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</si>
  <si>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</si>
  <si>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</si>
  <si>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</si>
  <si>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</si>
  <si>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</si>
  <si>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</si>
  <si>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</si>
  <si>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</si>
  <si>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</si>
  <si>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</si>
  <si>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</si>
  <si>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</si>
  <si>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</si>
  <si>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</si>
  <si>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</si>
  <si>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</si>
  <si>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</si>
  <si>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</si>
  <si>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</si>
  <si>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</si>
  <si>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</si>
  <si>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</si>
  <si>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</si>
  <si>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</si>
  <si>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</si>
  <si>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</si>
  <si>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</si>
  <si>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</si>
  <si>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</si>
  <si>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</si>
  <si>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</si>
  <si>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</si>
  <si>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</si>
  <si>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</si>
  <si>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</si>
  <si>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</si>
  <si>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</si>
  <si>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</si>
  <si>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</si>
  <si>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</si>
  <si>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</si>
  <si>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</si>
  <si>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Item reported as Turnover in Reg Accounts, but excluded from Revenue Return</t>
  </si>
  <si>
    <t>Formula in cell E37 has been corrected</t>
  </si>
  <si>
    <t xml:space="preserve"> Cell M30 -formula has been removed.</t>
  </si>
  <si>
    <t>RPI true up</t>
  </si>
  <si>
    <t>DPCR5 legacy revenue adjustment</t>
  </si>
  <si>
    <t>Revenue profiling adjustment</t>
  </si>
  <si>
    <t>Enduring value adjustments</t>
  </si>
  <si>
    <t>Metering equipment and services</t>
  </si>
  <si>
    <t>Directly Remunerated Services (excluding metering)</t>
  </si>
  <si>
    <t>TIM neutral Green recovery adjustment to Totex allowance</t>
  </si>
  <si>
    <t>Priority Service Register (PSR) fine</t>
  </si>
  <si>
    <t>Remove Rail Electrification EV adj due to not being in Corp Model RAV</t>
  </si>
  <si>
    <t>Revised Opening RAV</t>
  </si>
  <si>
    <t>Net Additions</t>
  </si>
  <si>
    <t>5BD Lag SONIA</t>
  </si>
  <si>
    <t>R5</t>
  </si>
  <si>
    <t xml:space="preserve">Price base in cell D26 corrected to read "Nominal", rather than 2012/13 prices. </t>
  </si>
  <si>
    <t xml:space="preserve">General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</si>
  <si>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</si>
  <si>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R4-Totex</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</si>
  <si>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</si>
  <si>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</si>
  <si>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following confirmation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</si>
  <si>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-£0.1m.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</si>
  <si>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</si>
  <si>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</si>
  <si>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</si>
  <si>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Adjustment to align incentives with latest submitted Revenue Return (remove 19/20 SECV)</t>
  </si>
  <si>
    <t>Cell E27-F27 updated and formatted yellow as cells above.
Cells G28:G30 (Corporation Tax forecast) updated to 25% to align with RIIO-ED2 PCFM.
RPI forecasts in cells I39-J39 removed for these periods because actual values are now known. These cells have now been shaded in the format of the cells for previous years.
Future inflation Assumption in cell J43 has been removed as actual RPI for this period is now known. The cell has now been shaded in the format of cells for previous years.</t>
  </si>
  <si>
    <t>2022/23 submission:</t>
  </si>
  <si>
    <t xml:space="preserve">The Payment History component of the Pensions Deficit Repair Allowances in cells J18 and K18 of table R12 – Pensions have been updated. </t>
  </si>
  <si>
    <t>In the 2021/22 submission, 2022/23 values were forecast values; these have now been updated in the 2022/23 submission with actual values. Similarly, forecast data has been updated in the 2022/23 submission to reflect more recent views of forecast performance.</t>
  </si>
  <si>
    <t>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-£0.320m. 2023 actuals are subject to change until Ofgem confirm our performance KPIs later in 2023.</t>
  </si>
  <si>
    <t xml:space="preserve">2021/22 values in cell J11 in table R5-Output Incentives table has been updated. This has decreased the Broad Measure Incentive in 2022 by -£0.320m. </t>
  </si>
  <si>
    <t>R7a, R8a</t>
  </si>
  <si>
    <t xml:space="preserve">All references to WPD have been replaced with NGED:
cells B63-B64
cells B83-B86
clls B129-B132
Since it is driven by a look-up to cells B73-B100 on the Data tab, the drop-down menu on the RFPR Cover tab (cell C5) also reflects these changes.
</t>
  </si>
  <si>
    <t>NGED</t>
  </si>
  <si>
    <t>ED - excluding NGED</t>
  </si>
  <si>
    <t>NGED-EMID</t>
  </si>
  <si>
    <t>NGED-WMID</t>
  </si>
  <si>
    <t>NGED-SWALES</t>
  </si>
  <si>
    <t>NGED-SWEST</t>
  </si>
  <si>
    <t>Prior year adjustments have been applied with small movements (&lt;0.1m), these reflect the inclusion of data from the most recent CT600 submissions, and the tax allowance per the latest PCFM, as required.</t>
  </si>
  <si>
    <t>2023 actuals are subject to change until Ofgem confirm our performance KPIs later in 2023.</t>
  </si>
  <si>
    <t>The 2021 and 2022 actuals have been updated to equal the final Ofgem approved values for Interruptions related quality of service performance. This has decreased the Output Incentive in 2021 by -£0.001m and increased the Output Incentive in 2022 by £0.071m. 2023 actuals are subject to change until Ofgem confirm our performance KPIs later in 2023.</t>
  </si>
  <si>
    <t xml:space="preserve">Following the submission of the Legacy PCFM in October 2022 the 2021/22 TIM neutral and Smart meter allowance adjustments have now been updated. This requires a prior year restatement of RFPR values in Totex allowances in cell J13 and Enduring values adjustment in J24 due to the balance previously reported within J24 now being factored into the allowance in J13. Overall net impact being zero. </t>
  </si>
  <si>
    <t xml:space="preserve">New rows inserted to accommodate additional borrowings/instruments. Correction to remove £0.03m standalone entry in cash flow, section D reported in 2021/22 submission -  this was correctly not included from sub-totals totals in 2021/22 submission and therefore no overall impact. </t>
  </si>
  <si>
    <t xml:space="preserve">For Interruptions related quality of service performance the 2021 and 2022 actuals (cells I12 and J12) have been updated to equal the final Ofgem approved values. This has decreased the Output Incentive in 2021 by -£0.001m and increased the Output Incentive in 2022 by £0.071m. </t>
  </si>
  <si>
    <t>Dividend apportioned to outside Regulated business</t>
  </si>
  <si>
    <t xml:space="preserve">Year end balances of fair value hedge adjustments on LTD </t>
  </si>
  <si>
    <t>Fair value hedges</t>
  </si>
  <si>
    <t>(Profit)/Loss on disposal of FA</t>
  </si>
  <si>
    <t>Flexibility correction in capex</t>
  </si>
  <si>
    <t>Customer Contributions reported in Statutory Revenue</t>
  </si>
  <si>
    <t>Nominal</t>
  </si>
  <si>
    <t>('R8 - Net Debt'!D54-AVERAGE('R8 - Net Debt'!D8,('R8 - Net Debt'!D10-'R8a - Net Debt input'!T18)))*(Data!C36-1)</t>
  </si>
  <si>
    <t>NOT PUBLISHED</t>
  </si>
  <si>
    <t/>
  </si>
  <si>
    <t>Actuals</t>
  </si>
  <si>
    <t>Cumulative to 2023</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</si>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</sst>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0">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_(* #,##0.000_);_(* \(#,##0.000\);_(* &quot;-&quot;??_);_(@_)"/>
    <numFmt numFmtId="351" formatCode="0.0000"/>
    <numFmt numFmtId="352" formatCode="[$-F800]dddd\,\ mmmm\ dd\,\ yyyy"/>
    <numFmt numFmtId="354" formatCode="_(* #,##0.0000_);_(* \(#,##0.0000\);_(* &quot;-&quot;??_);_(@_)"/>
  </numFmts>
  <fonts count="266">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u/>
      <sz val="10"/>
      <color theme="1"/>
      <name val="Verdana"/>
      <family val="2"/>
    </font>
    <font>
      <b/>
      <sz val="9"/>
      <color indexed="81"/>
      <name val="Tahoma"/>
      <family val="2"/>
    </font>
    <font>
      <sz val="9"/>
      <color indexed="81"/>
      <name val="Tahoma"/>
      <family val="2"/>
    </font>
    <font>
      <sz val="10"/>
      <color theme="1"/>
      <name val="Calibri"/>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8">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1"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0" fontId="0" fillId="0" borderId="0" xfId="0" applyNumberFormat="1" applyAlignment="1">
      <alignment horizontal="left" vertical="top"/>
    </xf>
    <xf numFmtId="14" fontId="5" fillId="3" borderId="135" xfId="2" applyNumberFormat="1" applyFont="1" applyFill="1" applyBorder="1"/>
    <xf numFmtId="172" fontId="5" fillId="3" borderId="135" xfId="2" applyNumberFormat="1" applyFont="1" applyFill="1" applyBorder="1"/>
    <xf numFmtId="9" fontId="0" fillId="0" borderId="105" xfId="0" applyNumberFormat="1" applyBorder="1" applyAlignment="1">
      <alignment horizontal="center"/>
    </xf>
    <xf numFmtId="351" fontId="24" fillId="0" borderId="0" xfId="0" applyNumberFormat="1" applyFont="1"/>
    <xf numFmtId="0" fontId="262" fillId="0" borderId="0" xfId="0" applyFont="1" applyAlignment="1">
      <alignment horizontal="left" vertical="top"/>
    </xf>
    <xf numFmtId="0" fontId="0" fillId="0" borderId="138" xfId="0" applyBorder="1"/>
    <xf numFmtId="0" fontId="0" fillId="0" borderId="21" xfId="0" applyBorder="1"/>
    <xf numFmtId="0" fontId="262" fillId="0" borderId="0" xfId="0" applyFont="1" applyAlignment="1"/>
    <xf numFmtId="176" fontId="0" fillId="0" borderId="0" xfId="0" applyNumberFormat="1" applyAlignment="1">
      <alignment horizontal="left" vertical="top"/>
    </xf>
    <xf numFmtId="10" fontId="5" fillId="38" borderId="68" xfId="77" applyNumberFormat="1" applyFont="1" applyFill="1" applyBorder="1" applyProtection="1"/>
    <xf numFmtId="10" fontId="5" fillId="38" borderId="74" xfId="77" applyNumberFormat="1" applyFont="1" applyFill="1" applyBorder="1" applyProtection="1"/>
    <xf numFmtId="0" fontId="3" fillId="0" borderId="137" xfId="0" applyFont="1" applyBorder="1" applyAlignment="1" applyProtection="1">
      <alignment horizontal="center" vertical="center"/>
      <protection locked="0"/>
    </xf>
    <xf numFmtId="172" fontId="24" fillId="0" borderId="138" xfId="1" applyNumberFormat="1" applyFont="1" applyBorder="1" applyAlignment="1" applyProtection="1">
      <alignment horizontal="center" vertical="center"/>
      <protection locked="0"/>
    </xf>
    <xf numFmtId="0" fontId="24" fillId="0" borderId="138" xfId="0" applyFont="1" applyBorder="1" applyAlignment="1" applyProtection="1">
      <alignment horizontal="left" vertical="center"/>
      <protection locked="0"/>
    </xf>
    <xf numFmtId="0" fontId="0" fillId="0" borderId="138" xfId="0" applyBorder="1" applyAlignment="1">
      <alignment horizontal="left" indent="1"/>
    </xf>
    <xf numFmtId="0" fontId="0" fillId="0" borderId="139" xfId="0" applyBorder="1"/>
    <xf numFmtId="0" fontId="3" fillId="0" borderId="140" xfId="0" applyFont="1" applyBorder="1" applyAlignment="1" applyProtection="1">
      <alignment horizontal="center" vertical="center"/>
      <protection locked="0"/>
    </xf>
    <xf numFmtId="172" fontId="0" fillId="0" borderId="0" xfId="1" applyNumberFormat="1" applyFont="1" applyBorder="1"/>
    <xf numFmtId="0" fontId="0" fillId="0" borderId="141" xfId="0" applyBorder="1"/>
    <xf numFmtId="0" fontId="0" fillId="0" borderId="140" xfId="0" applyBorder="1"/>
    <xf numFmtId="172" fontId="3" fillId="0" borderId="0" xfId="1" applyNumberFormat="1" applyFont="1" applyBorder="1"/>
    <xf numFmtId="0" fontId="3" fillId="0" borderId="0" xfId="0" applyFont="1" applyBorder="1"/>
    <xf numFmtId="0" fontId="0" fillId="0" borderId="142" xfId="0" applyBorder="1"/>
    <xf numFmtId="0" fontId="0" fillId="0" borderId="21" xfId="0" applyBorder="1" applyAlignment="1">
      <alignment horizontal="left" indent="1"/>
    </xf>
    <xf numFmtId="0" fontId="0" fillId="0" borderId="136" xfId="0" applyBorder="1"/>
    <xf numFmtId="175" fontId="5" fillId="36" borderId="30" xfId="75" applyNumberFormat="1" applyFont="1" applyFill="1" applyBorder="1" applyProtection="1"/>
    <xf numFmtId="164" fontId="0" fillId="0" borderId="0" xfId="0" applyNumberFormat="1" applyAlignment="1">
      <alignment horizontal="left" vertical="top"/>
    </xf>
    <xf numFmtId="0" fontId="5" fillId="42" borderId="68" xfId="0" applyFont="1" applyFill="1" applyBorder="1" applyAlignment="1">
      <alignment horizontal="left" vertical="top" wrapText="1"/>
    </xf>
    <xf numFmtId="178" fontId="0" fillId="0" borderId="0" xfId="0" applyNumberFormat="1"/>
    <xf numFmtId="0" fontId="0" fillId="3" borderId="0" xfId="0" applyFont="1" applyFill="1" applyAlignment="1">
      <alignment horizontal="left" vertical="top" indent="1"/>
    </xf>
    <xf numFmtId="0" fontId="0" fillId="0" borderId="68" xfId="0" quotePrefix="1" applyFill="1" applyBorder="1" applyAlignment="1">
      <alignment horizontal="left" vertical="top" wrapText="1" indent="1"/>
    </xf>
    <xf numFmtId="0" fontId="0" fillId="42" borderId="68" xfId="0" applyFont="1" applyFill="1" applyBorder="1" applyAlignment="1">
      <alignment horizontal="left" vertical="top" wrapText="1"/>
    </xf>
    <xf numFmtId="0" fontId="0" fillId="0" borderId="68" xfId="0" applyFont="1" applyFill="1" applyBorder="1" applyAlignment="1">
      <alignment horizontal="left" vertical="top" wrapText="1"/>
    </xf>
    <xf numFmtId="0" fontId="265" fillId="0" borderId="0" xfId="0" applyFont="1" applyAlignment="1">
      <alignment horizontal="justify" vertical="center"/>
    </xf>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0" fillId="3" borderId="79" xfId="0" applyNumberFormat="1" applyFill="1" applyBorder="1" applyAlignment="1">
      <alignment horizontal="right" vertical="top"/>
    </xf>
    <xf numFmtId="0" fontId="5" fillId="3" borderId="135" xfId="2" applyNumberFormat="1" applyFont="1" applyFill="1" applyBorder="1" applyAlignment="1">
      <alignment horizontal="center" vertical="center"/>
    </xf>
    <xf numFmtId="0" fontId="0" fillId="0" borderId="68" xfId="0" applyFill="1" applyBorder="1" applyAlignment="1">
      <alignment horizontal="left" vertical="top" wrapText="1"/>
    </xf>
    <xf numFmtId="0" fontId="5" fillId="0" borderId="68" xfId="0" applyFont="1" applyFill="1" applyBorder="1" applyAlignment="1">
      <alignment horizontal="left" vertical="top" wrapText="1"/>
    </xf>
    <xf numFmtId="0" fontId="0" fillId="42" borderId="68" xfId="0" applyFill="1" applyBorder="1" applyAlignment="1">
      <alignment vertical="top" wrapText="1"/>
    </xf>
    <xf numFmtId="43" fontId="0" fillId="0" borderId="0" xfId="0" applyNumberFormat="1"/>
    <xf numFmtId="177" fontId="0" fillId="0" borderId="0" xfId="0" applyNumberFormat="1" applyAlignment="1">
      <alignment horizontal="left" vertical="top"/>
    </xf>
    <xf numFmtId="354" fontId="0" fillId="0" borderId="0" xfId="0" applyNumberFormat="1" applyAlignment="1">
      <alignment horizontal="left" vertical="top"/>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wrapText="1" indent="1"/>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14">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FF66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FINANCE%20BRIEF%20APRIL%2022/RE%20%20PSR%20investigation%20fine.m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26" sqref="D26"/>
      <selection pane="bottomLeft" activeCell="D31" sqref="D31"/>
    </sheetView>
  </sheetViews>
  <sheetFormatPr defaultRowHeight="12.6"/>
  <cols>
    <col min="1" max="1" width="8.36328125" customWidth="1"/>
    <col min="2" max="2" width="27.08984375" customWidth="1"/>
    <col min="3" max="6" width="14.08984375" customWidth="1"/>
    <col min="7" max="7" width="14.08984375" style="214" customWidth="1"/>
    <col min="8" max="11" width="14.08984375" customWidth="1"/>
  </cols>
  <sheetData>
    <row r="1" spans="1:11" s="31" customFormat="1" ht="21">
      <c r="A1" s="872" t="s">
        <v>303</v>
      </c>
      <c r="B1" s="873"/>
      <c r="C1" s="873"/>
      <c r="D1" s="874"/>
      <c r="E1" s="875"/>
      <c r="F1" s="873"/>
      <c r="G1" s="876"/>
      <c r="H1" s="873"/>
      <c r="I1" s="873"/>
      <c r="J1" s="873"/>
      <c r="K1" s="873"/>
    </row>
    <row r="2" spans="1:11" s="31" customFormat="1" ht="21">
      <c r="A2" s="872" t="str">
        <f>'RFPR cover'!C5</f>
        <v>NGED-EMID</v>
      </c>
      <c r="B2" s="873"/>
      <c r="C2" s="873"/>
      <c r="D2" s="875"/>
      <c r="E2" s="875"/>
      <c r="F2" s="873"/>
      <c r="G2" s="876"/>
      <c r="H2" s="873"/>
      <c r="I2" s="873"/>
      <c r="J2" s="873"/>
      <c r="K2" s="873"/>
    </row>
    <row r="3" spans="1:11" s="31" customFormat="1" ht="21">
      <c r="A3" s="872">
        <f>'RFPR cover'!C7</f>
        <v>2023</v>
      </c>
      <c r="B3" s="873"/>
      <c r="C3" s="873"/>
      <c r="D3" s="875"/>
      <c r="E3" s="875"/>
      <c r="F3" s="873"/>
      <c r="G3" s="876"/>
      <c r="H3" s="873"/>
      <c r="I3" s="873"/>
      <c r="J3" s="873"/>
      <c r="K3" s="873"/>
    </row>
    <row r="4" spans="1:11" ht="13.8">
      <c r="A4" s="30"/>
      <c r="B4" s="30"/>
      <c r="C4" s="30"/>
      <c r="D4" s="30"/>
      <c r="E4" s="30"/>
      <c r="H4" s="10"/>
      <c r="I4" s="10"/>
      <c r="J4" s="10"/>
    </row>
    <row r="5" spans="1:11" ht="13.5" customHeight="1">
      <c r="A5" s="30"/>
      <c r="B5" s="78" t="s">
        <v>62</v>
      </c>
      <c r="C5" s="45" t="s">
        <v>657</v>
      </c>
      <c r="D5" s="340"/>
      <c r="E5" s="19"/>
      <c r="F5" s="11"/>
      <c r="G5" s="547" t="s">
        <v>0</v>
      </c>
      <c r="H5" s="10"/>
      <c r="I5" s="10"/>
      <c r="J5" s="10"/>
    </row>
    <row r="6" spans="1:11" ht="13.5" customHeight="1">
      <c r="A6" s="30"/>
      <c r="B6" s="78" t="s">
        <v>189</v>
      </c>
      <c r="C6" s="83" t="str">
        <f>INDEX(Data!$A$73:$A$100,MATCH($C$5,Data!$B$73:$B$100,0),0)&amp;"1"</f>
        <v>ED1</v>
      </c>
      <c r="D6" s="19"/>
      <c r="E6" s="19"/>
      <c r="F6" s="9"/>
      <c r="G6" s="547" t="s">
        <v>1</v>
      </c>
      <c r="H6" s="10"/>
      <c r="I6" s="10"/>
      <c r="J6" s="10"/>
    </row>
    <row r="7" spans="1:11" ht="25.8">
      <c r="A7" s="30"/>
      <c r="B7" s="79" t="s">
        <v>188</v>
      </c>
      <c r="C7" s="84">
        <v>2023</v>
      </c>
      <c r="D7" s="18"/>
      <c r="E7" s="19"/>
      <c r="F7" s="8"/>
      <c r="G7" s="548" t="s">
        <v>2</v>
      </c>
      <c r="H7" s="10"/>
      <c r="I7" s="10"/>
      <c r="J7" s="10"/>
    </row>
    <row r="8" spans="1:11" ht="13.8">
      <c r="A8" s="30"/>
      <c r="B8" s="78" t="s">
        <v>37</v>
      </c>
      <c r="C8" s="85">
        <v>1</v>
      </c>
      <c r="D8" s="19"/>
      <c r="E8" s="18"/>
      <c r="F8" s="7"/>
      <c r="G8" s="547" t="s">
        <v>3</v>
      </c>
      <c r="H8" s="10"/>
      <c r="I8" s="10"/>
      <c r="J8" s="10"/>
    </row>
    <row r="9" spans="1:11" ht="13.8">
      <c r="A9" s="30"/>
      <c r="B9" s="78" t="s">
        <v>38</v>
      </c>
      <c r="C9" s="86">
        <v>45138</v>
      </c>
      <c r="D9" s="18"/>
      <c r="E9" s="18"/>
      <c r="F9" s="6"/>
      <c r="G9" s="547" t="s">
        <v>4</v>
      </c>
      <c r="H9" s="10"/>
      <c r="I9" s="10"/>
      <c r="J9" s="10"/>
    </row>
    <row r="10" spans="1:11" ht="13.8">
      <c r="A10" s="30"/>
      <c r="B10" s="78" t="s">
        <v>70</v>
      </c>
      <c r="C10" s="87">
        <f>SUMIF(Data!$B$72:$B$100,C5,Data!$C$72:$C$100)</f>
        <v>6.4000000000000001E-2</v>
      </c>
      <c r="D10" s="18"/>
      <c r="E10" s="18"/>
      <c r="F10" s="5"/>
      <c r="G10" s="547" t="s">
        <v>5</v>
      </c>
      <c r="H10" s="10"/>
      <c r="I10" s="10"/>
      <c r="J10" s="10"/>
    </row>
    <row r="11" spans="1:11" ht="13.8">
      <c r="A11" s="30"/>
      <c r="B11" s="78" t="s">
        <v>71</v>
      </c>
      <c r="C11" s="88">
        <f>SUMIF(Data!$B$72:$B$100,C5,Data!$D$72:$D$100)</f>
        <v>0.7</v>
      </c>
      <c r="D11" s="19"/>
      <c r="E11" s="19"/>
      <c r="F11" s="4"/>
      <c r="G11" s="547" t="s">
        <v>6</v>
      </c>
      <c r="H11" s="10"/>
      <c r="I11" s="10"/>
      <c r="J11" s="10"/>
    </row>
    <row r="12" spans="1:11">
      <c r="A12" s="30"/>
      <c r="B12" s="78" t="s">
        <v>115</v>
      </c>
      <c r="C12" s="87">
        <f>SUMIF(Data!$B$72:$B$100,C5,Data!$E$72:$E$100)</f>
        <v>0.65</v>
      </c>
      <c r="D12" s="18"/>
      <c r="E12" s="18"/>
      <c r="F12" s="18"/>
      <c r="G12" s="549"/>
    </row>
    <row r="13" spans="1:11">
      <c r="A13" s="30"/>
      <c r="B13" s="78" t="s">
        <v>500</v>
      </c>
      <c r="C13" s="83">
        <f>INDEX(Data!$G$73:$G$100,MATCH($C$5,Data!$B$73:$B$100,0),0)</f>
        <v>2016</v>
      </c>
      <c r="D13" s="18"/>
      <c r="E13" s="18"/>
      <c r="F13" s="77" t="s">
        <v>191</v>
      </c>
    </row>
    <row r="14" spans="1:11">
      <c r="A14" s="30"/>
      <c r="B14" s="80" t="s">
        <v>185</v>
      </c>
      <c r="C14" s="83" t="str">
        <f>INDEX(Data!$H$73:$H$100,MATCH($C$5,Data!$B$73:$B$100,0),0)</f>
        <v>£m 12/13</v>
      </c>
      <c r="D14" s="18"/>
      <c r="E14" s="18"/>
      <c r="F14" s="90">
        <v>0.1</v>
      </c>
      <c r="G14" s="549"/>
    </row>
    <row r="15" spans="1:11">
      <c r="A15" s="30"/>
      <c r="B15" s="18"/>
      <c r="C15" s="18"/>
      <c r="D15" s="18"/>
      <c r="E15" s="18"/>
      <c r="F15" s="18"/>
      <c r="G15" s="549"/>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31"/>
  <sheetViews>
    <sheetView showGridLines="0" zoomScale="60" zoomScaleNormal="60" workbookViewId="0">
      <pane ySplit="6" topLeftCell="A7" activePane="bottomLeft" state="frozen"/>
      <selection activeCell="D26" sqref="D26"/>
      <selection pane="bottomLeft" activeCell="K9" sqref="K9"/>
    </sheetView>
  </sheetViews>
  <sheetFormatPr defaultRowHeight="12.6"/>
  <cols>
    <col min="1" max="1" width="8.36328125" customWidth="1"/>
    <col min="2" max="2" width="79.6328125" customWidth="1"/>
    <col min="3" max="3" width="14.08984375" style="137" customWidth="1"/>
    <col min="4" max="11" width="11.08984375" customWidth="1"/>
    <col min="12" max="12" width="5" customWidth="1"/>
  </cols>
  <sheetData>
    <row r="1" spans="1:13" s="31" customFormat="1" ht="21">
      <c r="A1" s="891" t="s">
        <v>100</v>
      </c>
      <c r="B1" s="887"/>
      <c r="C1" s="279"/>
      <c r="D1" s="257"/>
      <c r="E1" s="257"/>
      <c r="F1" s="257"/>
      <c r="G1" s="257"/>
      <c r="H1" s="257"/>
      <c r="I1" s="258"/>
      <c r="J1" s="258"/>
      <c r="K1" s="259"/>
      <c r="L1" s="260"/>
    </row>
    <row r="2" spans="1:13" s="31" customFormat="1" ht="21">
      <c r="A2" s="880" t="str">
        <f>'RFPR cover'!C5</f>
        <v>NGED-EMID</v>
      </c>
      <c r="B2" s="872"/>
      <c r="C2" s="135"/>
      <c r="D2" s="29"/>
      <c r="E2" s="29"/>
      <c r="F2" s="29"/>
      <c r="G2" s="29"/>
      <c r="H2" s="29"/>
      <c r="I2" s="27"/>
      <c r="J2" s="27"/>
      <c r="K2" s="27"/>
      <c r="L2" s="124"/>
    </row>
    <row r="3" spans="1:13" s="37" customFormat="1" ht="22.8">
      <c r="A3" s="883">
        <f>'RFPR cover'!C7</f>
        <v>2023</v>
      </c>
      <c r="B3" s="889" t="str">
        <f>'R1 - RoRE'!B3</f>
        <v/>
      </c>
      <c r="C3" s="281"/>
      <c r="D3" s="280"/>
      <c r="E3" s="280"/>
      <c r="F3" s="280"/>
      <c r="G3" s="280"/>
      <c r="H3" s="280"/>
      <c r="I3" s="256"/>
      <c r="J3" s="256"/>
      <c r="K3" s="256"/>
      <c r="L3" s="262"/>
    </row>
    <row r="4" spans="1:13" s="2" customFormat="1" ht="12.75" customHeight="1">
      <c r="C4" s="137"/>
    </row>
    <row r="5" spans="1:13" s="2" customForma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3"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3" s="2" customFormat="1">
      <c r="C7" s="137"/>
    </row>
    <row r="8" spans="1:13" s="2" customFormat="1">
      <c r="B8" s="51" t="s">
        <v>134</v>
      </c>
      <c r="C8" s="138"/>
      <c r="D8" s="57"/>
      <c r="E8" s="57"/>
      <c r="F8" s="57"/>
      <c r="G8" s="57"/>
      <c r="H8" s="57"/>
      <c r="I8" s="57"/>
      <c r="J8" s="57"/>
      <c r="K8" s="57"/>
    </row>
    <row r="9" spans="1:13" s="2" customFormat="1">
      <c r="B9" s="226" t="s">
        <v>507</v>
      </c>
      <c r="C9" s="153" t="s">
        <v>128</v>
      </c>
      <c r="D9" s="593">
        <v>0.56871103000000001</v>
      </c>
      <c r="E9" s="593">
        <v>1.7316265999999998</v>
      </c>
      <c r="F9" s="593">
        <v>2.0625999999999998</v>
      </c>
      <c r="G9" s="593">
        <v>1.4103000000000001</v>
      </c>
      <c r="H9" s="593">
        <v>2.1141750000000004</v>
      </c>
      <c r="I9" s="593">
        <v>1.653713</v>
      </c>
      <c r="J9" s="593">
        <v>1.9401700000000002</v>
      </c>
      <c r="K9" s="594">
        <v>1.6848000000000001</v>
      </c>
    </row>
    <row r="10" spans="1:13" s="2" customFormat="1">
      <c r="B10" s="226" t="s">
        <v>488</v>
      </c>
      <c r="C10" s="153" t="s">
        <v>128</v>
      </c>
      <c r="D10" s="593">
        <v>0</v>
      </c>
      <c r="E10" s="593">
        <v>0</v>
      </c>
      <c r="F10" s="593">
        <v>0</v>
      </c>
      <c r="G10" s="593">
        <v>0</v>
      </c>
      <c r="H10" s="593">
        <v>0</v>
      </c>
      <c r="I10" s="593">
        <v>0</v>
      </c>
      <c r="J10" s="593">
        <v>0</v>
      </c>
      <c r="K10" s="594">
        <v>0</v>
      </c>
    </row>
    <row r="11" spans="1:13" s="2" customFormat="1">
      <c r="B11" s="226" t="s">
        <v>506</v>
      </c>
      <c r="C11" s="153" t="s">
        <v>128</v>
      </c>
      <c r="D11" s="593">
        <v>5.6871103000000006E-2</v>
      </c>
      <c r="E11" s="593">
        <v>0.16641265999999999</v>
      </c>
      <c r="F11" s="593">
        <v>0.20626</v>
      </c>
      <c r="G11" s="593">
        <v>0.14103000000000002</v>
      </c>
      <c r="H11" s="593">
        <v>0.21141750000000004</v>
      </c>
      <c r="I11" s="593">
        <v>0.1653713</v>
      </c>
      <c r="J11" s="593">
        <v>0.19401700000000002</v>
      </c>
      <c r="K11" s="818">
        <f t="shared" ref="K11" si="1">+K9*0.1</f>
        <v>0.16848000000000002</v>
      </c>
    </row>
    <row r="12" spans="1:13" s="12" customFormat="1">
      <c r="B12" s="51" t="s">
        <v>132</v>
      </c>
      <c r="C12" s="153" t="s">
        <v>128</v>
      </c>
      <c r="D12" s="608">
        <f>D9-D10-D11</f>
        <v>0.51183992700000003</v>
      </c>
      <c r="E12" s="609">
        <f t="shared" ref="E12:K12" si="2">E9-E10-E11</f>
        <v>1.5652139399999998</v>
      </c>
      <c r="F12" s="609">
        <f t="shared" si="2"/>
        <v>1.8563399999999999</v>
      </c>
      <c r="G12" s="609">
        <f t="shared" si="2"/>
        <v>1.2692700000000001</v>
      </c>
      <c r="H12" s="609">
        <f t="shared" si="2"/>
        <v>1.9027575000000003</v>
      </c>
      <c r="I12" s="609">
        <f t="shared" si="2"/>
        <v>1.4883416999999999</v>
      </c>
      <c r="J12" s="609">
        <f t="shared" si="2"/>
        <v>1.7461530000000001</v>
      </c>
      <c r="K12" s="609">
        <f t="shared" si="2"/>
        <v>1.5163200000000001</v>
      </c>
      <c r="L12" s="2"/>
      <c r="M12" s="2"/>
    </row>
    <row r="13" spans="1:13" s="12" customFormat="1">
      <c r="B13" s="51"/>
      <c r="C13" s="137"/>
      <c r="D13" s="52"/>
      <c r="E13" s="52"/>
      <c r="F13" s="52"/>
      <c r="G13" s="52"/>
      <c r="H13" s="52"/>
      <c r="I13" s="52"/>
      <c r="J13" s="52"/>
      <c r="K13" s="52"/>
      <c r="L13" s="2"/>
      <c r="M13" s="2"/>
    </row>
    <row r="14" spans="1:13" s="2" customFormat="1">
      <c r="B14" s="51" t="s">
        <v>156</v>
      </c>
      <c r="C14" s="138"/>
      <c r="D14" s="57"/>
      <c r="E14" s="57"/>
      <c r="F14" s="57"/>
      <c r="G14" s="57"/>
      <c r="H14" s="57"/>
      <c r="I14" s="57"/>
      <c r="J14" s="57"/>
      <c r="K14" s="57"/>
    </row>
    <row r="15" spans="1:13" s="2" customFormat="1" ht="13.2" customHeight="1">
      <c r="B15" s="226" t="s">
        <v>509</v>
      </c>
      <c r="C15" s="153" t="s">
        <v>128</v>
      </c>
      <c r="D15" s="593">
        <v>1.80788244</v>
      </c>
      <c r="E15" s="593">
        <v>9.5952499999999996E-2</v>
      </c>
      <c r="F15" s="593">
        <v>0.27769422999999999</v>
      </c>
      <c r="G15" s="593">
        <v>0.75350304000000001</v>
      </c>
      <c r="H15" s="593">
        <v>0.10352917</v>
      </c>
      <c r="I15" s="593">
        <v>-0.27942369</v>
      </c>
      <c r="J15" s="593">
        <v>6.1786149999999998E-2</v>
      </c>
      <c r="K15" s="594">
        <v>-0.29018629000000001</v>
      </c>
    </row>
    <row r="16" spans="1:13" s="2" customFormat="1">
      <c r="B16" s="226" t="s">
        <v>508</v>
      </c>
      <c r="C16" s="153" t="s">
        <v>128</v>
      </c>
      <c r="D16" s="593">
        <v>0</v>
      </c>
      <c r="E16" s="593">
        <v>0</v>
      </c>
      <c r="F16" s="593">
        <v>0</v>
      </c>
      <c r="G16" s="593">
        <v>0</v>
      </c>
      <c r="H16" s="593">
        <v>0</v>
      </c>
      <c r="I16" s="593">
        <v>0</v>
      </c>
      <c r="J16" s="593">
        <v>0</v>
      </c>
      <c r="K16" s="594">
        <v>0</v>
      </c>
    </row>
    <row r="17" spans="2:13" s="12" customFormat="1">
      <c r="B17" s="51" t="s">
        <v>133</v>
      </c>
      <c r="C17" s="153" t="s">
        <v>128</v>
      </c>
      <c r="D17" s="608">
        <f>D15-D16</f>
        <v>1.80788244</v>
      </c>
      <c r="E17" s="608">
        <f t="shared" ref="E17:K17" si="3">E15-E16</f>
        <v>9.5952499999999996E-2</v>
      </c>
      <c r="F17" s="608">
        <f t="shared" si="3"/>
        <v>0.27769422999999999</v>
      </c>
      <c r="G17" s="608">
        <f t="shared" si="3"/>
        <v>0.75350304000000001</v>
      </c>
      <c r="H17" s="608">
        <f t="shared" si="3"/>
        <v>0.10352917</v>
      </c>
      <c r="I17" s="608">
        <f t="shared" si="3"/>
        <v>-0.27942369</v>
      </c>
      <c r="J17" s="608">
        <f t="shared" si="3"/>
        <v>6.1786149999999998E-2</v>
      </c>
      <c r="K17" s="608">
        <f t="shared" si="3"/>
        <v>-0.29018629000000001</v>
      </c>
      <c r="L17" s="2"/>
      <c r="M17" s="2"/>
    </row>
    <row r="18" spans="2:13" s="12" customFormat="1">
      <c r="B18" s="51"/>
      <c r="C18" s="137"/>
      <c r="D18" s="52"/>
      <c r="E18" s="52"/>
      <c r="F18" s="52"/>
      <c r="G18" s="52"/>
      <c r="H18" s="52"/>
      <c r="I18" s="52"/>
      <c r="J18" s="52"/>
      <c r="K18" s="52"/>
      <c r="L18" s="2"/>
      <c r="M18" s="2"/>
    </row>
    <row r="19" spans="2:13" s="2" customFormat="1">
      <c r="B19" s="51" t="s">
        <v>157</v>
      </c>
      <c r="C19" s="138"/>
      <c r="D19" s="57"/>
      <c r="E19" s="57"/>
      <c r="F19" s="57"/>
      <c r="G19" s="57"/>
      <c r="H19" s="57"/>
      <c r="I19" s="57"/>
      <c r="J19" s="57"/>
      <c r="K19" s="57"/>
    </row>
    <row r="20" spans="2:13" s="2" customFormat="1">
      <c r="B20" s="226" t="s">
        <v>437</v>
      </c>
      <c r="C20" s="153" t="s">
        <v>128</v>
      </c>
      <c r="D20" s="593">
        <v>0</v>
      </c>
      <c r="E20" s="593">
        <v>0</v>
      </c>
      <c r="F20" s="593">
        <v>5.5999999999999991E-3</v>
      </c>
      <c r="G20" s="593">
        <v>0.58279999999999998</v>
      </c>
      <c r="H20" s="593">
        <v>0.60210000000000008</v>
      </c>
      <c r="I20" s="593">
        <v>2.6802000000000001</v>
      </c>
      <c r="J20" s="593">
        <v>0.66800000000000004</v>
      </c>
      <c r="K20" s="594">
        <v>1.0491000000000001</v>
      </c>
    </row>
    <row r="21" spans="2:13" s="2" customFormat="1">
      <c r="B21" s="226" t="s">
        <v>506</v>
      </c>
      <c r="C21" s="153" t="s">
        <v>128</v>
      </c>
      <c r="D21" s="593">
        <v>0</v>
      </c>
      <c r="E21" s="593">
        <v>0</v>
      </c>
      <c r="F21" s="593">
        <v>6.1999999999999989E-3</v>
      </c>
      <c r="G21" s="593">
        <v>0.10519999999999995</v>
      </c>
      <c r="H21" s="593">
        <v>0.10890000000000011</v>
      </c>
      <c r="I21" s="593">
        <v>0.38199999999999973</v>
      </c>
      <c r="J21" s="593">
        <v>9.7999999999999976E-2</v>
      </c>
      <c r="K21" s="618">
        <v>0.11650000000000006</v>
      </c>
    </row>
    <row r="22" spans="2:13" s="2" customFormat="1">
      <c r="B22" s="35"/>
      <c r="C22" s="139"/>
      <c r="D22" s="35"/>
      <c r="E22" s="35"/>
      <c r="F22" s="35"/>
      <c r="G22" s="35"/>
      <c r="H22" s="35"/>
      <c r="I22" s="35"/>
      <c r="J22" s="35"/>
      <c r="K22" s="35"/>
    </row>
    <row r="23" spans="2:13" s="2" customFormat="1">
      <c r="B23" s="226" t="s">
        <v>491</v>
      </c>
      <c r="C23" s="153" t="s">
        <v>128</v>
      </c>
      <c r="D23" s="593">
        <v>0</v>
      </c>
      <c r="E23" s="593">
        <v>1.542</v>
      </c>
      <c r="F23" s="593">
        <v>0.4375</v>
      </c>
      <c r="G23" s="593">
        <v>0</v>
      </c>
      <c r="H23" s="593">
        <v>0</v>
      </c>
      <c r="I23" s="593">
        <v>0</v>
      </c>
      <c r="J23" s="593">
        <v>0</v>
      </c>
      <c r="K23" s="618">
        <v>0</v>
      </c>
    </row>
    <row r="24" spans="2:13" s="2" customFormat="1">
      <c r="B24" s="35"/>
      <c r="C24" s="139"/>
      <c r="D24" s="35"/>
      <c r="E24" s="35"/>
      <c r="F24" s="35"/>
      <c r="G24" s="35"/>
      <c r="H24" s="35"/>
      <c r="I24" s="35"/>
      <c r="J24" s="35"/>
      <c r="K24" s="35"/>
    </row>
    <row r="25" spans="2:13" s="2" customFormat="1">
      <c r="B25" s="81"/>
      <c r="C25" s="151"/>
      <c r="D25" s="81"/>
      <c r="E25" s="81"/>
      <c r="F25" s="81"/>
      <c r="G25" s="81"/>
      <c r="H25" s="81"/>
      <c r="I25" s="81"/>
      <c r="J25" s="81"/>
      <c r="K25" s="81"/>
      <c r="L25" s="81"/>
    </row>
    <row r="26" spans="2:13" s="2" customFormat="1">
      <c r="B26" s="35"/>
      <c r="C26" s="139"/>
      <c r="D26" s="35"/>
      <c r="E26" s="35"/>
      <c r="F26" s="35"/>
      <c r="G26" s="35"/>
      <c r="H26" s="35"/>
      <c r="I26" s="35"/>
      <c r="J26" s="35"/>
      <c r="K26" s="35"/>
    </row>
    <row r="27" spans="2:13" s="2" customFormat="1">
      <c r="B27" s="51" t="s">
        <v>383</v>
      </c>
      <c r="C27" s="139"/>
      <c r="D27" s="35"/>
      <c r="E27" s="35"/>
      <c r="F27" s="35"/>
      <c r="G27" s="35"/>
      <c r="H27" s="35"/>
      <c r="I27" s="35"/>
      <c r="J27" s="35"/>
      <c r="K27" s="35"/>
    </row>
    <row r="28" spans="2:13" s="2" customFormat="1">
      <c r="B28" s="226" t="s">
        <v>489</v>
      </c>
      <c r="C28" s="156" t="str">
        <f>'RFPR cover'!$C$14</f>
        <v>£m 12/13</v>
      </c>
      <c r="D28" s="662">
        <f>(SUM(D10,D11,D21)-D23)/Data!C34</f>
        <v>5.3635956591971734E-2</v>
      </c>
      <c r="E28" s="662">
        <f>(SUM(E10,E11,E21)-E23)/Data!D34</f>
        <v>-1.270120729737124</v>
      </c>
      <c r="F28" s="662">
        <f>(SUM(F10,F11,F21)-F23)/Data!E34</f>
        <v>-0.20029123197578827</v>
      </c>
      <c r="G28" s="662">
        <f>(SUM(G10,G11,G21)-G23)/Data!F34</f>
        <v>0.21265310280683916</v>
      </c>
      <c r="H28" s="662">
        <f>(SUM(H10,H11,H21)-H23)/Data!G34</f>
        <v>0.26965711876638626</v>
      </c>
      <c r="I28" s="662">
        <f>(SUM(I10,I11,I21)-I23)/Data!H34</f>
        <v>0.45527905178860972</v>
      </c>
      <c r="J28" s="662">
        <f>(SUM(J10,J11,J21)-J23)/Data!I34</f>
        <v>0.22962372645087059</v>
      </c>
      <c r="K28" s="662">
        <f>(SUM(K10,K11,K21)-K23)/Data!J34</f>
        <v>0.19853105487490644</v>
      </c>
      <c r="L28" s="35"/>
    </row>
    <row r="29" spans="2:13">
      <c r="M29" s="2"/>
    </row>
    <row r="30" spans="2:13">
      <c r="M30" s="2"/>
    </row>
    <row r="31" spans="2:13">
      <c r="M31" s="2"/>
    </row>
  </sheetData>
  <conditionalFormatting sqref="D6:K6">
    <cfRule type="expression" dxfId="69" priority="24">
      <formula>AND(D$5="Actuals",E$5="Forecast")</formula>
    </cfRule>
  </conditionalFormatting>
  <conditionalFormatting sqref="D5:K5">
    <cfRule type="expression" dxfId="68"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X91"/>
  <sheetViews>
    <sheetView showGridLines="0" zoomScale="60" zoomScaleNormal="60" workbookViewId="0">
      <pane ySplit="6" topLeftCell="A7" activePane="bottomLeft" state="frozen"/>
      <selection activeCell="D26" sqref="D26"/>
      <selection pane="bottomLeft" activeCell="B19" sqref="B19"/>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891" t="s">
        <v>261</v>
      </c>
      <c r="B1" s="887"/>
      <c r="C1" s="257"/>
      <c r="D1" s="257"/>
      <c r="E1" s="257"/>
      <c r="F1" s="257"/>
      <c r="G1" s="257"/>
      <c r="H1" s="257"/>
      <c r="I1" s="258"/>
      <c r="J1" s="258"/>
      <c r="K1" s="259"/>
      <c r="L1" s="259"/>
      <c r="M1" s="259"/>
      <c r="N1" s="260"/>
    </row>
    <row r="2" spans="1:14" s="31" customFormat="1" ht="21">
      <c r="A2" s="880" t="s">
        <v>657</v>
      </c>
      <c r="B2" s="872"/>
      <c r="C2" s="29"/>
      <c r="D2" s="29"/>
      <c r="E2" s="29"/>
      <c r="F2" s="29"/>
      <c r="G2" s="29"/>
      <c r="H2" s="29"/>
      <c r="I2" s="27"/>
      <c r="J2" s="27"/>
      <c r="K2" s="27"/>
      <c r="L2" s="27"/>
      <c r="M2" s="27"/>
      <c r="N2" s="124"/>
    </row>
    <row r="3" spans="1:14" s="31" customFormat="1" ht="22.8">
      <c r="A3" s="883">
        <v>2023</v>
      </c>
      <c r="B3" s="889" t="s">
        <v>676</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0" t="s">
        <v>677</v>
      </c>
      <c r="E5" s="391" t="s">
        <v>677</v>
      </c>
      <c r="F5" s="391" t="s">
        <v>677</v>
      </c>
      <c r="G5" s="391" t="s">
        <v>677</v>
      </c>
      <c r="H5" s="391" t="s">
        <v>677</v>
      </c>
      <c r="I5" s="391" t="s">
        <v>677</v>
      </c>
      <c r="J5" s="391" t="s">
        <v>677</v>
      </c>
      <c r="K5" s="392" t="s">
        <v>677</v>
      </c>
    </row>
    <row r="6" spans="1:14" s="2" customFormat="1" ht="25.2">
      <c r="D6" s="118">
        <v>2016</v>
      </c>
      <c r="E6" s="119">
        <v>2017</v>
      </c>
      <c r="F6" s="119">
        <v>2018</v>
      </c>
      <c r="G6" s="119">
        <v>2019</v>
      </c>
      <c r="H6" s="119">
        <v>2020</v>
      </c>
      <c r="I6" s="119">
        <v>2021</v>
      </c>
      <c r="J6" s="119">
        <v>2022</v>
      </c>
      <c r="K6" s="196">
        <v>2023</v>
      </c>
      <c r="L6" s="102" t="s">
        <v>678</v>
      </c>
      <c r="M6" s="282" t="s">
        <v>109</v>
      </c>
    </row>
    <row r="7" spans="1:14" s="2" customFormat="1"/>
    <row r="8" spans="1:14">
      <c r="B8" s="480" t="s">
        <v>300</v>
      </c>
      <c r="C8" s="153" t="s">
        <v>128</v>
      </c>
      <c r="D8" s="349">
        <v>65.600283990000008</v>
      </c>
      <c r="E8" s="386">
        <v>66.769717290000003</v>
      </c>
      <c r="F8" s="386">
        <v>74.145997149999999</v>
      </c>
      <c r="G8" s="386">
        <v>68.284504199999986</v>
      </c>
      <c r="H8" s="386">
        <v>72.590882829999998</v>
      </c>
      <c r="I8" s="386">
        <v>67.920886709999991</v>
      </c>
      <c r="J8" s="386">
        <v>94.541061649999989</v>
      </c>
      <c r="K8" s="387">
        <v>112.25570274000005</v>
      </c>
      <c r="L8" s="35"/>
      <c r="M8" s="35"/>
    </row>
    <row r="9" spans="1:14">
      <c r="B9" s="14"/>
      <c r="C9" s="153"/>
      <c r="D9" s="230"/>
      <c r="E9" s="230"/>
      <c r="F9" s="230"/>
      <c r="G9" s="230"/>
      <c r="H9" s="230"/>
      <c r="I9" s="230"/>
      <c r="J9" s="230"/>
      <c r="K9" s="230"/>
      <c r="L9" s="35"/>
      <c r="M9" s="35"/>
    </row>
    <row r="10" spans="1:14">
      <c r="B10" s="14" t="s">
        <v>467</v>
      </c>
      <c r="C10" s="16"/>
      <c r="D10" s="231"/>
      <c r="E10" s="231"/>
      <c r="F10" s="231"/>
      <c r="G10" s="231"/>
      <c r="H10" s="231"/>
      <c r="I10" s="231"/>
      <c r="J10" s="231"/>
      <c r="K10" s="231"/>
      <c r="L10" s="35"/>
      <c r="M10" s="35"/>
    </row>
    <row r="11" spans="1:14">
      <c r="B11" s="370" t="s">
        <v>12</v>
      </c>
      <c r="C11" s="153" t="s">
        <v>128</v>
      </c>
      <c r="D11" s="378">
        <v>0</v>
      </c>
      <c r="E11" s="379">
        <v>0</v>
      </c>
      <c r="F11" s="379">
        <v>0</v>
      </c>
      <c r="G11" s="379">
        <v>0</v>
      </c>
      <c r="H11" s="379">
        <v>0</v>
      </c>
      <c r="I11" s="379">
        <v>0</v>
      </c>
      <c r="J11" s="379">
        <v>0</v>
      </c>
      <c r="K11" s="383">
        <v>0</v>
      </c>
      <c r="L11" s="35"/>
      <c r="M11" s="35"/>
    </row>
    <row r="12" spans="1:14">
      <c r="B12" s="370" t="s">
        <v>13</v>
      </c>
      <c r="C12" s="153" t="s">
        <v>128</v>
      </c>
      <c r="D12" s="348">
        <v>-0.559392</v>
      </c>
      <c r="E12" s="380">
        <v>-1.309042</v>
      </c>
      <c r="F12" s="380">
        <v>-0.55940000000000001</v>
      </c>
      <c r="G12" s="380">
        <v>-0.559392</v>
      </c>
      <c r="H12" s="380">
        <v>-1.55667672</v>
      </c>
      <c r="I12" s="380">
        <v>-2.5539614400000001</v>
      </c>
      <c r="J12" s="380">
        <v>-2.3759464399999999</v>
      </c>
      <c r="K12" s="384">
        <v>3.65917855</v>
      </c>
      <c r="L12" s="35"/>
      <c r="M12" s="35"/>
    </row>
    <row r="13" spans="1:14">
      <c r="B13" s="370" t="s">
        <v>14</v>
      </c>
      <c r="C13" s="153" t="s">
        <v>128</v>
      </c>
      <c r="D13" s="348">
        <v>0</v>
      </c>
      <c r="E13" s="380">
        <v>0</v>
      </c>
      <c r="F13" s="380">
        <v>0</v>
      </c>
      <c r="G13" s="380">
        <v>0</v>
      </c>
      <c r="H13" s="380">
        <v>0</v>
      </c>
      <c r="I13" s="380">
        <v>0</v>
      </c>
      <c r="J13" s="380">
        <v>0</v>
      </c>
      <c r="K13" s="384">
        <v>0</v>
      </c>
      <c r="L13" s="35"/>
      <c r="M13" s="35"/>
    </row>
    <row r="14" spans="1:14">
      <c r="B14" s="370" t="s">
        <v>15</v>
      </c>
      <c r="C14" s="153" t="s">
        <v>128</v>
      </c>
      <c r="D14" s="348">
        <v>0</v>
      </c>
      <c r="E14" s="380">
        <v>0</v>
      </c>
      <c r="F14" s="380">
        <v>0</v>
      </c>
      <c r="G14" s="380">
        <v>0</v>
      </c>
      <c r="H14" s="380">
        <v>0</v>
      </c>
      <c r="I14" s="380">
        <v>0</v>
      </c>
      <c r="J14" s="380">
        <v>0</v>
      </c>
      <c r="K14" s="384">
        <v>0</v>
      </c>
      <c r="L14" s="35"/>
      <c r="M14" s="35"/>
    </row>
    <row r="15" spans="1:14">
      <c r="B15" s="370" t="s">
        <v>16</v>
      </c>
      <c r="C15" s="153" t="s">
        <v>128</v>
      </c>
      <c r="D15" s="348">
        <v>0</v>
      </c>
      <c r="E15" s="380">
        <v>0</v>
      </c>
      <c r="F15" s="380">
        <v>0</v>
      </c>
      <c r="G15" s="380">
        <v>0</v>
      </c>
      <c r="H15" s="380">
        <v>0</v>
      </c>
      <c r="I15" s="380">
        <v>0</v>
      </c>
      <c r="J15" s="380">
        <v>0</v>
      </c>
      <c r="K15" s="384">
        <v>0</v>
      </c>
      <c r="L15" s="35"/>
      <c r="M15" s="35"/>
    </row>
    <row r="16" spans="1:14">
      <c r="B16" s="370" t="s">
        <v>17</v>
      </c>
      <c r="C16" s="153" t="s">
        <v>128</v>
      </c>
      <c r="D16" s="348">
        <v>-4.0189999999999984</v>
      </c>
      <c r="E16" s="380">
        <v>-0.28339233999999891</v>
      </c>
      <c r="F16" s="380">
        <v>-0.67079999999999995</v>
      </c>
      <c r="G16" s="380">
        <v>-0.60650000000000404</v>
      </c>
      <c r="H16" s="380">
        <v>0.89999999999999858</v>
      </c>
      <c r="I16" s="380">
        <v>3.7000000000000028</v>
      </c>
      <c r="J16" s="380">
        <v>2.5</v>
      </c>
      <c r="K16" s="384">
        <v>10.199999999999996</v>
      </c>
      <c r="L16" s="35"/>
    </row>
    <row r="17" spans="2:13">
      <c r="B17" s="370" t="s">
        <v>279</v>
      </c>
      <c r="C17" s="153" t="s">
        <v>128</v>
      </c>
      <c r="D17" s="348">
        <v>0.45919806578110089</v>
      </c>
      <c r="E17" s="380">
        <v>1.1817542858338728</v>
      </c>
      <c r="F17" s="380">
        <v>2.1216577754890453</v>
      </c>
      <c r="G17" s="380">
        <v>2.1189795754890453</v>
      </c>
      <c r="H17" s="380">
        <v>1.9258710754890451</v>
      </c>
      <c r="I17" s="380">
        <v>1.619498285489045</v>
      </c>
      <c r="J17" s="380">
        <v>1.4989686254890451</v>
      </c>
      <c r="K17" s="384">
        <v>1.2443844154890447</v>
      </c>
      <c r="L17" s="35"/>
    </row>
    <row r="18" spans="2:13" ht="12.75" customHeight="1">
      <c r="B18" s="370" t="s">
        <v>18</v>
      </c>
      <c r="C18" s="153" t="s">
        <v>128</v>
      </c>
      <c r="D18" s="348">
        <v>-0.4702375399999999</v>
      </c>
      <c r="E18" s="380">
        <v>-0.33253642999999999</v>
      </c>
      <c r="F18" s="380">
        <v>-0.21879999999999999</v>
      </c>
      <c r="G18" s="380">
        <v>-0.29116739000000003</v>
      </c>
      <c r="H18" s="380">
        <v>-0.36591165999999997</v>
      </c>
      <c r="I18" s="380">
        <v>-0.44239036999999998</v>
      </c>
      <c r="J18" s="380">
        <v>-0.46195205</v>
      </c>
      <c r="K18" s="384">
        <v>-0.48124999000000002</v>
      </c>
      <c r="L18" s="35"/>
    </row>
    <row r="19" spans="2:13">
      <c r="B19" s="370" t="s">
        <v>617</v>
      </c>
      <c r="C19" s="153" t="s">
        <v>128</v>
      </c>
      <c r="D19" s="348">
        <v>0.87890000000000001</v>
      </c>
      <c r="E19" s="380">
        <v>0.97222222999999997</v>
      </c>
      <c r="F19" s="380">
        <v>1.2968999999999999</v>
      </c>
      <c r="G19" s="380">
        <v>1.895</v>
      </c>
      <c r="H19" s="380">
        <v>2.9000000000000001E-2</v>
      </c>
      <c r="I19" s="380">
        <v>0.70799999999999996</v>
      </c>
      <c r="J19" s="380">
        <v>1.617</v>
      </c>
      <c r="K19" s="384">
        <v>3.4180000000000001</v>
      </c>
      <c r="L19" s="35"/>
    </row>
    <row r="20" spans="2:13">
      <c r="B20" s="370" t="s">
        <v>614</v>
      </c>
      <c r="C20" s="153" t="s">
        <v>128</v>
      </c>
      <c r="D20" s="348">
        <v>-0.35760000000000003</v>
      </c>
      <c r="E20" s="380">
        <v>-0.13338254999999999</v>
      </c>
      <c r="F20" s="380">
        <v>-0.28139999999999998</v>
      </c>
      <c r="G20" s="380">
        <v>-0.41391354999999996</v>
      </c>
      <c r="H20" s="380">
        <v>-0.33663216000000001</v>
      </c>
      <c r="I20" s="380">
        <v>-0.30351051000000001</v>
      </c>
      <c r="J20" s="380">
        <v>-0.34902435999999998</v>
      </c>
      <c r="K20" s="384">
        <v>-0.36416544000000001</v>
      </c>
      <c r="L20" s="35"/>
    </row>
    <row r="21" spans="2:13">
      <c r="B21" s="370" t="s">
        <v>618</v>
      </c>
      <c r="C21" s="153" t="s">
        <v>128</v>
      </c>
      <c r="D21" s="348">
        <v>0</v>
      </c>
      <c r="E21" s="380">
        <v>0</v>
      </c>
      <c r="F21" s="380">
        <v>0</v>
      </c>
      <c r="G21" s="380">
        <v>0.21563446999999999</v>
      </c>
      <c r="H21" s="380">
        <v>0</v>
      </c>
      <c r="I21" s="380">
        <v>0</v>
      </c>
      <c r="J21" s="380">
        <v>0</v>
      </c>
      <c r="K21" s="384">
        <v>0</v>
      </c>
      <c r="L21" s="35"/>
    </row>
    <row r="22" spans="2:13">
      <c r="B22" s="370" t="s">
        <v>616</v>
      </c>
      <c r="C22" s="153" t="s">
        <v>128</v>
      </c>
      <c r="D22" s="348">
        <v>0</v>
      </c>
      <c r="E22" s="380">
        <v>0</v>
      </c>
      <c r="F22" s="380">
        <v>0</v>
      </c>
      <c r="G22" s="380">
        <v>0</v>
      </c>
      <c r="H22" s="380">
        <v>-8.4790879999999999E-2</v>
      </c>
      <c r="I22" s="380">
        <v>-5.7554440000000005E-2</v>
      </c>
      <c r="J22" s="380">
        <v>-5.6450920000000002E-2</v>
      </c>
      <c r="K22" s="384">
        <v>-5.6349879999999998E-2</v>
      </c>
      <c r="L22" s="35"/>
    </row>
    <row r="23" spans="2:13">
      <c r="B23" s="370" t="s">
        <v>615</v>
      </c>
      <c r="C23" s="153" t="s">
        <v>128</v>
      </c>
      <c r="D23" s="348">
        <v>-2.9990040000000003E-2</v>
      </c>
      <c r="E23" s="380">
        <v>-0.20741679000000002</v>
      </c>
      <c r="F23" s="380">
        <v>-3.5900000000000001E-2</v>
      </c>
      <c r="G23" s="380">
        <v>-4.1699720000000003E-2</v>
      </c>
      <c r="H23" s="380">
        <v>-9.0614260000000016E-2</v>
      </c>
      <c r="I23" s="380">
        <v>-0.97278476999999997</v>
      </c>
      <c r="J23" s="380">
        <v>-6.5462899999999997E-3</v>
      </c>
      <c r="K23" s="384">
        <v>-0.25580994000000068</v>
      </c>
      <c r="L23" s="35"/>
    </row>
    <row r="24" spans="2:13">
      <c r="B24" s="370" t="s">
        <v>346</v>
      </c>
      <c r="C24" s="153" t="s">
        <v>128</v>
      </c>
      <c r="D24" s="348">
        <v>0</v>
      </c>
      <c r="E24" s="380">
        <v>0</v>
      </c>
      <c r="F24" s="380">
        <v>0</v>
      </c>
      <c r="G24" s="380">
        <v>0</v>
      </c>
      <c r="H24" s="380">
        <v>0</v>
      </c>
      <c r="I24" s="380">
        <v>0</v>
      </c>
      <c r="J24" s="380">
        <v>0</v>
      </c>
      <c r="K24" s="384">
        <v>0</v>
      </c>
      <c r="L24" s="35"/>
    </row>
    <row r="25" spans="2:13">
      <c r="B25" s="370" t="s">
        <v>347</v>
      </c>
      <c r="C25" s="153" t="s">
        <v>128</v>
      </c>
      <c r="D25" s="348">
        <v>0</v>
      </c>
      <c r="E25" s="380">
        <v>0</v>
      </c>
      <c r="F25" s="380">
        <v>0</v>
      </c>
      <c r="G25" s="380">
        <v>0</v>
      </c>
      <c r="H25" s="380">
        <v>0</v>
      </c>
      <c r="I25" s="380">
        <v>0</v>
      </c>
      <c r="J25" s="380">
        <v>0</v>
      </c>
      <c r="K25" s="384">
        <v>0</v>
      </c>
      <c r="L25" s="35"/>
    </row>
    <row r="26" spans="2:13">
      <c r="B26" s="370" t="s">
        <v>348</v>
      </c>
      <c r="C26" s="153" t="s">
        <v>128</v>
      </c>
      <c r="D26" s="348">
        <v>0</v>
      </c>
      <c r="E26" s="380">
        <v>0</v>
      </c>
      <c r="F26" s="380">
        <v>0</v>
      </c>
      <c r="G26" s="380">
        <v>0</v>
      </c>
      <c r="H26" s="380">
        <v>0</v>
      </c>
      <c r="I26" s="380">
        <v>0</v>
      </c>
      <c r="J26" s="380">
        <v>0</v>
      </c>
      <c r="K26" s="384">
        <v>0</v>
      </c>
      <c r="L26" s="35"/>
    </row>
    <row r="27" spans="2:13">
      <c r="B27" s="370" t="s">
        <v>349</v>
      </c>
      <c r="C27" s="153" t="s">
        <v>128</v>
      </c>
      <c r="D27" s="381">
        <v>0</v>
      </c>
      <c r="E27" s="382">
        <v>0</v>
      </c>
      <c r="F27" s="382">
        <v>0</v>
      </c>
      <c r="G27" s="382">
        <v>0</v>
      </c>
      <c r="H27" s="382">
        <v>0</v>
      </c>
      <c r="I27" s="382">
        <v>0</v>
      </c>
      <c r="J27" s="382">
        <v>0</v>
      </c>
      <c r="K27" s="385">
        <v>0</v>
      </c>
      <c r="L27" s="35"/>
    </row>
    <row r="28" spans="2:13">
      <c r="B28" s="13" t="s">
        <v>19</v>
      </c>
      <c r="C28" s="153" t="s">
        <v>128</v>
      </c>
      <c r="D28" s="143">
        <v>61.502162475781113</v>
      </c>
      <c r="E28" s="144">
        <v>66.657923695833887</v>
      </c>
      <c r="F28" s="144">
        <v>75.798254925489033</v>
      </c>
      <c r="G28" s="144">
        <v>70.601445585489017</v>
      </c>
      <c r="H28" s="144">
        <v>73.011128225489045</v>
      </c>
      <c r="I28" s="144">
        <v>69.618183465489039</v>
      </c>
      <c r="J28" s="144">
        <v>96.907110215489027</v>
      </c>
      <c r="K28" s="145">
        <v>129.61969045548909</v>
      </c>
      <c r="L28" s="35"/>
    </row>
    <row r="29" spans="2:13">
      <c r="B29" s="371" t="s">
        <v>530</v>
      </c>
      <c r="C29" s="153" t="s">
        <v>128</v>
      </c>
      <c r="D29" s="388"/>
      <c r="E29" s="389"/>
      <c r="F29" s="389"/>
      <c r="G29" s="663"/>
      <c r="H29" s="663"/>
      <c r="I29" s="663"/>
      <c r="J29" s="663"/>
      <c r="K29" s="663">
        <v>0</v>
      </c>
      <c r="L29" s="35"/>
    </row>
    <row r="30" spans="2:13">
      <c r="B30" s="347" t="s">
        <v>301</v>
      </c>
      <c r="C30" s="153" t="s">
        <v>128</v>
      </c>
      <c r="D30" s="143">
        <v>61.502162475781113</v>
      </c>
      <c r="E30" s="144">
        <v>66.657923695833887</v>
      </c>
      <c r="F30" s="144">
        <v>75.798254925489033</v>
      </c>
      <c r="G30" s="144">
        <v>70.601445585489017</v>
      </c>
      <c r="H30" s="144">
        <v>73.011128225489045</v>
      </c>
      <c r="I30" s="144">
        <v>69.618183465489039</v>
      </c>
      <c r="J30" s="144">
        <v>96.907110215489027</v>
      </c>
      <c r="K30" s="145">
        <v>129.61969045548909</v>
      </c>
      <c r="M30" t="s">
        <v>674</v>
      </c>
    </row>
    <row r="31" spans="2:13">
      <c r="B31" s="214" t="s">
        <v>21</v>
      </c>
      <c r="C31" s="153" t="s">
        <v>128</v>
      </c>
      <c r="D31" s="586">
        <v>60.599720995781112</v>
      </c>
      <c r="E31" s="586">
        <v>66.451884395833886</v>
      </c>
      <c r="F31" s="586">
        <v>75.888467595489033</v>
      </c>
      <c r="G31" s="586">
        <v>70.767225045489013</v>
      </c>
      <c r="H31" s="586">
        <v>73.028164505489045</v>
      </c>
      <c r="I31" s="586">
        <v>69.624544955489043</v>
      </c>
      <c r="J31" s="586">
        <v>96.973903605489028</v>
      </c>
      <c r="K31" s="664">
        <v>141.07708223548909</v>
      </c>
    </row>
    <row r="32" spans="2:13">
      <c r="B32" s="214" t="s">
        <v>461</v>
      </c>
      <c r="C32" s="153" t="s">
        <v>128</v>
      </c>
      <c r="D32" s="586">
        <v>0.90244147999999991</v>
      </c>
      <c r="E32" s="586">
        <v>0.20603930000000004</v>
      </c>
      <c r="F32" s="586">
        <v>-9.0212670000000009E-2</v>
      </c>
      <c r="G32" s="586">
        <v>-0.16577945999999996</v>
      </c>
      <c r="H32" s="586">
        <v>-1.7036279999999994E-2</v>
      </c>
      <c r="I32" s="586">
        <v>-6.3614900000000009E-3</v>
      </c>
      <c r="J32" s="586">
        <v>-6.6793390000000008E-2</v>
      </c>
      <c r="K32" s="590">
        <v>-11.457391779999998</v>
      </c>
    </row>
    <row r="33" spans="2:14">
      <c r="B33" s="214"/>
      <c r="D33" s="227" t="s">
        <v>679</v>
      </c>
      <c r="E33" s="228" t="s">
        <v>679</v>
      </c>
      <c r="F33" s="228" t="s">
        <v>679</v>
      </c>
      <c r="G33" s="228" t="s">
        <v>679</v>
      </c>
      <c r="H33" s="228" t="s">
        <v>679</v>
      </c>
      <c r="I33" s="228" t="s">
        <v>679</v>
      </c>
      <c r="J33" s="228" t="s">
        <v>679</v>
      </c>
      <c r="K33" s="229" t="s">
        <v>679</v>
      </c>
    </row>
    <row r="34" spans="2:14">
      <c r="D34" s="23"/>
      <c r="E34" s="23"/>
      <c r="F34" s="23"/>
      <c r="G34" s="23"/>
      <c r="H34" s="23"/>
      <c r="I34" s="23"/>
      <c r="J34" s="23"/>
      <c r="K34" s="23"/>
    </row>
    <row r="35" spans="2:14">
      <c r="B35" s="214" t="s">
        <v>524</v>
      </c>
      <c r="C35" s="153" t="s">
        <v>128</v>
      </c>
      <c r="D35" s="586">
        <v>2.6968000000000001</v>
      </c>
      <c r="E35" s="586">
        <v>7.6024000000000003</v>
      </c>
      <c r="F35" s="586">
        <v>14.759650000000001</v>
      </c>
      <c r="G35" s="586">
        <v>9.8387519999999995</v>
      </c>
      <c r="H35" s="586">
        <v>10.682191</v>
      </c>
      <c r="I35" s="586">
        <v>5.6226180000000001</v>
      </c>
      <c r="J35" s="586">
        <v>32.471327000000002</v>
      </c>
      <c r="K35" s="586">
        <v>59.880105499999999</v>
      </c>
    </row>
    <row r="36" spans="2:14">
      <c r="D36" s="23"/>
      <c r="E36" s="23"/>
      <c r="F36" s="23"/>
      <c r="G36" s="23"/>
      <c r="H36" s="23"/>
      <c r="I36" s="23"/>
      <c r="J36" s="23"/>
      <c r="K36" s="23"/>
    </row>
    <row r="37" spans="2:14">
      <c r="B37" s="214" t="s">
        <v>82</v>
      </c>
      <c r="C37" s="153" t="s">
        <v>128</v>
      </c>
      <c r="D37" s="850">
        <v>13.445452747614338</v>
      </c>
      <c r="E37" s="850">
        <v>28.951136881414033</v>
      </c>
      <c r="F37" s="850">
        <v>50.084286458613271</v>
      </c>
      <c r="G37" s="850">
        <v>41.13664083881855</v>
      </c>
      <c r="H37" s="850">
        <v>38.26465275053927</v>
      </c>
      <c r="I37" s="850">
        <v>19.54228019674543</v>
      </c>
      <c r="J37" s="850">
        <v>94.16795496309777</v>
      </c>
      <c r="K37" s="850">
        <v>227.44466447017643</v>
      </c>
      <c r="N37" s="323"/>
    </row>
    <row r="38" spans="2:14" s="31" customFormat="1">
      <c r="B38" s="213"/>
      <c r="C38" s="791"/>
      <c r="D38" s="793"/>
      <c r="E38" s="793"/>
      <c r="F38" s="793"/>
      <c r="G38" s="793"/>
      <c r="H38" s="793"/>
      <c r="I38" s="793"/>
      <c r="J38" s="793"/>
      <c r="K38" s="793"/>
      <c r="L38"/>
      <c r="M38"/>
      <c r="N38" s="792"/>
    </row>
    <row r="39" spans="2:14">
      <c r="B39" s="214" t="s">
        <v>475</v>
      </c>
      <c r="C39" s="153" t="s">
        <v>128</v>
      </c>
      <c r="D39" s="103">
        <v>48.056709728166773</v>
      </c>
      <c r="E39" s="103">
        <v>37.706786814419857</v>
      </c>
      <c r="F39" s="103">
        <v>25.713968466875762</v>
      </c>
      <c r="G39" s="103">
        <v>29.464804746670467</v>
      </c>
      <c r="H39" s="103">
        <v>34.746475474949776</v>
      </c>
      <c r="I39" s="103">
        <v>50.075903268743609</v>
      </c>
      <c r="J39" s="103">
        <v>2.7391552523912566</v>
      </c>
      <c r="K39" s="103">
        <v>-97.824974014687342</v>
      </c>
    </row>
    <row r="40" spans="2:14">
      <c r="B40" s="214"/>
      <c r="C40" s="153"/>
      <c r="D40" s="153"/>
      <c r="E40" s="153"/>
      <c r="F40" s="153"/>
      <c r="G40" s="153"/>
      <c r="H40" s="153"/>
      <c r="I40" s="153"/>
      <c r="J40" s="153"/>
      <c r="K40" s="153"/>
      <c r="L40" s="153"/>
      <c r="N40" s="323"/>
    </row>
    <row r="41" spans="2:14">
      <c r="B41" s="820" t="s">
        <v>366</v>
      </c>
      <c r="C41" s="153" t="s">
        <v>127</v>
      </c>
      <c r="D41" s="504">
        <v>1.0603167467048125</v>
      </c>
      <c r="E41" s="504">
        <v>1.0830366813119445</v>
      </c>
      <c r="F41" s="504">
        <v>1.1235639113109226</v>
      </c>
      <c r="G41" s="504">
        <v>1.1578951670583426</v>
      </c>
      <c r="H41" s="504">
        <v>1.1878696229692449</v>
      </c>
      <c r="I41" s="504">
        <v>1.2022764892203943</v>
      </c>
      <c r="J41" s="504">
        <v>1.2717196280780627</v>
      </c>
      <c r="K41" s="504">
        <v>1.4354429345049555</v>
      </c>
      <c r="L41" s="153"/>
      <c r="N41" s="323"/>
    </row>
    <row r="42" spans="2:14">
      <c r="L42" s="156"/>
      <c r="M42" s="156"/>
      <c r="N42" s="156"/>
    </row>
    <row r="43" spans="2:14">
      <c r="B43" s="802" t="s">
        <v>421</v>
      </c>
      <c r="C43" s="157" t="s">
        <v>159</v>
      </c>
      <c r="D43" s="146">
        <v>45.322975306684988</v>
      </c>
      <c r="E43" s="147">
        <v>34.815798453606817</v>
      </c>
      <c r="F43" s="147">
        <v>22.886075467548515</v>
      </c>
      <c r="G43" s="147">
        <v>25.446867371876532</v>
      </c>
      <c r="H43" s="147">
        <v>29.25108513853241</v>
      </c>
      <c r="I43" s="147">
        <v>41.650904527971676</v>
      </c>
      <c r="J43" s="147">
        <v>2.1538986989851803</v>
      </c>
      <c r="K43" s="148">
        <v>-68.149678167752768</v>
      </c>
      <c r="L43" s="670">
        <v>133.37792679745334</v>
      </c>
      <c r="M43" s="671">
        <v>133.37792679745334</v>
      </c>
    </row>
    <row r="44" spans="2:14">
      <c r="B44" s="214"/>
      <c r="C44" s="66"/>
      <c r="D44" s="776"/>
      <c r="E44" s="776"/>
      <c r="F44" s="776"/>
      <c r="G44" s="776"/>
      <c r="H44" s="776"/>
      <c r="I44" s="776"/>
      <c r="J44" s="776"/>
      <c r="K44" s="776"/>
      <c r="L44" s="797"/>
      <c r="M44" s="797"/>
    </row>
    <row r="45" spans="2:14">
      <c r="B45" s="802" t="s">
        <v>512</v>
      </c>
      <c r="C45" s="153"/>
      <c r="D45" s="776"/>
      <c r="E45" s="776"/>
      <c r="F45" s="776"/>
      <c r="G45" s="776"/>
      <c r="H45" s="776"/>
      <c r="I45" s="776"/>
      <c r="J45" s="776"/>
      <c r="K45" s="776"/>
      <c r="L45" s="797"/>
      <c r="M45" s="797"/>
    </row>
    <row r="46" spans="2:14">
      <c r="B46" s="370" t="s">
        <v>496</v>
      </c>
      <c r="C46" s="153" t="s">
        <v>128</v>
      </c>
      <c r="D46" s="849">
        <v>-0.45919806578110089</v>
      </c>
      <c r="E46" s="849">
        <v>-1.1817542858338728</v>
      </c>
      <c r="F46" s="849">
        <v>-2.1216577754890453</v>
      </c>
      <c r="G46" s="849">
        <v>-2.1189795754890453</v>
      </c>
      <c r="H46" s="849">
        <v>-1.9258710754890451</v>
      </c>
      <c r="I46" s="849">
        <v>-1.619498285489045</v>
      </c>
      <c r="J46" s="849">
        <v>-1.4989686254890451</v>
      </c>
      <c r="K46" s="849">
        <v>-1.2443844154890447</v>
      </c>
      <c r="L46" s="670">
        <v>-12.170312104549243</v>
      </c>
      <c r="M46" s="670">
        <v>-12.170312104549243</v>
      </c>
    </row>
    <row r="47" spans="2:14">
      <c r="B47" s="370" t="s">
        <v>533</v>
      </c>
      <c r="C47" s="153" t="s">
        <v>128</v>
      </c>
      <c r="D47" s="388"/>
      <c r="E47" s="389"/>
      <c r="F47" s="389"/>
      <c r="G47" s="663"/>
      <c r="H47" s="663"/>
      <c r="I47" s="663"/>
      <c r="J47" s="663"/>
      <c r="K47" s="663">
        <v>0</v>
      </c>
      <c r="L47" s="670">
        <v>0</v>
      </c>
      <c r="M47" s="670">
        <v>0</v>
      </c>
    </row>
    <row r="48" spans="2:14">
      <c r="B48" s="370" t="s">
        <v>515</v>
      </c>
      <c r="C48" s="153" t="s">
        <v>128</v>
      </c>
      <c r="D48" s="849">
        <v>0</v>
      </c>
      <c r="E48" s="849">
        <v>0</v>
      </c>
      <c r="F48" s="849">
        <v>0</v>
      </c>
      <c r="G48" s="849">
        <v>0</v>
      </c>
      <c r="H48" s="849">
        <v>0</v>
      </c>
      <c r="I48" s="849">
        <v>0</v>
      </c>
      <c r="J48" s="849">
        <v>0</v>
      </c>
      <c r="K48" s="849">
        <v>0</v>
      </c>
      <c r="L48" s="670">
        <v>0</v>
      </c>
      <c r="M48" s="670">
        <v>0</v>
      </c>
    </row>
    <row r="49" spans="1:14">
      <c r="B49" s="370" t="s">
        <v>516</v>
      </c>
      <c r="C49" s="153" t="s">
        <v>128</v>
      </c>
      <c r="D49" s="849">
        <v>0</v>
      </c>
      <c r="E49" s="849">
        <v>0</v>
      </c>
      <c r="F49" s="849">
        <v>0</v>
      </c>
      <c r="G49" s="849">
        <v>0</v>
      </c>
      <c r="H49" s="849">
        <v>0</v>
      </c>
      <c r="I49" s="849">
        <v>0</v>
      </c>
      <c r="J49" s="849">
        <v>0</v>
      </c>
      <c r="K49" s="849">
        <v>0</v>
      </c>
      <c r="L49" s="670">
        <v>0</v>
      </c>
      <c r="M49" s="670">
        <v>0</v>
      </c>
    </row>
    <row r="50" spans="1:14">
      <c r="B50" s="370" t="s">
        <v>497</v>
      </c>
      <c r="C50" s="153" t="s">
        <v>128</v>
      </c>
      <c r="D50" s="849">
        <v>0</v>
      </c>
      <c r="E50" s="849">
        <v>0</v>
      </c>
      <c r="F50" s="849">
        <v>0</v>
      </c>
      <c r="G50" s="849">
        <v>0</v>
      </c>
      <c r="H50" s="849">
        <v>0</v>
      </c>
      <c r="I50" s="849">
        <v>0</v>
      </c>
      <c r="J50" s="849">
        <v>0</v>
      </c>
      <c r="K50" s="849">
        <v>0</v>
      </c>
      <c r="L50" s="670">
        <v>0</v>
      </c>
      <c r="M50" s="670">
        <v>0</v>
      </c>
    </row>
    <row r="51" spans="1:14">
      <c r="B51" s="370" t="s">
        <v>497</v>
      </c>
      <c r="C51" s="153" t="s">
        <v>128</v>
      </c>
      <c r="D51" s="849">
        <v>0</v>
      </c>
      <c r="E51" s="849">
        <v>0</v>
      </c>
      <c r="F51" s="849">
        <v>0</v>
      </c>
      <c r="G51" s="849">
        <v>0</v>
      </c>
      <c r="H51" s="849">
        <v>0</v>
      </c>
      <c r="I51" s="849">
        <v>0</v>
      </c>
      <c r="J51" s="849">
        <v>0</v>
      </c>
      <c r="K51" s="849">
        <v>0</v>
      </c>
      <c r="L51" s="670">
        <v>0</v>
      </c>
      <c r="M51" s="670">
        <v>0</v>
      </c>
    </row>
    <row r="52" spans="1:14">
      <c r="B52" s="370" t="s">
        <v>497</v>
      </c>
      <c r="C52" s="153" t="s">
        <v>128</v>
      </c>
      <c r="D52" s="849">
        <v>0</v>
      </c>
      <c r="E52" s="849">
        <v>0</v>
      </c>
      <c r="F52" s="849">
        <v>0</v>
      </c>
      <c r="G52" s="849">
        <v>0</v>
      </c>
      <c r="H52" s="849">
        <v>0</v>
      </c>
      <c r="I52" s="849">
        <v>0</v>
      </c>
      <c r="J52" s="849">
        <v>0</v>
      </c>
      <c r="K52" s="849">
        <v>0</v>
      </c>
      <c r="L52" s="670">
        <v>0</v>
      </c>
      <c r="M52" s="670">
        <v>0</v>
      </c>
    </row>
    <row r="53" spans="1:14">
      <c r="B53" s="370" t="s">
        <v>497</v>
      </c>
      <c r="C53" s="153" t="s">
        <v>128</v>
      </c>
      <c r="D53" s="849">
        <v>0</v>
      </c>
      <c r="E53" s="849">
        <v>0</v>
      </c>
      <c r="F53" s="849">
        <v>0</v>
      </c>
      <c r="G53" s="849">
        <v>0</v>
      </c>
      <c r="H53" s="849">
        <v>0</v>
      </c>
      <c r="I53" s="849">
        <v>0</v>
      </c>
      <c r="J53" s="849">
        <v>0</v>
      </c>
      <c r="K53" s="849">
        <v>0</v>
      </c>
      <c r="L53" s="670">
        <v>0</v>
      </c>
      <c r="M53" s="670">
        <v>0</v>
      </c>
    </row>
    <row r="54" spans="1:14" s="832" customFormat="1">
      <c r="B54" s="831"/>
      <c r="C54" s="833"/>
      <c r="D54" s="834"/>
      <c r="E54" s="834"/>
      <c r="F54" s="834"/>
      <c r="G54" s="834"/>
      <c r="H54" s="834"/>
      <c r="I54" s="834"/>
      <c r="J54" s="834"/>
      <c r="K54" s="834"/>
      <c r="L54" s="835"/>
      <c r="M54" s="835"/>
    </row>
    <row r="55" spans="1:14">
      <c r="B55" s="826" t="s">
        <v>513</v>
      </c>
      <c r="C55" s="236" t="s">
        <v>128</v>
      </c>
      <c r="D55" s="146">
        <v>-0.45919806578110089</v>
      </c>
      <c r="E55" s="146">
        <v>-1.1817542858338728</v>
      </c>
      <c r="F55" s="146">
        <v>-2.1216577754890453</v>
      </c>
      <c r="G55" s="146">
        <v>-2.1189795754890453</v>
      </c>
      <c r="H55" s="146">
        <v>-1.9258710754890451</v>
      </c>
      <c r="I55" s="146">
        <v>-1.619498285489045</v>
      </c>
      <c r="J55" s="146">
        <v>-1.4989686254890451</v>
      </c>
      <c r="K55" s="146">
        <v>-1.2443844154890447</v>
      </c>
      <c r="L55" s="670">
        <v>-12.170312104549243</v>
      </c>
      <c r="M55" s="671">
        <v>-12.170312104549243</v>
      </c>
    </row>
    <row r="56" spans="1:14">
      <c r="B56" s="826" t="s">
        <v>513</v>
      </c>
      <c r="C56" s="157" t="s">
        <v>159</v>
      </c>
      <c r="D56" s="146">
        <v>-0.4330763115910114</v>
      </c>
      <c r="E56" s="146">
        <v>-1.091148902179699</v>
      </c>
      <c r="F56" s="146">
        <v>-1.8883285179688558</v>
      </c>
      <c r="G56" s="146">
        <v>-1.8300271352477946</v>
      </c>
      <c r="H56" s="146">
        <v>-1.6212815263977061</v>
      </c>
      <c r="I56" s="146">
        <v>-1.3470264951610211</v>
      </c>
      <c r="J56" s="146">
        <v>-1.1786942596415073</v>
      </c>
      <c r="K56" s="146">
        <v>-0.86689925846351967</v>
      </c>
      <c r="L56" s="670">
        <v>-10.256482406651113</v>
      </c>
      <c r="M56" s="671">
        <v>-10.256482406651113</v>
      </c>
    </row>
    <row r="57" spans="1:14">
      <c r="B57" s="214"/>
      <c r="C57" s="66"/>
      <c r="D57" s="776"/>
      <c r="E57" s="776"/>
      <c r="F57" s="776"/>
      <c r="G57" s="776"/>
      <c r="H57" s="776"/>
      <c r="I57" s="776"/>
      <c r="J57" s="776"/>
      <c r="K57" s="776"/>
      <c r="L57" s="797"/>
      <c r="M57" s="797"/>
    </row>
    <row r="58" spans="1:14" s="2" customFormat="1">
      <c r="A58" s="1"/>
    </row>
    <row r="59" spans="1:14" s="2" customFormat="1">
      <c r="A59" s="1"/>
      <c r="B59" s="798" t="s">
        <v>431</v>
      </c>
      <c r="C59" s="81"/>
      <c r="D59" s="81"/>
      <c r="E59" s="81"/>
      <c r="F59" s="81"/>
      <c r="G59" s="81"/>
      <c r="H59" s="81"/>
      <c r="I59" s="81"/>
      <c r="J59" s="81"/>
      <c r="K59" s="81"/>
      <c r="L59" s="81"/>
      <c r="M59" s="81"/>
      <c r="N59" s="81"/>
    </row>
    <row r="60" spans="1:14" s="2" customFormat="1">
      <c r="A60" s="1"/>
      <c r="B60" s="369" t="s">
        <v>432</v>
      </c>
    </row>
    <row r="61" spans="1:14" s="2" customFormat="1">
      <c r="A61" s="1"/>
    </row>
    <row r="62" spans="1:14" s="31" customFormat="1">
      <c r="B62" s="214" t="s">
        <v>115</v>
      </c>
      <c r="C62" s="156" t="s">
        <v>7</v>
      </c>
      <c r="D62" s="858">
        <v>0.65</v>
      </c>
      <c r="E62" s="859">
        <v>0.65</v>
      </c>
      <c r="F62" s="859">
        <v>0.65</v>
      </c>
      <c r="G62" s="859">
        <v>0.65</v>
      </c>
      <c r="H62" s="859">
        <v>0.65</v>
      </c>
      <c r="I62" s="859">
        <v>0.65</v>
      </c>
      <c r="J62" s="859">
        <v>0.65</v>
      </c>
      <c r="K62" s="860">
        <v>0.65</v>
      </c>
      <c r="N62" s="792"/>
    </row>
    <row r="63" spans="1:14" s="31" customFormat="1">
      <c r="B63" s="214" t="s">
        <v>394</v>
      </c>
      <c r="C63" s="156" t="s">
        <v>7</v>
      </c>
      <c r="D63" s="859">
        <v>0.63218559796835527</v>
      </c>
      <c r="E63" s="859">
        <v>0.63951424240615751</v>
      </c>
      <c r="F63" s="859">
        <v>0.63348630041018072</v>
      </c>
      <c r="G63" s="859">
        <v>0.60784568250141258</v>
      </c>
      <c r="H63" s="859">
        <v>0.59332180833713033</v>
      </c>
      <c r="I63" s="859">
        <v>0.59867784597562201</v>
      </c>
      <c r="J63" s="859">
        <v>0.56425512629421504</v>
      </c>
      <c r="K63" s="860">
        <v>0.52242668502490808</v>
      </c>
      <c r="N63" s="792"/>
    </row>
    <row r="64" spans="1:14" s="31" customFormat="1">
      <c r="B64" s="214"/>
      <c r="C64" s="156"/>
      <c r="D64" s="156"/>
      <c r="E64" s="156"/>
      <c r="F64" s="156"/>
      <c r="G64" s="156"/>
      <c r="H64" s="156"/>
      <c r="I64" s="156"/>
      <c r="J64" s="156"/>
      <c r="K64" s="156"/>
      <c r="N64" s="792"/>
    </row>
    <row r="65" spans="2:24">
      <c r="B65" s="214" t="s">
        <v>421</v>
      </c>
      <c r="C65" s="153" t="s">
        <v>128</v>
      </c>
      <c r="D65" s="96">
        <v>48.056709728166773</v>
      </c>
      <c r="E65" s="97">
        <v>37.706786814419857</v>
      </c>
      <c r="F65" s="97">
        <v>25.713968466875762</v>
      </c>
      <c r="G65" s="97">
        <v>29.464804746670467</v>
      </c>
      <c r="H65" s="97">
        <v>34.746475474949776</v>
      </c>
      <c r="I65" s="97">
        <v>50.075903268743609</v>
      </c>
      <c r="J65" s="97">
        <v>2.7391552523912566</v>
      </c>
      <c r="K65" s="98">
        <v>-97.824974014687342</v>
      </c>
      <c r="L65" s="31"/>
      <c r="M65" s="31"/>
    </row>
    <row r="66" spans="2:24" s="31" customFormat="1">
      <c r="B66" s="214" t="s">
        <v>439</v>
      </c>
      <c r="C66" s="153" t="s">
        <v>128</v>
      </c>
      <c r="D66" s="96">
        <v>1.3541933732227625</v>
      </c>
      <c r="E66" s="96">
        <v>0.61825710822495494</v>
      </c>
      <c r="F66" s="96">
        <v>0.67031086583738908</v>
      </c>
      <c r="G66" s="96">
        <v>2.0433948452404231</v>
      </c>
      <c r="H66" s="96">
        <v>3.3192230066476736</v>
      </c>
      <c r="I66" s="96">
        <v>4.2927982682909622</v>
      </c>
      <c r="J66" s="96">
        <v>0.41624525898300879</v>
      </c>
      <c r="K66" s="96">
        <v>-23.888244188389578</v>
      </c>
      <c r="N66" s="792"/>
    </row>
    <row r="67" spans="2:24">
      <c r="B67" s="214" t="s">
        <v>438</v>
      </c>
      <c r="C67" s="153" t="s">
        <v>128</v>
      </c>
      <c r="D67" s="103">
        <v>49.410903101389536</v>
      </c>
      <c r="E67" s="104">
        <v>38.325043922644809</v>
      </c>
      <c r="F67" s="104">
        <v>26.384279332713152</v>
      </c>
      <c r="G67" s="104">
        <v>31.508199591910891</v>
      </c>
      <c r="H67" s="104">
        <v>38.065698481597451</v>
      </c>
      <c r="I67" s="104">
        <v>54.368701537034568</v>
      </c>
      <c r="J67" s="104">
        <v>3.1554005113742654</v>
      </c>
      <c r="K67" s="105">
        <v>-121.71321820307692</v>
      </c>
      <c r="L67" s="31"/>
      <c r="M67" s="31"/>
    </row>
    <row r="68" spans="2:24">
      <c r="B68" s="214"/>
      <c r="C68" s="153"/>
      <c r="D68" s="153"/>
      <c r="E68" s="153"/>
      <c r="F68" s="153"/>
      <c r="G68" s="153"/>
      <c r="H68" s="153"/>
      <c r="I68" s="153"/>
      <c r="J68" s="153"/>
      <c r="K68" s="153"/>
      <c r="L68" s="153"/>
      <c r="M68" s="153"/>
      <c r="N68" s="153"/>
      <c r="O68" s="153"/>
    </row>
    <row r="69" spans="2:24">
      <c r="B69" s="802" t="s">
        <v>438</v>
      </c>
      <c r="C69" s="157" t="s">
        <v>159</v>
      </c>
      <c r="D69" s="146">
        <v>46.600134587089869</v>
      </c>
      <c r="E69" s="147">
        <v>35.386653641517924</v>
      </c>
      <c r="F69" s="147">
        <v>23.482668913715102</v>
      </c>
      <c r="G69" s="147">
        <v>27.211616809799928</v>
      </c>
      <c r="H69" s="147">
        <v>32.045350554926188</v>
      </c>
      <c r="I69" s="147">
        <v>45.221462803692916</v>
      </c>
      <c r="J69" s="147">
        <v>2.4812076826580012</v>
      </c>
      <c r="K69" s="148">
        <v>-84.791401509146326</v>
      </c>
      <c r="L69" s="670">
        <v>127.6376934842536</v>
      </c>
      <c r="M69" s="671">
        <v>127.6376934842536</v>
      </c>
    </row>
    <row r="70" spans="2:24">
      <c r="B70" s="372" t="s">
        <v>514</v>
      </c>
      <c r="C70" s="160" t="s">
        <v>159</v>
      </c>
      <c r="D70" s="96">
        <v>-0.445279999162917</v>
      </c>
      <c r="E70" s="96">
        <v>-1.1090398608610808</v>
      </c>
      <c r="F70" s="96">
        <v>-1.9375534023151082</v>
      </c>
      <c r="G70" s="96">
        <v>-1.9569401776713322</v>
      </c>
      <c r="H70" s="96">
        <v>-1.7761575208435831</v>
      </c>
      <c r="I70" s="96">
        <v>-1.4625014567355756</v>
      </c>
      <c r="J70" s="96">
        <v>-1.3578100278835423</v>
      </c>
      <c r="K70" s="96">
        <v>-1.0785906121438307</v>
      </c>
      <c r="L70" s="666">
        <v>-11.123873057616969</v>
      </c>
      <c r="M70" s="667">
        <v>-11.123873057616969</v>
      </c>
      <c r="N70" s="156"/>
    </row>
    <row r="72" spans="2:24">
      <c r="B72" s="794" t="s">
        <v>314</v>
      </c>
      <c r="C72" s="795"/>
      <c r="D72" s="795"/>
      <c r="E72" s="795"/>
      <c r="F72" s="795"/>
      <c r="G72" s="795"/>
      <c r="H72" s="795"/>
      <c r="I72" s="795"/>
      <c r="J72" s="795"/>
      <c r="K72" s="795"/>
      <c r="L72" s="795"/>
      <c r="M72" s="795"/>
      <c r="N72" s="795"/>
      <c r="O72" s="156"/>
    </row>
    <row r="73" spans="2:24" s="31" customFormat="1">
      <c r="B73" s="796"/>
      <c r="C73" s="66"/>
      <c r="D73" s="66"/>
      <c r="E73" s="66"/>
      <c r="F73" s="66"/>
      <c r="G73" s="66"/>
      <c r="H73" s="66"/>
      <c r="I73" s="66"/>
      <c r="J73" s="66"/>
      <c r="K73" s="66"/>
      <c r="L73" s="66"/>
      <c r="M73" s="66"/>
      <c r="N73" s="66"/>
      <c r="O73" s="66"/>
    </row>
    <row r="74" spans="2:24">
      <c r="B74" s="369" t="s">
        <v>468</v>
      </c>
      <c r="C74" s="368"/>
      <c r="D74" s="368"/>
      <c r="E74" s="368"/>
      <c r="F74" s="368"/>
      <c r="G74" s="368"/>
      <c r="H74" s="368"/>
      <c r="I74" s="368"/>
      <c r="J74" s="368"/>
      <c r="K74" s="368"/>
      <c r="L74" s="368"/>
      <c r="M74" s="368"/>
      <c r="N74" s="368"/>
      <c r="O74" s="156"/>
      <c r="P74" s="31"/>
      <c r="Q74" s="31"/>
      <c r="R74" s="31"/>
      <c r="S74" s="31"/>
      <c r="T74" s="31"/>
      <c r="U74" s="31"/>
      <c r="V74" s="31"/>
      <c r="W74" s="31"/>
      <c r="X74" s="31"/>
    </row>
    <row r="75" spans="2:24">
      <c r="B75" s="369" t="s">
        <v>342</v>
      </c>
      <c r="C75" s="368"/>
      <c r="D75" s="368"/>
      <c r="E75" s="368"/>
      <c r="F75" s="368"/>
      <c r="G75" s="368"/>
      <c r="H75" s="368"/>
      <c r="I75" s="368"/>
      <c r="J75" s="368"/>
      <c r="K75" s="368"/>
      <c r="L75" s="368"/>
      <c r="M75" s="368"/>
      <c r="N75" s="368"/>
      <c r="O75" s="156"/>
      <c r="P75" s="31"/>
      <c r="Q75" s="31"/>
      <c r="R75" s="31"/>
      <c r="S75" s="31"/>
      <c r="T75" s="31"/>
      <c r="U75" s="31"/>
      <c r="V75" s="31"/>
      <c r="W75" s="31"/>
      <c r="X75" s="31"/>
    </row>
    <row r="76" spans="2:24">
      <c r="B76" s="369" t="s">
        <v>343</v>
      </c>
      <c r="C76" s="368"/>
      <c r="D76" s="368"/>
      <c r="E76" s="368"/>
      <c r="F76" s="368"/>
      <c r="G76" s="368"/>
      <c r="H76" s="368"/>
      <c r="I76" s="368"/>
      <c r="J76" s="368"/>
      <c r="K76" s="368"/>
      <c r="L76" s="368"/>
      <c r="M76" s="368"/>
      <c r="N76" s="368"/>
      <c r="O76" s="156"/>
      <c r="P76" s="31"/>
      <c r="Q76" s="31"/>
      <c r="R76" s="31"/>
      <c r="S76" s="31"/>
      <c r="T76" s="31"/>
      <c r="U76" s="31"/>
      <c r="V76" s="31"/>
      <c r="W76" s="31"/>
      <c r="X76" s="31"/>
    </row>
    <row r="77" spans="2:24">
      <c r="B77" s="369" t="s">
        <v>520</v>
      </c>
      <c r="C77" s="368"/>
      <c r="D77" s="368"/>
      <c r="E77" s="368"/>
      <c r="F77" s="368"/>
      <c r="G77" s="368"/>
      <c r="H77" s="368"/>
      <c r="I77" s="368"/>
      <c r="J77" s="368"/>
      <c r="K77" s="368"/>
      <c r="L77" s="368"/>
      <c r="M77" s="368"/>
      <c r="N77" s="368"/>
      <c r="O77" s="156"/>
      <c r="P77" s="31"/>
      <c r="Q77" s="31"/>
      <c r="R77" s="31"/>
      <c r="S77" s="31"/>
      <c r="T77" s="31"/>
      <c r="U77" s="31"/>
      <c r="V77" s="31"/>
      <c r="W77" s="31"/>
      <c r="X77" s="31"/>
    </row>
    <row r="78" spans="2:24" s="31" customFormat="1">
      <c r="B78" s="373"/>
      <c r="C78" s="373"/>
      <c r="D78" s="373"/>
      <c r="E78" s="373"/>
      <c r="F78" s="373"/>
      <c r="G78" s="373"/>
      <c r="H78" s="373"/>
      <c r="I78" s="373"/>
      <c r="J78" s="373"/>
      <c r="K78" s="373"/>
      <c r="L78" s="373"/>
      <c r="M78" s="373"/>
      <c r="N78" s="373"/>
      <c r="O78" s="66"/>
    </row>
    <row r="79" spans="2:24">
      <c r="B79" s="372" t="s">
        <v>233</v>
      </c>
      <c r="C79" s="156" t="s">
        <v>159</v>
      </c>
      <c r="D79" s="596">
        <v>31.870449751381937</v>
      </c>
      <c r="E79" s="596">
        <v>30.648554640265367</v>
      </c>
      <c r="F79" s="596">
        <v>29.161539453847549</v>
      </c>
      <c r="G79" s="596">
        <v>25.382002354120708</v>
      </c>
      <c r="H79" s="596">
        <v>21.225761367970176</v>
      </c>
      <c r="I79" s="596">
        <v>14.834317728993749</v>
      </c>
      <c r="J79" s="867">
        <v>10.548017129760938</v>
      </c>
      <c r="K79" s="870">
        <v>5.5518272579331143</v>
      </c>
      <c r="L79" s="868"/>
      <c r="M79" s="868"/>
      <c r="O79" s="66"/>
      <c r="P79" s="31"/>
      <c r="Q79" s="31"/>
      <c r="R79" s="31"/>
      <c r="S79" s="31"/>
      <c r="T79" s="31"/>
      <c r="U79" s="31"/>
      <c r="V79" s="31"/>
      <c r="W79" s="31"/>
      <c r="X79" s="31"/>
    </row>
    <row r="80" spans="2:24">
      <c r="B80" s="372" t="s">
        <v>313</v>
      </c>
      <c r="C80" s="156" t="s">
        <v>159</v>
      </c>
      <c r="D80" s="668">
        <v>31.870449751381894</v>
      </c>
      <c r="E80" s="669">
        <v>30.648554640265392</v>
      </c>
      <c r="F80" s="669">
        <v>29.109277864318287</v>
      </c>
      <c r="G80" s="669">
        <v>25.284340350680804</v>
      </c>
      <c r="H80" s="669">
        <v>21.151048733860698</v>
      </c>
      <c r="I80" s="669">
        <v>14.796583616628899</v>
      </c>
      <c r="J80" s="669">
        <v>10.530060440031569</v>
      </c>
      <c r="K80" s="869">
        <v>5.5446049842946685</v>
      </c>
      <c r="L80" s="871">
        <v>168.93492038146223</v>
      </c>
      <c r="M80" s="871">
        <v>168.93492038146223</v>
      </c>
      <c r="O80" s="66"/>
      <c r="P80" s="31"/>
      <c r="Q80" s="31"/>
      <c r="R80" s="31"/>
      <c r="S80" s="31"/>
      <c r="T80" s="31"/>
      <c r="U80" s="31"/>
      <c r="V80" s="31"/>
      <c r="W80" s="31"/>
      <c r="X80" s="31"/>
    </row>
    <row r="81" spans="2:24" s="31" customFormat="1">
      <c r="B81" s="799"/>
      <c r="C81" s="66"/>
      <c r="D81" s="800"/>
      <c r="E81" s="800"/>
      <c r="F81" s="800"/>
      <c r="G81" s="800"/>
      <c r="H81" s="800"/>
      <c r="I81" s="800"/>
      <c r="J81" s="800"/>
      <c r="K81" s="800"/>
      <c r="L81" s="797"/>
      <c r="M81" s="797"/>
      <c r="O81" s="66"/>
    </row>
    <row r="82" spans="2:24" s="31" customFormat="1">
      <c r="B82" s="799"/>
      <c r="C82" s="66"/>
      <c r="D82" s="800"/>
      <c r="E82" s="801"/>
      <c r="F82" s="801"/>
      <c r="G82" s="801"/>
      <c r="H82" s="801"/>
      <c r="I82" s="801"/>
      <c r="J82" s="801"/>
      <c r="K82" s="801"/>
      <c r="L82" s="797"/>
      <c r="M82" s="797"/>
      <c r="O82" s="66"/>
    </row>
    <row r="83" spans="2:24">
      <c r="B83" s="803" t="s">
        <v>422</v>
      </c>
      <c r="C83" s="795"/>
      <c r="D83" s="795"/>
      <c r="E83" s="795"/>
      <c r="F83" s="795"/>
      <c r="G83" s="795"/>
      <c r="H83" s="795"/>
      <c r="I83" s="795"/>
      <c r="J83" s="795"/>
      <c r="K83" s="795"/>
      <c r="L83" s="795"/>
      <c r="M83" s="795"/>
      <c r="N83" s="795"/>
      <c r="P83" s="31"/>
      <c r="Q83" s="31"/>
      <c r="R83" s="31"/>
      <c r="S83" s="31"/>
      <c r="T83" s="31"/>
      <c r="U83" s="31"/>
      <c r="V83" s="31"/>
      <c r="W83" s="31"/>
      <c r="X83" s="31"/>
    </row>
    <row r="84" spans="2:24">
      <c r="B84" s="372"/>
      <c r="C84" s="156"/>
      <c r="D84" s="156"/>
      <c r="E84" s="156"/>
      <c r="F84" s="156"/>
      <c r="G84" s="156"/>
      <c r="H84" s="156"/>
      <c r="I84" s="156"/>
      <c r="J84" s="156"/>
      <c r="K84" s="156"/>
      <c r="L84" s="156"/>
      <c r="M84" s="156"/>
      <c r="N84" s="156"/>
      <c r="P84" s="31"/>
      <c r="Q84" s="31"/>
      <c r="R84" s="31"/>
      <c r="S84" s="31"/>
      <c r="T84" s="31"/>
      <c r="U84" s="31"/>
      <c r="V84" s="31"/>
      <c r="W84" s="31"/>
      <c r="X84" s="31"/>
    </row>
    <row r="85" spans="2:24">
      <c r="B85" s="821" t="s">
        <v>476</v>
      </c>
      <c r="C85" s="156"/>
      <c r="D85" s="156"/>
      <c r="E85" s="156"/>
      <c r="F85" s="156"/>
      <c r="G85" s="156"/>
      <c r="H85" s="156"/>
      <c r="I85" s="156"/>
      <c r="J85" s="156"/>
      <c r="K85" s="156"/>
      <c r="L85" s="156"/>
      <c r="M85" s="156"/>
      <c r="N85" s="156"/>
    </row>
    <row r="86" spans="2:24">
      <c r="B86" s="214" t="s">
        <v>477</v>
      </c>
      <c r="C86" s="156" t="s">
        <v>159</v>
      </c>
      <c r="D86" s="146">
        <v>-13.019449243712083</v>
      </c>
      <c r="E86" s="146">
        <v>-3.0760949111617264</v>
      </c>
      <c r="F86" s="146">
        <v>8.1115309147386263</v>
      </c>
      <c r="G86" s="146">
        <v>1.667500114052066</v>
      </c>
      <c r="H86" s="146">
        <v>-6.4787548782740068</v>
      </c>
      <c r="I86" s="146">
        <v>-25.507294416181754</v>
      </c>
      <c r="J86" s="146">
        <v>9.5548560006878951</v>
      </c>
      <c r="K86" s="146">
        <v>74.561182410510952</v>
      </c>
      <c r="L86" s="670">
        <v>45.813475990659967</v>
      </c>
      <c r="M86" s="671">
        <v>45.813475990659967</v>
      </c>
    </row>
    <row r="87" spans="2:24">
      <c r="B87" s="214"/>
    </row>
    <row r="88" spans="2:24">
      <c r="B88" s="214" t="s">
        <v>478</v>
      </c>
      <c r="C88" s="156" t="s">
        <v>159</v>
      </c>
      <c r="D88" s="146">
        <v>-14.284404836545058</v>
      </c>
      <c r="E88" s="146">
        <v>-3.6290591403914516</v>
      </c>
      <c r="F88" s="146">
        <v>7.5641623529182933</v>
      </c>
      <c r="G88" s="146">
        <v>2.9663718552208174E-2</v>
      </c>
      <c r="H88" s="146">
        <v>-9.1181443002219069</v>
      </c>
      <c r="I88" s="146">
        <v>-28.962377730328438</v>
      </c>
      <c r="J88" s="146">
        <v>9.4066627852571116</v>
      </c>
      <c r="K88" s="146">
        <v>91.414597105584818</v>
      </c>
      <c r="L88" s="670">
        <v>52.421099954825578</v>
      </c>
      <c r="M88" s="671">
        <v>52.421099954825578</v>
      </c>
    </row>
    <row r="89" spans="2:24">
      <c r="B89" s="214"/>
    </row>
    <row r="90" spans="2:24">
      <c r="B90" s="214" t="s">
        <v>479</v>
      </c>
      <c r="C90" s="156" t="s">
        <v>159</v>
      </c>
      <c r="D90" s="146">
        <v>1.2649555928329743</v>
      </c>
      <c r="E90" s="146">
        <v>0.55296422922972521</v>
      </c>
      <c r="F90" s="146">
        <v>0.547368561820333</v>
      </c>
      <c r="G90" s="146">
        <v>1.6378363954998578</v>
      </c>
      <c r="H90" s="146">
        <v>2.6393894219479002</v>
      </c>
      <c r="I90" s="146">
        <v>3.4550833141466839</v>
      </c>
      <c r="J90" s="146">
        <v>0.14819321543078345</v>
      </c>
      <c r="K90" s="146">
        <v>-16.853414695073866</v>
      </c>
      <c r="L90" s="670">
        <v>-6.607623964165608</v>
      </c>
      <c r="M90" s="671">
        <v>-6.607623964165608</v>
      </c>
    </row>
    <row r="91" spans="2:24">
      <c r="B91" s="201"/>
    </row>
  </sheetData>
  <conditionalFormatting sqref="D6:K6">
    <cfRule type="expression" dxfId="67" priority="26">
      <formula>AND(D$5="Actuals",E$5="Forecast")</formula>
    </cfRule>
  </conditionalFormatting>
  <conditionalFormatting sqref="D5:K5">
    <cfRule type="expression" dxfId="66" priority="19">
      <formula>AND(D$5="Actuals",E$5="Forecast")</formula>
    </cfRule>
  </conditionalFormatting>
  <conditionalFormatting sqref="D29:G29 I29">
    <cfRule type="expression" dxfId="65" priority="17">
      <formula>D$5="Forecast"</formula>
    </cfRule>
    <cfRule type="expression" dxfId="64" priority="18">
      <formula>D$5="Actuals"</formula>
    </cfRule>
  </conditionalFormatting>
  <conditionalFormatting sqref="D47:G47">
    <cfRule type="expression" dxfId="63" priority="11">
      <formula>D$5="Forecast"</formula>
    </cfRule>
    <cfRule type="expression" dxfId="62" priority="12">
      <formula>D$5="Actuals"</formula>
    </cfRule>
  </conditionalFormatting>
  <conditionalFormatting sqref="I47">
    <cfRule type="expression" dxfId="61" priority="9">
      <formula>I$5="Forecast"</formula>
    </cfRule>
    <cfRule type="expression" dxfId="60" priority="10">
      <formula>I$5="Actuals"</formula>
    </cfRule>
  </conditionalFormatting>
  <conditionalFormatting sqref="H47">
    <cfRule type="expression" dxfId="59" priority="7">
      <formula>H$5="Forecast"</formula>
    </cfRule>
    <cfRule type="expression" dxfId="58" priority="8">
      <formula>H$5="Actuals"</formula>
    </cfRule>
  </conditionalFormatting>
  <conditionalFormatting sqref="H29">
    <cfRule type="expression" dxfId="57" priority="5">
      <formula>H$5="Forecast"</formula>
    </cfRule>
    <cfRule type="expression" dxfId="56" priority="6">
      <formula>H$5="Actuals"</formula>
    </cfRule>
  </conditionalFormatting>
  <conditionalFormatting sqref="J29:K29">
    <cfRule type="expression" dxfId="55" priority="3">
      <formula>J$5="Forecast"</formula>
    </cfRule>
    <cfRule type="expression" dxfId="54" priority="4">
      <formula>J$5="Actuals"</formula>
    </cfRule>
  </conditionalFormatting>
  <conditionalFormatting sqref="J47:K47">
    <cfRule type="expression" dxfId="53" priority="1">
      <formula>J$5="Forecast"</formula>
    </cfRule>
    <cfRule type="expression" dxfId="52"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6"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60" zoomScaleNormal="60" workbookViewId="0">
      <pane ySplit="6" topLeftCell="A28" activePane="bottomLeft" state="frozen"/>
      <selection activeCell="D26" sqref="D26"/>
      <selection pane="bottomLeft" activeCell="G14" sqref="G14"/>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877" t="s">
        <v>237</v>
      </c>
      <c r="B1" s="887"/>
      <c r="C1" s="257"/>
      <c r="D1" s="257"/>
      <c r="E1" s="257"/>
      <c r="F1" s="257"/>
      <c r="G1" s="257"/>
      <c r="H1" s="257"/>
      <c r="I1" s="258"/>
      <c r="J1" s="258"/>
      <c r="K1" s="259"/>
      <c r="L1" s="364"/>
    </row>
    <row r="2" spans="1:12" s="31" customFormat="1" ht="21">
      <c r="A2" s="880" t="s">
        <v>657</v>
      </c>
      <c r="B2" s="872"/>
      <c r="C2" s="29"/>
      <c r="D2" s="29"/>
      <c r="E2" s="29"/>
      <c r="F2" s="29"/>
      <c r="G2" s="29"/>
      <c r="H2" s="29"/>
      <c r="I2" s="27"/>
      <c r="J2" s="27"/>
      <c r="K2" s="27"/>
      <c r="L2" s="124"/>
    </row>
    <row r="3" spans="1:12" s="31" customFormat="1" ht="22.8">
      <c r="A3" s="883">
        <v>2023</v>
      </c>
      <c r="B3" s="889" t="s">
        <v>676</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0" t="s">
        <v>677</v>
      </c>
      <c r="E5" s="391" t="s">
        <v>677</v>
      </c>
      <c r="F5" s="391" t="s">
        <v>677</v>
      </c>
      <c r="G5" s="391" t="s">
        <v>677</v>
      </c>
      <c r="H5" s="391" t="s">
        <v>677</v>
      </c>
      <c r="I5" s="391" t="s">
        <v>677</v>
      </c>
      <c r="J5" s="391" t="s">
        <v>677</v>
      </c>
      <c r="K5" s="392" t="s">
        <v>677</v>
      </c>
    </row>
    <row r="6" spans="1:12" s="2" customFormat="1">
      <c r="D6" s="118">
        <v>2016</v>
      </c>
      <c r="E6" s="119">
        <v>2017</v>
      </c>
      <c r="F6" s="119">
        <v>2018</v>
      </c>
      <c r="G6" s="119">
        <v>2019</v>
      </c>
      <c r="H6" s="119">
        <v>2020</v>
      </c>
      <c r="I6" s="119">
        <v>2021</v>
      </c>
      <c r="J6" s="119">
        <v>2022</v>
      </c>
      <c r="K6" s="196">
        <v>2023</v>
      </c>
    </row>
    <row r="7" spans="1:12" s="2" customFormat="1"/>
    <row r="8" spans="1:12" s="2" customFormat="1">
      <c r="B8" s="214" t="s">
        <v>510</v>
      </c>
      <c r="C8" s="153" t="s">
        <v>128</v>
      </c>
      <c r="D8" s="851">
        <v>145.73176864000001</v>
      </c>
      <c r="E8" s="678">
        <v>-13.7</v>
      </c>
      <c r="F8" s="678">
        <v>113.71084635</v>
      </c>
      <c r="G8" s="678">
        <v>128.41084756999999</v>
      </c>
      <c r="H8" s="678">
        <v>87.969654370000001</v>
      </c>
      <c r="I8" s="678">
        <v>-108.57790481999999</v>
      </c>
      <c r="J8" s="678">
        <v>-52.335024060000002</v>
      </c>
      <c r="K8" s="678">
        <v>-84.206932379999998</v>
      </c>
    </row>
    <row r="9" spans="1:12" s="2" customFormat="1">
      <c r="B9" s="214"/>
    </row>
    <row r="10" spans="1:12">
      <c r="B10" s="214" t="s">
        <v>511</v>
      </c>
      <c r="C10" s="153" t="s">
        <v>128</v>
      </c>
      <c r="D10" s="672">
        <v>-13.7</v>
      </c>
      <c r="E10" s="673">
        <v>113.71084635</v>
      </c>
      <c r="F10" s="673">
        <v>128.41084756999999</v>
      </c>
      <c r="G10" s="673">
        <v>87.969654370000001</v>
      </c>
      <c r="H10" s="673">
        <v>-108.57790481999999</v>
      </c>
      <c r="I10" s="673">
        <v>-52.335024060000002</v>
      </c>
      <c r="J10" s="673">
        <v>-84.206932379999998</v>
      </c>
      <c r="K10" s="674">
        <v>-155.13215698999997</v>
      </c>
    </row>
    <row r="11" spans="1:12">
      <c r="B11" s="214" t="s">
        <v>360</v>
      </c>
      <c r="C11" s="153" t="s">
        <v>128</v>
      </c>
      <c r="D11" s="675">
        <v>1182.1908000000001</v>
      </c>
      <c r="E11" s="676">
        <v>1371.6096097900001</v>
      </c>
      <c r="F11" s="676">
        <v>1384.4472709899999</v>
      </c>
      <c r="G11" s="676">
        <v>1392.40041316</v>
      </c>
      <c r="H11" s="676">
        <v>1646.7010157500004</v>
      </c>
      <c r="I11" s="676">
        <v>1648.5185222399998</v>
      </c>
      <c r="J11" s="676">
        <v>1679.7259383899996</v>
      </c>
      <c r="K11" s="677">
        <v>1901.0993451099998</v>
      </c>
    </row>
    <row r="12" spans="1:12">
      <c r="B12" s="214" t="s">
        <v>361</v>
      </c>
      <c r="C12" s="153" t="s">
        <v>128</v>
      </c>
      <c r="D12" s="675">
        <v>200</v>
      </c>
      <c r="E12" s="676">
        <v>8.8999989999999993</v>
      </c>
      <c r="F12" s="676">
        <v>6.8099990000000004</v>
      </c>
      <c r="G12" s="676">
        <v>-9.9999999999999995E-7</v>
      </c>
      <c r="H12" s="676">
        <v>0</v>
      </c>
      <c r="I12" s="676">
        <v>0</v>
      </c>
      <c r="J12" s="676">
        <v>0</v>
      </c>
      <c r="K12" s="677">
        <v>0</v>
      </c>
    </row>
    <row r="13" spans="1:12">
      <c r="B13" s="214" t="s">
        <v>362</v>
      </c>
      <c r="C13" s="153" t="s">
        <v>128</v>
      </c>
      <c r="D13" s="675">
        <v>0</v>
      </c>
      <c r="E13" s="676">
        <v>0</v>
      </c>
      <c r="F13" s="676">
        <v>0</v>
      </c>
      <c r="G13" s="676">
        <v>0</v>
      </c>
      <c r="H13" s="676">
        <v>0</v>
      </c>
      <c r="I13" s="676">
        <v>0</v>
      </c>
      <c r="J13" s="676">
        <v>0</v>
      </c>
      <c r="K13" s="677">
        <v>0</v>
      </c>
    </row>
    <row r="14" spans="1:12">
      <c r="B14" s="214" t="s">
        <v>363</v>
      </c>
      <c r="C14" s="153" t="s">
        <v>128</v>
      </c>
      <c r="D14" s="675">
        <v>-13.2181</v>
      </c>
      <c r="E14" s="676">
        <v>-5.7278300400000042</v>
      </c>
      <c r="F14" s="676">
        <v>-33.151828200000011</v>
      </c>
      <c r="G14" s="676">
        <v>-12.866880539999999</v>
      </c>
      <c r="H14" s="676">
        <v>1.9008000000000003</v>
      </c>
      <c r="I14" s="676">
        <v>-16.419137469999999</v>
      </c>
      <c r="J14" s="676">
        <v>25.168440619999998</v>
      </c>
      <c r="K14" s="677">
        <v>31.107395299999997</v>
      </c>
    </row>
    <row r="15" spans="1:12">
      <c r="B15" s="214" t="s">
        <v>289</v>
      </c>
      <c r="C15" s="153" t="s">
        <v>128</v>
      </c>
      <c r="D15" s="675">
        <v>0</v>
      </c>
      <c r="E15" s="676">
        <v>0</v>
      </c>
      <c r="F15" s="676">
        <v>0</v>
      </c>
      <c r="G15" s="676">
        <v>0</v>
      </c>
      <c r="H15" s="676">
        <v>0</v>
      </c>
      <c r="I15" s="676">
        <v>0</v>
      </c>
      <c r="J15" s="676">
        <v>0</v>
      </c>
      <c r="K15" s="677">
        <v>0</v>
      </c>
    </row>
    <row r="16" spans="1:12">
      <c r="B16" s="214" t="s">
        <v>290</v>
      </c>
      <c r="C16" s="153" t="s">
        <v>128</v>
      </c>
      <c r="D16" s="675">
        <v>0</v>
      </c>
      <c r="E16" s="676">
        <v>0</v>
      </c>
      <c r="F16" s="676">
        <v>0</v>
      </c>
      <c r="G16" s="676">
        <v>0</v>
      </c>
      <c r="H16" s="676">
        <v>0</v>
      </c>
      <c r="I16" s="676">
        <v>0</v>
      </c>
      <c r="J16" s="676">
        <v>0</v>
      </c>
      <c r="K16" s="677">
        <v>4.5829507300000047</v>
      </c>
    </row>
    <row r="17" spans="2:13">
      <c r="B17" s="214" t="s">
        <v>294</v>
      </c>
      <c r="C17" s="153" t="s">
        <v>128</v>
      </c>
      <c r="D17" s="675">
        <v>0</v>
      </c>
      <c r="E17" s="676">
        <v>0</v>
      </c>
      <c r="F17" s="676">
        <v>0</v>
      </c>
      <c r="G17" s="676">
        <v>2.7360000000000002</v>
      </c>
      <c r="H17" s="676">
        <v>0</v>
      </c>
      <c r="I17" s="676">
        <v>0</v>
      </c>
      <c r="J17" s="676">
        <v>0</v>
      </c>
      <c r="K17" s="677">
        <v>0</v>
      </c>
    </row>
    <row r="18" spans="2:13">
      <c r="B18" s="214" t="s">
        <v>295</v>
      </c>
      <c r="C18" s="153" t="s">
        <v>128</v>
      </c>
      <c r="D18" s="675">
        <v>0</v>
      </c>
      <c r="E18" s="676">
        <v>0</v>
      </c>
      <c r="F18" s="676">
        <v>0</v>
      </c>
      <c r="G18" s="676">
        <v>0</v>
      </c>
      <c r="H18" s="676">
        <v>0</v>
      </c>
      <c r="I18" s="676">
        <v>0</v>
      </c>
      <c r="J18" s="676">
        <v>0</v>
      </c>
      <c r="K18" s="677">
        <v>0</v>
      </c>
    </row>
    <row r="19" spans="2:13">
      <c r="B19" s="214" t="s">
        <v>296</v>
      </c>
      <c r="C19" s="153" t="s">
        <v>128</v>
      </c>
      <c r="D19" s="675">
        <v>0</v>
      </c>
      <c r="E19" s="676">
        <v>0</v>
      </c>
      <c r="F19" s="676">
        <v>0</v>
      </c>
      <c r="G19" s="676">
        <v>0</v>
      </c>
      <c r="H19" s="676">
        <v>0</v>
      </c>
      <c r="I19" s="676">
        <v>0</v>
      </c>
      <c r="J19" s="676">
        <v>0</v>
      </c>
      <c r="K19" s="677">
        <v>0</v>
      </c>
    </row>
    <row r="20" spans="2:13">
      <c r="B20" s="214" t="s">
        <v>297</v>
      </c>
      <c r="C20" s="153" t="s">
        <v>128</v>
      </c>
      <c r="D20" s="675">
        <v>0</v>
      </c>
      <c r="E20" s="676">
        <v>0</v>
      </c>
      <c r="F20" s="676">
        <v>0</v>
      </c>
      <c r="G20" s="676">
        <v>0</v>
      </c>
      <c r="H20" s="676">
        <v>0</v>
      </c>
      <c r="I20" s="676">
        <v>0</v>
      </c>
      <c r="J20" s="676">
        <v>0</v>
      </c>
      <c r="K20" s="677">
        <v>0</v>
      </c>
    </row>
    <row r="21" spans="2:13">
      <c r="B21" s="214" t="s">
        <v>298</v>
      </c>
      <c r="C21" s="153" t="s">
        <v>128</v>
      </c>
      <c r="D21" s="675">
        <v>0</v>
      </c>
      <c r="E21" s="676">
        <v>0</v>
      </c>
      <c r="F21" s="676">
        <v>0</v>
      </c>
      <c r="G21" s="676">
        <v>0</v>
      </c>
      <c r="H21" s="676">
        <v>0</v>
      </c>
      <c r="I21" s="676">
        <v>0</v>
      </c>
      <c r="J21" s="676">
        <v>0</v>
      </c>
      <c r="K21" s="677">
        <v>0</v>
      </c>
    </row>
    <row r="22" spans="2:13">
      <c r="B22" s="214" t="s">
        <v>299</v>
      </c>
      <c r="C22" s="153" t="s">
        <v>128</v>
      </c>
      <c r="D22" s="675">
        <v>0</v>
      </c>
      <c r="E22" s="676">
        <v>0</v>
      </c>
      <c r="F22" s="676">
        <v>0</v>
      </c>
      <c r="G22" s="676">
        <v>0</v>
      </c>
      <c r="H22" s="676">
        <v>0</v>
      </c>
      <c r="I22" s="676">
        <v>0</v>
      </c>
      <c r="J22" s="676">
        <v>0</v>
      </c>
      <c r="K22" s="677">
        <v>0</v>
      </c>
    </row>
    <row r="23" spans="2:13">
      <c r="B23" s="14" t="s">
        <v>315</v>
      </c>
      <c r="C23" s="236" t="s">
        <v>128</v>
      </c>
      <c r="D23" s="678">
        <v>1355.2727</v>
      </c>
      <c r="E23" s="678">
        <v>1488.4926251000002</v>
      </c>
      <c r="F23" s="678">
        <v>1486.51628936</v>
      </c>
      <c r="G23" s="678">
        <v>1470.2391859899999</v>
      </c>
      <c r="H23" s="678">
        <v>1540.0239109300003</v>
      </c>
      <c r="I23" s="678">
        <v>1579.7643607099999</v>
      </c>
      <c r="J23" s="678">
        <v>1620.6874466299996</v>
      </c>
      <c r="K23" s="679">
        <v>1781.6575341499999</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0" t="s">
        <v>522</v>
      </c>
      <c r="C26" s="153" t="s">
        <v>128</v>
      </c>
      <c r="D26" s="348">
        <v>5.2732502700000001</v>
      </c>
      <c r="E26" s="348">
        <v>4.9893867099999998</v>
      </c>
      <c r="F26" s="348">
        <v>4.5458999999999996</v>
      </c>
      <c r="G26" s="348">
        <v>4.0690884799999996</v>
      </c>
      <c r="H26" s="348">
        <v>4.9035268900000002</v>
      </c>
      <c r="I26" s="348">
        <v>4.3115344199999992</v>
      </c>
      <c r="J26" s="348">
        <v>3.7225333300000001</v>
      </c>
      <c r="K26" s="348">
        <v>5.0014718200000008</v>
      </c>
      <c r="L26" s="2"/>
      <c r="M26" s="2"/>
    </row>
    <row r="27" spans="2:13">
      <c r="B27" s="370" t="s">
        <v>8</v>
      </c>
      <c r="C27" s="153" t="s">
        <v>128</v>
      </c>
      <c r="D27" s="348">
        <v>0</v>
      </c>
      <c r="E27" s="380">
        <v>0</v>
      </c>
      <c r="F27" s="380">
        <v>0</v>
      </c>
      <c r="G27" s="380">
        <v>0</v>
      </c>
      <c r="H27" s="380">
        <v>0</v>
      </c>
      <c r="I27" s="380">
        <v>0</v>
      </c>
      <c r="J27" s="380">
        <v>0</v>
      </c>
      <c r="K27" s="384">
        <v>0</v>
      </c>
      <c r="L27" s="35"/>
      <c r="M27" s="35"/>
    </row>
    <row r="28" spans="2:13">
      <c r="B28" s="370" t="s">
        <v>9</v>
      </c>
      <c r="C28" s="153" t="s">
        <v>128</v>
      </c>
      <c r="D28" s="348">
        <v>0</v>
      </c>
      <c r="E28" s="380">
        <v>0</v>
      </c>
      <c r="F28" s="380">
        <v>0</v>
      </c>
      <c r="G28" s="380">
        <v>0</v>
      </c>
      <c r="H28" s="380">
        <v>0</v>
      </c>
      <c r="I28" s="380">
        <v>0</v>
      </c>
      <c r="J28" s="380">
        <v>0</v>
      </c>
      <c r="K28" s="384">
        <v>0</v>
      </c>
      <c r="L28" s="35"/>
      <c r="M28" s="35"/>
    </row>
    <row r="29" spans="2:13">
      <c r="B29" s="370" t="s">
        <v>10</v>
      </c>
      <c r="C29" s="153" t="s">
        <v>128</v>
      </c>
      <c r="D29" s="348">
        <v>0</v>
      </c>
      <c r="E29" s="380">
        <v>0</v>
      </c>
      <c r="F29" s="380">
        <v>0</v>
      </c>
      <c r="G29" s="380">
        <v>0</v>
      </c>
      <c r="H29" s="380">
        <v>0</v>
      </c>
      <c r="I29" s="380">
        <v>0</v>
      </c>
      <c r="J29" s="380">
        <v>0</v>
      </c>
      <c r="K29" s="384">
        <v>0</v>
      </c>
      <c r="L29" s="35"/>
      <c r="M29" s="35"/>
    </row>
    <row r="30" spans="2:13">
      <c r="B30" s="370" t="s">
        <v>610</v>
      </c>
      <c r="C30" s="153" t="s">
        <v>128</v>
      </c>
      <c r="D30" s="348">
        <v>-17.325270970000002</v>
      </c>
      <c r="E30" s="380">
        <v>-53.396275639999999</v>
      </c>
      <c r="F30" s="380">
        <v>-51.033200000000001</v>
      </c>
      <c r="G30" s="380">
        <v>-48.670099640000004</v>
      </c>
      <c r="H30" s="380">
        <v>-43.122949640000002</v>
      </c>
      <c r="I30" s="380">
        <v>-38.725845660000005</v>
      </c>
      <c r="J30" s="380">
        <v>-36.872933720000006</v>
      </c>
      <c r="K30" s="384">
        <v>-35.094929430000008</v>
      </c>
    </row>
    <row r="31" spans="2:13">
      <c r="B31" s="370" t="s">
        <v>611</v>
      </c>
      <c r="C31" s="153" t="s">
        <v>128</v>
      </c>
      <c r="D31" s="348">
        <v>13.2181</v>
      </c>
      <c r="E31" s="380">
        <v>5.7278471800000013</v>
      </c>
      <c r="F31" s="380">
        <v>33.151899999999998</v>
      </c>
      <c r="G31" s="380">
        <v>12.866880539999995</v>
      </c>
      <c r="H31" s="380">
        <v>-1.9008446000000001</v>
      </c>
      <c r="I31" s="380">
        <v>16.419137469999999</v>
      </c>
      <c r="J31" s="380">
        <v>-25.168440619999998</v>
      </c>
      <c r="K31" s="384">
        <v>-31.107395299999997</v>
      </c>
    </row>
    <row r="32" spans="2:13" ht="12.75" customHeight="1">
      <c r="B32" s="370" t="s">
        <v>612</v>
      </c>
      <c r="C32" s="153" t="s">
        <v>128</v>
      </c>
      <c r="D32" s="348">
        <v>0.47678995000000002</v>
      </c>
      <c r="E32" s="380">
        <v>0.37342432000000003</v>
      </c>
      <c r="F32" s="380">
        <v>0</v>
      </c>
      <c r="G32" s="380">
        <v>2.3349441500000001</v>
      </c>
      <c r="H32" s="380">
        <v>1.78858899</v>
      </c>
      <c r="I32" s="380">
        <v>4.0946369300000001</v>
      </c>
      <c r="J32" s="380">
        <v>3.1629480099999996</v>
      </c>
      <c r="K32" s="384">
        <v>8.9783690700000012</v>
      </c>
    </row>
    <row r="33" spans="2:12">
      <c r="B33" s="370" t="s">
        <v>613</v>
      </c>
      <c r="C33" s="153" t="s">
        <v>128</v>
      </c>
      <c r="D33" s="348">
        <v>0</v>
      </c>
      <c r="E33" s="380">
        <v>0</v>
      </c>
      <c r="F33" s="380">
        <v>0</v>
      </c>
      <c r="G33" s="380">
        <v>-2.7360000000000002</v>
      </c>
      <c r="H33" s="380">
        <v>0</v>
      </c>
      <c r="I33" s="380">
        <v>0</v>
      </c>
      <c r="J33" s="380">
        <v>0</v>
      </c>
      <c r="K33" s="384">
        <v>0</v>
      </c>
    </row>
    <row r="34" spans="2:12">
      <c r="B34" s="370" t="s">
        <v>668</v>
      </c>
      <c r="C34" s="153" t="s">
        <v>128</v>
      </c>
      <c r="D34" s="348">
        <v>0</v>
      </c>
      <c r="E34" s="380">
        <v>0</v>
      </c>
      <c r="F34" s="380">
        <v>0</v>
      </c>
      <c r="G34" s="380">
        <v>0</v>
      </c>
      <c r="H34" s="380">
        <v>0</v>
      </c>
      <c r="I34" s="380">
        <v>0</v>
      </c>
      <c r="J34" s="380">
        <v>0</v>
      </c>
      <c r="K34" s="384">
        <v>14.066926</v>
      </c>
    </row>
    <row r="35" spans="2:12">
      <c r="B35" s="370" t="s">
        <v>669</v>
      </c>
      <c r="C35" s="153" t="s">
        <v>128</v>
      </c>
      <c r="D35" s="348">
        <v>0</v>
      </c>
      <c r="E35" s="380">
        <v>0</v>
      </c>
      <c r="F35" s="380">
        <v>0</v>
      </c>
      <c r="G35" s="380">
        <v>0</v>
      </c>
      <c r="H35" s="380">
        <v>0</v>
      </c>
      <c r="I35" s="380">
        <v>0</v>
      </c>
      <c r="J35" s="380">
        <v>0</v>
      </c>
      <c r="K35" s="384">
        <v>-2.8816476099999986</v>
      </c>
    </row>
    <row r="36" spans="2:12">
      <c r="B36" s="370" t="s">
        <v>350</v>
      </c>
      <c r="C36" s="153" t="s">
        <v>128</v>
      </c>
      <c r="D36" s="348">
        <v>0</v>
      </c>
      <c r="E36" s="380">
        <v>0</v>
      </c>
      <c r="F36" s="380">
        <v>0</v>
      </c>
      <c r="G36" s="380">
        <v>0</v>
      </c>
      <c r="H36" s="380">
        <v>0</v>
      </c>
      <c r="I36" s="380">
        <v>0</v>
      </c>
      <c r="J36" s="380">
        <v>0</v>
      </c>
      <c r="K36" s="384">
        <v>0</v>
      </c>
    </row>
    <row r="37" spans="2:12">
      <c r="B37" s="370" t="s">
        <v>351</v>
      </c>
      <c r="C37" s="153" t="s">
        <v>128</v>
      </c>
      <c r="D37" s="348">
        <v>0</v>
      </c>
      <c r="E37" s="380">
        <v>0</v>
      </c>
      <c r="F37" s="380">
        <v>0</v>
      </c>
      <c r="G37" s="380">
        <v>0</v>
      </c>
      <c r="H37" s="380">
        <v>0</v>
      </c>
      <c r="I37" s="380">
        <v>0</v>
      </c>
      <c r="J37" s="380">
        <v>0</v>
      </c>
      <c r="K37" s="384">
        <v>0</v>
      </c>
    </row>
    <row r="38" spans="2:12">
      <c r="B38" s="370" t="s">
        <v>352</v>
      </c>
      <c r="C38" s="153" t="s">
        <v>128</v>
      </c>
      <c r="D38" s="348">
        <v>0</v>
      </c>
      <c r="E38" s="380">
        <v>0</v>
      </c>
      <c r="F38" s="380">
        <v>0</v>
      </c>
      <c r="G38" s="380">
        <v>0</v>
      </c>
      <c r="H38" s="380">
        <v>0</v>
      </c>
      <c r="I38" s="380">
        <v>0</v>
      </c>
      <c r="J38" s="380">
        <v>0</v>
      </c>
      <c r="K38" s="384">
        <v>0</v>
      </c>
    </row>
    <row r="39" spans="2:12">
      <c r="B39" s="370" t="s">
        <v>353</v>
      </c>
      <c r="C39" s="153" t="s">
        <v>128</v>
      </c>
      <c r="D39" s="348">
        <v>0</v>
      </c>
      <c r="E39" s="380">
        <v>0</v>
      </c>
      <c r="F39" s="380">
        <v>0</v>
      </c>
      <c r="G39" s="380">
        <v>0</v>
      </c>
      <c r="H39" s="380">
        <v>0</v>
      </c>
      <c r="I39" s="380">
        <v>0</v>
      </c>
      <c r="J39" s="380">
        <v>0</v>
      </c>
      <c r="K39" s="384">
        <v>0</v>
      </c>
    </row>
    <row r="40" spans="2:12">
      <c r="B40" s="370" t="s">
        <v>354</v>
      </c>
      <c r="C40" s="153" t="s">
        <v>128</v>
      </c>
      <c r="D40" s="348">
        <v>0</v>
      </c>
      <c r="E40" s="380">
        <v>0</v>
      </c>
      <c r="F40" s="380">
        <v>0</v>
      </c>
      <c r="G40" s="380">
        <v>0</v>
      </c>
      <c r="H40" s="380">
        <v>0</v>
      </c>
      <c r="I40" s="380">
        <v>0</v>
      </c>
      <c r="J40" s="380">
        <v>0</v>
      </c>
      <c r="K40" s="384">
        <v>0</v>
      </c>
    </row>
    <row r="41" spans="2:12">
      <c r="B41" s="370" t="s">
        <v>355</v>
      </c>
      <c r="C41" s="153" t="s">
        <v>128</v>
      </c>
      <c r="D41" s="381">
        <v>0</v>
      </c>
      <c r="E41" s="382">
        <v>0</v>
      </c>
      <c r="F41" s="382">
        <v>0</v>
      </c>
      <c r="G41" s="382">
        <v>0</v>
      </c>
      <c r="H41" s="382">
        <v>0</v>
      </c>
      <c r="I41" s="382">
        <v>0</v>
      </c>
      <c r="J41" s="382">
        <v>0</v>
      </c>
      <c r="K41" s="385">
        <v>0</v>
      </c>
    </row>
    <row r="42" spans="2:12">
      <c r="B42" s="200" t="s">
        <v>234</v>
      </c>
      <c r="C42" s="153" t="s">
        <v>128</v>
      </c>
      <c r="D42" s="686">
        <v>1356.9155692500001</v>
      </c>
      <c r="E42" s="686">
        <v>1446.18700767</v>
      </c>
      <c r="F42" s="686">
        <v>1473.18088936</v>
      </c>
      <c r="G42" s="686">
        <v>1438.1039995199997</v>
      </c>
      <c r="H42" s="686">
        <v>1501.6922325700002</v>
      </c>
      <c r="I42" s="686">
        <v>1565.8638238699998</v>
      </c>
      <c r="J42" s="686">
        <v>1565.5315536299997</v>
      </c>
      <c r="K42" s="686">
        <v>1740.6203286999998</v>
      </c>
    </row>
    <row r="43" spans="2:12">
      <c r="B43" s="371" t="s">
        <v>302</v>
      </c>
      <c r="C43" s="153" t="s">
        <v>128</v>
      </c>
      <c r="D43" s="687"/>
      <c r="E43" s="688"/>
      <c r="F43" s="688"/>
      <c r="G43" s="689"/>
      <c r="H43" s="689"/>
      <c r="I43" s="689"/>
      <c r="J43" s="689"/>
      <c r="K43" s="690"/>
    </row>
    <row r="44" spans="2:12">
      <c r="B44" s="347" t="s">
        <v>426</v>
      </c>
      <c r="C44" s="153" t="s">
        <v>128</v>
      </c>
      <c r="D44" s="96">
        <v>1356.9155692500001</v>
      </c>
      <c r="E44" s="97">
        <v>1446.18700767</v>
      </c>
      <c r="F44" s="97">
        <v>1473.18088936</v>
      </c>
      <c r="G44" s="97">
        <v>1438.1039995199997</v>
      </c>
      <c r="H44" s="97">
        <v>1501.6922325700002</v>
      </c>
      <c r="I44" s="97">
        <v>1565.8638238699998</v>
      </c>
      <c r="J44" s="97">
        <v>1565.5315536299997</v>
      </c>
      <c r="K44" s="98">
        <v>1740.6203286999998</v>
      </c>
    </row>
    <row r="45" spans="2:12">
      <c r="D45" s="227" t="s">
        <v>679</v>
      </c>
      <c r="E45" s="228" t="s">
        <v>679</v>
      </c>
      <c r="F45" s="228" t="s">
        <v>679</v>
      </c>
      <c r="G45" s="228" t="s">
        <v>679</v>
      </c>
      <c r="H45" s="228" t="s">
        <v>679</v>
      </c>
      <c r="I45" s="228" t="s">
        <v>679</v>
      </c>
      <c r="J45" s="228" t="s">
        <v>679</v>
      </c>
      <c r="K45" s="229" t="s">
        <v>679</v>
      </c>
    </row>
    <row r="47" spans="2:12">
      <c r="B47" s="790" t="s">
        <v>427</v>
      </c>
      <c r="C47" s="153" t="s">
        <v>128</v>
      </c>
      <c r="D47" s="805">
        <v>1270.8959686400001</v>
      </c>
      <c r="E47" s="97">
        <v>1356.9155692500001</v>
      </c>
      <c r="F47" s="97">
        <v>1446.18700767</v>
      </c>
      <c r="G47" s="97">
        <v>1473.18088936</v>
      </c>
      <c r="H47" s="97">
        <v>1438.1039995199997</v>
      </c>
      <c r="I47" s="97">
        <v>1501.6922325700002</v>
      </c>
      <c r="J47" s="97">
        <v>1565.8638238699998</v>
      </c>
      <c r="K47" s="98">
        <v>1565.5315536299997</v>
      </c>
      <c r="L47" s="789"/>
    </row>
    <row r="48" spans="2:12">
      <c r="B48" s="790" t="s">
        <v>428</v>
      </c>
      <c r="C48" s="153" t="s">
        <v>128</v>
      </c>
      <c r="D48" s="577">
        <v>1356.9155692500001</v>
      </c>
      <c r="E48" s="578">
        <v>1446.18700767</v>
      </c>
      <c r="F48" s="578">
        <v>1473.18088936</v>
      </c>
      <c r="G48" s="578">
        <v>1438.1039995199997</v>
      </c>
      <c r="H48" s="578">
        <v>1501.6922325700002</v>
      </c>
      <c r="I48" s="578">
        <v>1565.8638238699998</v>
      </c>
      <c r="J48" s="578">
        <v>1565.5315536299997</v>
      </c>
      <c r="K48" s="804">
        <v>1740.6203286999998</v>
      </c>
      <c r="L48" s="789"/>
    </row>
    <row r="49" spans="2:13">
      <c r="D49" s="23"/>
      <c r="E49" s="23"/>
      <c r="F49" s="23"/>
      <c r="G49" s="23"/>
      <c r="H49" s="23"/>
      <c r="I49" s="23"/>
      <c r="J49" s="23"/>
      <c r="K49" s="23"/>
    </row>
    <row r="50" spans="2:13">
      <c r="B50" s="14" t="s">
        <v>124</v>
      </c>
    </row>
    <row r="51" spans="2:13">
      <c r="B51" t="s">
        <v>125</v>
      </c>
      <c r="C51" s="481" t="s">
        <v>7</v>
      </c>
      <c r="D51" s="475">
        <v>0</v>
      </c>
      <c r="E51" s="476">
        <v>0</v>
      </c>
      <c r="F51" s="476">
        <v>0</v>
      </c>
      <c r="G51" s="476">
        <v>0</v>
      </c>
      <c r="H51" s="476">
        <v>0</v>
      </c>
      <c r="I51" s="476">
        <v>0</v>
      </c>
      <c r="J51" s="476">
        <v>0</v>
      </c>
      <c r="K51" s="477">
        <v>0</v>
      </c>
    </row>
    <row r="52" spans="2:13">
      <c r="B52" t="s">
        <v>126</v>
      </c>
      <c r="C52" s="481" t="s">
        <v>7</v>
      </c>
      <c r="D52" s="486">
        <v>1</v>
      </c>
      <c r="E52" s="487">
        <v>1</v>
      </c>
      <c r="F52" s="487">
        <v>1</v>
      </c>
      <c r="G52" s="487">
        <v>1</v>
      </c>
      <c r="H52" s="487">
        <v>1</v>
      </c>
      <c r="I52" s="487">
        <v>1</v>
      </c>
      <c r="J52" s="487">
        <v>1</v>
      </c>
      <c r="K52" s="488">
        <v>1</v>
      </c>
    </row>
    <row r="53" spans="2:13">
      <c r="C53" s="789"/>
      <c r="D53" s="789"/>
      <c r="E53" s="789"/>
      <c r="F53" s="789"/>
      <c r="G53" s="789"/>
      <c r="H53" s="789"/>
      <c r="I53" s="789"/>
      <c r="J53" s="789"/>
      <c r="K53" s="789"/>
      <c r="L53" s="789"/>
    </row>
    <row r="54" spans="2:13">
      <c r="B54" s="201" t="s">
        <v>450</v>
      </c>
      <c r="C54" s="267" t="s">
        <v>128</v>
      </c>
      <c r="D54" s="691">
        <v>1313.9057689450001</v>
      </c>
      <c r="E54" s="692">
        <v>1401.55128846</v>
      </c>
      <c r="F54" s="692">
        <v>1459.6839485149999</v>
      </c>
      <c r="G54" s="692">
        <v>1455.64244444</v>
      </c>
      <c r="H54" s="692">
        <v>1469.8981160449998</v>
      </c>
      <c r="I54" s="692">
        <v>1533.7780282200001</v>
      </c>
      <c r="J54" s="692">
        <v>1565.6976887499998</v>
      </c>
      <c r="K54" s="693">
        <v>1653.0759411649997</v>
      </c>
    </row>
    <row r="55" spans="2:13">
      <c r="B55" s="201" t="s">
        <v>268</v>
      </c>
      <c r="C55" s="153" t="s">
        <v>128</v>
      </c>
      <c r="D55" s="680">
        <v>764.448709814842</v>
      </c>
      <c r="E55" s="681">
        <v>790.03600627591663</v>
      </c>
      <c r="F55" s="681">
        <v>844.5236524542056</v>
      </c>
      <c r="G55" s="681">
        <v>939.11413004075621</v>
      </c>
      <c r="H55" s="681">
        <v>1007.5063807905381</v>
      </c>
      <c r="I55" s="681">
        <v>1028.1641557612911</v>
      </c>
      <c r="J55" s="681">
        <v>1209.1068558410768</v>
      </c>
      <c r="K55" s="682">
        <v>1511.1497550897484</v>
      </c>
    </row>
    <row r="56" spans="2:13">
      <c r="B56" s="201" t="s">
        <v>498</v>
      </c>
      <c r="C56" s="153" t="s">
        <v>128</v>
      </c>
      <c r="D56" s="842">
        <v>2078.3544787598421</v>
      </c>
      <c r="E56" s="842">
        <v>2191.5872947359167</v>
      </c>
      <c r="F56" s="842">
        <v>2304.2076009692055</v>
      </c>
      <c r="G56" s="842">
        <v>2394.7565744807562</v>
      </c>
      <c r="H56" s="842">
        <v>2477.4044968355379</v>
      </c>
      <c r="I56" s="842">
        <v>2561.9421839812912</v>
      </c>
      <c r="J56" s="842">
        <v>2774.8045445910766</v>
      </c>
      <c r="K56" s="842">
        <v>3164.2256962547481</v>
      </c>
    </row>
    <row r="57" spans="2:13">
      <c r="B57" s="201" t="s">
        <v>235</v>
      </c>
      <c r="C57" s="153" t="s">
        <v>7</v>
      </c>
      <c r="D57" s="232">
        <v>0.63218559796835527</v>
      </c>
      <c r="E57" s="233">
        <v>0.63951424240615751</v>
      </c>
      <c r="F57" s="233">
        <v>0.63348630041018072</v>
      </c>
      <c r="G57" s="233">
        <v>0.60784568250141258</v>
      </c>
      <c r="H57" s="233">
        <v>0.59332180833713033</v>
      </c>
      <c r="I57" s="233">
        <v>0.59867784597562201</v>
      </c>
      <c r="J57" s="233">
        <v>0.56425512629421504</v>
      </c>
      <c r="K57" s="234">
        <v>0.52242668502490808</v>
      </c>
    </row>
    <row r="58" spans="2:13">
      <c r="B58" s="201" t="s">
        <v>115</v>
      </c>
      <c r="C58" s="153" t="s">
        <v>7</v>
      </c>
      <c r="D58" s="843">
        <v>0.65</v>
      </c>
      <c r="E58" s="844">
        <v>0.65</v>
      </c>
      <c r="F58" s="844">
        <v>0.65</v>
      </c>
      <c r="G58" s="844">
        <v>0.65</v>
      </c>
      <c r="H58" s="844">
        <v>0.65</v>
      </c>
      <c r="I58" s="844">
        <v>0.65</v>
      </c>
      <c r="J58" s="844">
        <v>0.65</v>
      </c>
      <c r="K58" s="845">
        <v>0.65</v>
      </c>
    </row>
    <row r="59" spans="2:13">
      <c r="B59" s="201" t="s">
        <v>236</v>
      </c>
      <c r="C59" s="153" t="s">
        <v>7</v>
      </c>
      <c r="D59" s="237">
        <v>-1.7814402031644749E-2</v>
      </c>
      <c r="E59" s="238">
        <v>-1.0485757593842515E-2</v>
      </c>
      <c r="F59" s="238">
        <v>-1.6513699589819297E-2</v>
      </c>
      <c r="G59" s="238">
        <v>-4.2154317498587446E-2</v>
      </c>
      <c r="H59" s="238">
        <v>-5.6678191662869692E-2</v>
      </c>
      <c r="I59" s="238">
        <v>-5.1322154024378008E-2</v>
      </c>
      <c r="J59" s="238">
        <v>-8.5744873705784985E-2</v>
      </c>
      <c r="K59" s="239">
        <v>-0.12757331497509194</v>
      </c>
    </row>
    <row r="61" spans="2:13">
      <c r="B61" s="201" t="s">
        <v>505</v>
      </c>
      <c r="C61" s="156" t="s">
        <v>159</v>
      </c>
      <c r="D61" s="846">
        <v>1215.567983927468</v>
      </c>
      <c r="E61" s="684">
        <v>1266.9804267364607</v>
      </c>
      <c r="F61" s="684">
        <v>1277.9160597282714</v>
      </c>
      <c r="G61" s="684">
        <v>1237.9361350831718</v>
      </c>
      <c r="H61" s="684">
        <v>1221.9453245375848</v>
      </c>
      <c r="I61" s="684">
        <v>1250.3015959635241</v>
      </c>
      <c r="J61" s="684">
        <v>1202.7612517157349</v>
      </c>
      <c r="K61" s="685">
        <v>1142.6625647801366</v>
      </c>
      <c r="M61" s="323"/>
    </row>
    <row r="62" spans="2:13">
      <c r="B62" s="201" t="s">
        <v>503</v>
      </c>
      <c r="C62" s="156" t="s">
        <v>159</v>
      </c>
      <c r="D62" s="650">
        <v>707.23441434594952</v>
      </c>
      <c r="E62" s="651">
        <v>714.18018349401086</v>
      </c>
      <c r="F62" s="651">
        <v>739.35891354395892</v>
      </c>
      <c r="G62" s="651">
        <v>798.65994632486718</v>
      </c>
      <c r="H62" s="651">
        <v>837.55309161243383</v>
      </c>
      <c r="I62" s="651">
        <v>838.13645860653924</v>
      </c>
      <c r="J62" s="651">
        <v>928.82993047689035</v>
      </c>
      <c r="K62" s="652">
        <v>1044.5583363222968</v>
      </c>
      <c r="M62" s="323"/>
    </row>
    <row r="63" spans="2:13">
      <c r="B63" s="201" t="s">
        <v>504</v>
      </c>
      <c r="C63" s="156" t="s">
        <v>159</v>
      </c>
      <c r="D63" s="841">
        <v>1922.8023982734176</v>
      </c>
      <c r="E63" s="841">
        <v>1981.1606102304715</v>
      </c>
      <c r="F63" s="841">
        <v>2017.2749732722302</v>
      </c>
      <c r="G63" s="841">
        <v>2036.596081408039</v>
      </c>
      <c r="H63" s="841">
        <v>2059.4984161500188</v>
      </c>
      <c r="I63" s="841">
        <v>2088.4380545700633</v>
      </c>
      <c r="J63" s="841">
        <v>2131.5911821926252</v>
      </c>
      <c r="K63" s="841">
        <v>2187.2209011024333</v>
      </c>
    </row>
    <row r="64" spans="2:13">
      <c r="B64" s="201" t="s">
        <v>235</v>
      </c>
      <c r="C64" s="153" t="s">
        <v>7</v>
      </c>
      <c r="D64" s="232">
        <v>0.63218559796835527</v>
      </c>
      <c r="E64" s="233">
        <v>0.63951424240615751</v>
      </c>
      <c r="F64" s="233">
        <v>0.63348630041018072</v>
      </c>
      <c r="G64" s="233">
        <v>0.60784568250141258</v>
      </c>
      <c r="H64" s="233">
        <v>0.59332180833713033</v>
      </c>
      <c r="I64" s="233">
        <v>0.59867784597562201</v>
      </c>
      <c r="J64" s="233">
        <v>0.56425512629421504</v>
      </c>
      <c r="K64" s="234">
        <v>0.52242668502490808</v>
      </c>
    </row>
    <row r="65" spans="2:11">
      <c r="B65" s="201" t="s">
        <v>115</v>
      </c>
      <c r="C65" s="153" t="s">
        <v>7</v>
      </c>
      <c r="D65" s="843">
        <v>0.65</v>
      </c>
      <c r="E65" s="844">
        <v>0.65</v>
      </c>
      <c r="F65" s="844">
        <v>0.65</v>
      </c>
      <c r="G65" s="844">
        <v>0.65</v>
      </c>
      <c r="H65" s="844">
        <v>0.65</v>
      </c>
      <c r="I65" s="844">
        <v>0.65</v>
      </c>
      <c r="J65" s="844">
        <v>0.65</v>
      </c>
      <c r="K65" s="845">
        <v>0.65</v>
      </c>
    </row>
    <row r="66" spans="2:11">
      <c r="B66" s="201" t="s">
        <v>236</v>
      </c>
      <c r="C66" s="153" t="s">
        <v>7</v>
      </c>
      <c r="D66" s="237">
        <v>-1.7814402031644749E-2</v>
      </c>
      <c r="E66" s="238">
        <v>-1.0485757593842515E-2</v>
      </c>
      <c r="F66" s="238">
        <v>-1.6513699589819297E-2</v>
      </c>
      <c r="G66" s="238">
        <v>-4.2154317498587446E-2</v>
      </c>
      <c r="H66" s="238">
        <v>-5.6678191662869692E-2</v>
      </c>
      <c r="I66" s="238">
        <v>-5.1322154024378008E-2</v>
      </c>
      <c r="J66" s="238">
        <v>-8.5744873705784985E-2</v>
      </c>
      <c r="K66" s="239">
        <v>-0.12757331497509194</v>
      </c>
    </row>
  </sheetData>
  <conditionalFormatting sqref="D6:K6">
    <cfRule type="expression" dxfId="50" priority="18">
      <formula>AND(D$5="Actuals",E$5="Forecast")</formula>
    </cfRule>
  </conditionalFormatting>
  <conditionalFormatting sqref="D5:K5">
    <cfRule type="expression" dxfId="49"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AH76"/>
  <sheetViews>
    <sheetView showGridLines="0" zoomScale="60" zoomScaleNormal="60" workbookViewId="0">
      <pane ySplit="6" topLeftCell="A7" activePane="bottomLeft" state="frozen"/>
      <selection activeCell="D26" sqref="D26"/>
      <selection pane="bottomLeft" activeCell="O49" sqref="O49"/>
    </sheetView>
  </sheetViews>
  <sheetFormatPr defaultRowHeight="12.6"/>
  <cols>
    <col min="1" max="1" width="8.36328125" customWidth="1"/>
    <col min="2" max="2" width="100.08984375" customWidth="1"/>
    <col min="3" max="3" width="14.08984375" style="199" customWidth="1"/>
    <col min="4" max="11" width="11.08984375" customWidth="1"/>
    <col min="12" max="12" width="5" customWidth="1"/>
    <col min="14" max="14" width="9" style="214"/>
    <col min="29" max="29" width="9.36328125" bestFit="1" customWidth="1"/>
  </cols>
  <sheetData>
    <row r="1" spans="1:34" s="31" customFormat="1" ht="21">
      <c r="A1" s="877" t="s">
        <v>120</v>
      </c>
      <c r="B1" s="906"/>
      <c r="C1" s="398"/>
      <c r="D1" s="121"/>
      <c r="E1" s="121"/>
      <c r="F1" s="121"/>
      <c r="G1" s="121"/>
      <c r="H1" s="121"/>
      <c r="I1" s="127"/>
      <c r="J1" s="127"/>
      <c r="K1" s="128"/>
      <c r="L1" s="364"/>
      <c r="N1" s="213"/>
    </row>
    <row r="2" spans="1:34" s="31" customFormat="1" ht="21">
      <c r="A2" s="880" t="str">
        <f>'RFPR cover'!C5</f>
        <v>NGED-EMID</v>
      </c>
      <c r="B2" s="872"/>
      <c r="C2" s="222"/>
      <c r="D2" s="29"/>
      <c r="E2" s="29"/>
      <c r="F2" s="29"/>
      <c r="G2" s="29"/>
      <c r="H2" s="29"/>
      <c r="I2" s="27"/>
      <c r="J2" s="27"/>
      <c r="K2" s="27"/>
      <c r="L2" s="124"/>
      <c r="N2" s="213"/>
    </row>
    <row r="3" spans="1:34" s="31" customFormat="1" ht="21">
      <c r="A3" s="883">
        <f>'RFPR cover'!C7</f>
        <v>2023</v>
      </c>
      <c r="B3" s="890"/>
      <c r="C3" s="399"/>
      <c r="D3" s="261"/>
      <c r="E3" s="261"/>
      <c r="F3" s="261"/>
      <c r="G3" s="261"/>
      <c r="H3" s="261"/>
      <c r="I3" s="256"/>
      <c r="J3" s="256"/>
      <c r="K3" s="256"/>
      <c r="L3" s="262"/>
      <c r="N3" s="213"/>
    </row>
    <row r="4" spans="1:34" s="2" customFormat="1" ht="12.75" customHeight="1">
      <c r="C4" s="1"/>
      <c r="N4" s="130"/>
    </row>
    <row r="5" spans="1:34" s="2" customFormat="1">
      <c r="B5" s="38"/>
      <c r="C5" s="22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Actuals</v>
      </c>
      <c r="K5" s="391" t="str">
        <f>IF(K6&lt;='RFPR cover'!$C$7-1,"Actuals","Forecast")</f>
        <v>Forecast</v>
      </c>
      <c r="N5" s="130"/>
    </row>
    <row r="6" spans="1:3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34" s="2" customFormat="1">
      <c r="A7" s="35"/>
      <c r="B7" s="35"/>
      <c r="C7" s="321"/>
      <c r="D7" s="430"/>
      <c r="E7" s="430"/>
      <c r="F7" s="430"/>
      <c r="G7" s="430"/>
      <c r="H7" s="430"/>
      <c r="I7" s="430"/>
      <c r="J7" s="430"/>
      <c r="K7" s="430"/>
      <c r="L7" s="35"/>
      <c r="M7" s="35"/>
      <c r="N7" s="226"/>
    </row>
    <row r="8" spans="1:34" s="2" customFormat="1">
      <c r="B8" s="12" t="s">
        <v>319</v>
      </c>
      <c r="N8" s="130"/>
    </row>
    <row r="9" spans="1:34" s="2" customFormat="1">
      <c r="B9" s="369" t="s">
        <v>318</v>
      </c>
      <c r="C9" s="369"/>
      <c r="D9" s="369"/>
      <c r="E9" s="369"/>
      <c r="F9" s="369"/>
      <c r="G9" s="369"/>
      <c r="H9" s="369"/>
      <c r="I9" s="369"/>
      <c r="J9" s="369"/>
      <c r="K9" s="369"/>
      <c r="L9" s="369"/>
      <c r="N9" s="130"/>
    </row>
    <row r="10" spans="1:34" s="35" customFormat="1">
      <c r="B10" s="429"/>
      <c r="C10" s="429"/>
      <c r="D10" s="429"/>
      <c r="E10" s="429"/>
      <c r="F10" s="429"/>
      <c r="G10" s="429"/>
      <c r="H10" s="429"/>
      <c r="I10" s="429"/>
      <c r="J10" s="429"/>
      <c r="K10" s="429"/>
      <c r="L10" s="429"/>
      <c r="M10" s="2"/>
      <c r="N10" s="130"/>
      <c r="O10" s="2"/>
      <c r="P10" s="2"/>
      <c r="Q10" s="2"/>
      <c r="R10" s="2"/>
      <c r="S10" s="2"/>
      <c r="T10" s="2"/>
      <c r="U10" s="2"/>
    </row>
    <row r="11" spans="1:34" s="2" customFormat="1">
      <c r="B11" s="201" t="s">
        <v>317</v>
      </c>
      <c r="C11" s="211" t="str">
        <f>'RFPR cover'!$C$14</f>
        <v>£m 12/13</v>
      </c>
      <c r="D11" s="694">
        <v>1991.343520189077</v>
      </c>
      <c r="E11" s="694">
        <v>2045.6186257811617</v>
      </c>
      <c r="F11" s="694">
        <v>2069.6939016218585</v>
      </c>
      <c r="G11" s="694">
        <v>2089.5306985205116</v>
      </c>
      <c r="H11" s="694">
        <v>2110.7938159077598</v>
      </c>
      <c r="I11" s="694">
        <v>2137.9666301897314</v>
      </c>
      <c r="J11" s="694">
        <v>2190.7878067111687</v>
      </c>
      <c r="K11" s="694">
        <v>2243.9435349179821</v>
      </c>
      <c r="N11" s="130"/>
    </row>
    <row r="12" spans="1:34" s="2" customFormat="1">
      <c r="N12" s="130"/>
    </row>
    <row r="13" spans="1:34" s="2" customFormat="1">
      <c r="B13" s="12" t="s">
        <v>320</v>
      </c>
      <c r="C13" s="1"/>
      <c r="D13" s="1"/>
      <c r="E13" s="1"/>
      <c r="F13" s="1"/>
      <c r="G13" s="1"/>
      <c r="H13" s="1"/>
      <c r="I13" s="1"/>
      <c r="J13" s="1"/>
      <c r="K13" s="1"/>
      <c r="N13" s="130"/>
    </row>
    <row r="14" spans="1:34" s="2" customFormat="1">
      <c r="B14" s="369" t="s">
        <v>341</v>
      </c>
      <c r="C14" s="322"/>
      <c r="D14" s="322"/>
      <c r="E14" s="322"/>
      <c r="F14" s="322"/>
      <c r="G14" s="322"/>
      <c r="H14" s="322"/>
      <c r="I14" s="322"/>
      <c r="J14" s="322"/>
      <c r="K14" s="322"/>
      <c r="L14" s="294"/>
      <c r="N14" s="130"/>
    </row>
    <row r="15" spans="1:34" s="35" customFormat="1">
      <c r="B15" s="429"/>
      <c r="C15" s="321"/>
      <c r="D15" s="321"/>
      <c r="E15" s="321"/>
      <c r="F15" s="321"/>
      <c r="G15" s="321"/>
      <c r="H15" s="321"/>
      <c r="I15" s="321"/>
      <c r="J15" s="321"/>
      <c r="K15" s="321"/>
      <c r="M15" s="2"/>
      <c r="N15" s="130"/>
      <c r="O15" s="2"/>
      <c r="P15" s="2"/>
      <c r="Q15" s="2"/>
      <c r="R15" s="2"/>
      <c r="S15" s="2"/>
      <c r="T15" s="2"/>
      <c r="U15" s="2"/>
      <c r="V15" s="2"/>
      <c r="W15" s="2"/>
      <c r="X15" s="2"/>
      <c r="Y15" s="2"/>
      <c r="Z15" s="2"/>
      <c r="AA15" s="2"/>
      <c r="AB15" s="2"/>
      <c r="AC15" s="2"/>
      <c r="AD15" s="2"/>
      <c r="AE15" s="2"/>
      <c r="AF15" s="2"/>
      <c r="AG15" s="2"/>
      <c r="AH15" s="2"/>
    </row>
    <row r="16" spans="1:34" s="2" customFormat="1">
      <c r="B16" s="393" t="s">
        <v>321</v>
      </c>
      <c r="C16" s="211" t="str">
        <f>'RFPR cover'!$C$14</f>
        <v>£m 12/13</v>
      </c>
      <c r="D16" s="581">
        <v>1928.9624132468739</v>
      </c>
      <c r="E16" s="695">
        <f>D29</f>
        <v>1991.343520189077</v>
      </c>
      <c r="F16" s="695">
        <f t="shared" ref="F16:K16" si="1">E29</f>
        <v>2045.6186257811617</v>
      </c>
      <c r="G16" s="695">
        <f t="shared" si="1"/>
        <v>2062.1836613070109</v>
      </c>
      <c r="H16" s="695">
        <f t="shared" si="1"/>
        <v>2081.0217624891056</v>
      </c>
      <c r="I16" s="695">
        <f t="shared" si="1"/>
        <v>2104.5557153416553</v>
      </c>
      <c r="J16" s="695">
        <f t="shared" si="1"/>
        <v>2133.4227606096197</v>
      </c>
      <c r="K16" s="584">
        <f t="shared" si="1"/>
        <v>2187.9872313428564</v>
      </c>
      <c r="N16" s="130"/>
    </row>
    <row r="17" spans="2:14" s="2" customFormat="1">
      <c r="B17" s="393" t="s">
        <v>322</v>
      </c>
      <c r="C17" s="211" t="str">
        <f>'RFPR cover'!$C$14</f>
        <v>£m 12/13</v>
      </c>
      <c r="D17" s="589"/>
      <c r="E17" s="590"/>
      <c r="F17" s="590"/>
      <c r="G17" s="590"/>
      <c r="H17" s="590"/>
      <c r="I17" s="590"/>
      <c r="J17" s="590"/>
      <c r="K17" s="665"/>
      <c r="N17" s="130"/>
    </row>
    <row r="18" spans="2:14" s="2" customFormat="1">
      <c r="B18" s="12" t="s">
        <v>323</v>
      </c>
      <c r="C18" s="211" t="str">
        <f>'RFPR cover'!$C$14</f>
        <v>£m 12/13</v>
      </c>
      <c r="D18" s="696">
        <f>SUM(D16:D17)</f>
        <v>1928.9624132468739</v>
      </c>
      <c r="E18" s="697">
        <f t="shared" ref="E18:K18" si="2">SUM(E16:E17)</f>
        <v>1991.343520189077</v>
      </c>
      <c r="F18" s="697">
        <f t="shared" si="2"/>
        <v>2045.6186257811617</v>
      </c>
      <c r="G18" s="697">
        <f t="shared" si="2"/>
        <v>2062.1836613070109</v>
      </c>
      <c r="H18" s="697">
        <f t="shared" si="2"/>
        <v>2081.0217624891056</v>
      </c>
      <c r="I18" s="697">
        <f t="shared" si="2"/>
        <v>2104.5557153416553</v>
      </c>
      <c r="J18" s="697">
        <f t="shared" si="2"/>
        <v>2133.4227606096197</v>
      </c>
      <c r="K18" s="698">
        <f t="shared" si="2"/>
        <v>2187.9872313428564</v>
      </c>
      <c r="N18" s="130"/>
    </row>
    <row r="19" spans="2:14" s="2" customFormat="1">
      <c r="B19" s="395" t="s">
        <v>324</v>
      </c>
      <c r="C19" s="211" t="str">
        <f>'RFPR cover'!$C$14</f>
        <v>£m 12/13</v>
      </c>
      <c r="D19" s="585">
        <v>229.35954535966573</v>
      </c>
      <c r="E19" s="585">
        <v>226.69607939694239</v>
      </c>
      <c r="F19" s="585">
        <v>200.29451252122334</v>
      </c>
      <c r="G19" s="585">
        <v>197.08926530079793</v>
      </c>
      <c r="H19" s="585">
        <v>198.96322218840302</v>
      </c>
      <c r="I19" s="585">
        <v>204.86864213773734</v>
      </c>
      <c r="J19" s="585">
        <v>212.03385258806162</v>
      </c>
      <c r="K19" s="585">
        <v>211.58667177099358</v>
      </c>
      <c r="N19" s="130"/>
    </row>
    <row r="20" spans="2:14" s="2" customFormat="1">
      <c r="B20" s="395" t="s">
        <v>331</v>
      </c>
      <c r="C20" s="211" t="str">
        <f>'RFPR cover'!$C$14</f>
        <v>£m 12/13</v>
      </c>
      <c r="D20" s="589">
        <v>0</v>
      </c>
      <c r="E20" s="589">
        <v>0</v>
      </c>
      <c r="F20" s="589">
        <v>-7.5102403148474997</v>
      </c>
      <c r="G20" s="589">
        <v>-0.74302796115948311</v>
      </c>
      <c r="H20" s="589">
        <v>2.5493656195054943</v>
      </c>
      <c r="I20" s="589">
        <v>1.9012000000000002</v>
      </c>
      <c r="J20" s="589">
        <v>1.9012000000000002</v>
      </c>
      <c r="K20" s="589">
        <v>1.5810921964599416</v>
      </c>
      <c r="N20" s="130"/>
    </row>
    <row r="21" spans="2:14" s="2" customFormat="1">
      <c r="B21" s="394" t="s">
        <v>327</v>
      </c>
      <c r="C21" s="211" t="str">
        <f>'RFPR cover'!$C$14</f>
        <v>£m 12/13</v>
      </c>
      <c r="D21" s="696">
        <f t="shared" ref="D21:K21" si="3">SUM(D19:D20)</f>
        <v>229.35954535966573</v>
      </c>
      <c r="E21" s="697">
        <f t="shared" si="3"/>
        <v>226.69607939694239</v>
      </c>
      <c r="F21" s="697">
        <f t="shared" si="3"/>
        <v>192.78427220637585</v>
      </c>
      <c r="G21" s="697">
        <f t="shared" si="3"/>
        <v>196.34623733963846</v>
      </c>
      <c r="H21" s="697">
        <f t="shared" si="3"/>
        <v>201.51258780790852</v>
      </c>
      <c r="I21" s="697">
        <f t="shared" si="3"/>
        <v>206.76984213773733</v>
      </c>
      <c r="J21" s="697">
        <f t="shared" si="3"/>
        <v>213.93505258806161</v>
      </c>
      <c r="K21" s="698">
        <f t="shared" si="3"/>
        <v>213.16776396745351</v>
      </c>
      <c r="N21" s="130"/>
    </row>
    <row r="22" spans="2:14" s="2" customFormat="1">
      <c r="B22" s="395" t="s">
        <v>325</v>
      </c>
      <c r="C22" s="211" t="str">
        <f>'RFPR cover'!$C$14</f>
        <v>£m 12/13</v>
      </c>
      <c r="D22" s="585">
        <v>-166.97843841746283</v>
      </c>
      <c r="E22" s="585">
        <v>-172.42097380485777</v>
      </c>
      <c r="F22" s="585">
        <v>-176.21923668052656</v>
      </c>
      <c r="G22" s="585">
        <v>-177.25246840214459</v>
      </c>
      <c r="H22" s="585">
        <v>-177.70010480115499</v>
      </c>
      <c r="I22" s="585">
        <v>-177.69582785576563</v>
      </c>
      <c r="J22" s="585">
        <v>-159.21267606662406</v>
      </c>
      <c r="K22" s="585">
        <v>-160.06867572669887</v>
      </c>
      <c r="N22" s="130"/>
    </row>
    <row r="23" spans="2:14" s="2" customFormat="1">
      <c r="B23" s="395" t="s">
        <v>326</v>
      </c>
      <c r="C23" s="211" t="str">
        <f>'RFPR cover'!$C$14</f>
        <v>£m 12/13</v>
      </c>
      <c r="D23" s="589">
        <v>0</v>
      </c>
      <c r="E23" s="589">
        <v>0</v>
      </c>
      <c r="F23" s="589">
        <v>0</v>
      </c>
      <c r="G23" s="589">
        <v>-0.25566775539906383</v>
      </c>
      <c r="H23" s="589">
        <v>-0.27853015420397098</v>
      </c>
      <c r="I23" s="589">
        <v>-0.20696901400732554</v>
      </c>
      <c r="J23" s="589">
        <v>-0.15790578820087392</v>
      </c>
      <c r="K23" s="589">
        <v>-0.1125039971560978</v>
      </c>
      <c r="N23" s="130"/>
    </row>
    <row r="24" spans="2:14" s="2" customFormat="1">
      <c r="B24" s="394" t="s">
        <v>328</v>
      </c>
      <c r="C24" s="211" t="str">
        <f>'RFPR cover'!$C$14</f>
        <v>£m 12/13</v>
      </c>
      <c r="D24" s="696">
        <f t="shared" ref="D24:K24" si="4">SUM(D22:D23)</f>
        <v>-166.97843841746283</v>
      </c>
      <c r="E24" s="697">
        <f t="shared" si="4"/>
        <v>-172.42097380485777</v>
      </c>
      <c r="F24" s="697">
        <f t="shared" si="4"/>
        <v>-176.21923668052656</v>
      </c>
      <c r="G24" s="697">
        <f t="shared" si="4"/>
        <v>-177.50813615754365</v>
      </c>
      <c r="H24" s="697">
        <f t="shared" si="4"/>
        <v>-177.97863495535896</v>
      </c>
      <c r="I24" s="697">
        <f t="shared" si="4"/>
        <v>-177.90279686977294</v>
      </c>
      <c r="J24" s="697">
        <f t="shared" si="4"/>
        <v>-159.37058185482493</v>
      </c>
      <c r="K24" s="698">
        <f t="shared" si="4"/>
        <v>-160.18117972385497</v>
      </c>
      <c r="N24" s="130"/>
    </row>
    <row r="25" spans="2:14" s="2" customFormat="1">
      <c r="B25" s="396" t="s">
        <v>264</v>
      </c>
      <c r="C25" s="211" t="str">
        <f>'RFPR cover'!$C$14</f>
        <v>£m 12/13</v>
      </c>
      <c r="D25" s="699"/>
      <c r="E25" s="700"/>
      <c r="F25" s="700"/>
      <c r="G25" s="700"/>
      <c r="H25" s="700"/>
      <c r="I25" s="700"/>
      <c r="J25" s="700"/>
      <c r="K25" s="701"/>
      <c r="N25" s="130"/>
    </row>
    <row r="26" spans="2:14" s="2" customFormat="1">
      <c r="B26" s="396" t="s">
        <v>264</v>
      </c>
      <c r="C26" s="211" t="str">
        <f>'RFPR cover'!$C$14</f>
        <v>£m 12/13</v>
      </c>
      <c r="D26" s="699"/>
      <c r="E26" s="700"/>
      <c r="F26" s="700"/>
      <c r="G26" s="700"/>
      <c r="H26" s="700"/>
      <c r="I26" s="700"/>
      <c r="J26" s="700"/>
      <c r="K26" s="701"/>
      <c r="N26" s="130"/>
    </row>
    <row r="27" spans="2:14" s="2" customFormat="1">
      <c r="B27" s="396" t="s">
        <v>264</v>
      </c>
      <c r="C27" s="211" t="str">
        <f>'RFPR cover'!$C$14</f>
        <v>£m 12/13</v>
      </c>
      <c r="D27" s="699"/>
      <c r="E27" s="700"/>
      <c r="F27" s="700"/>
      <c r="G27" s="700"/>
      <c r="H27" s="700"/>
      <c r="I27" s="700"/>
      <c r="J27" s="700"/>
      <c r="K27" s="701"/>
      <c r="N27" s="130"/>
    </row>
    <row r="28" spans="2:14" s="2" customFormat="1">
      <c r="B28" s="394" t="s">
        <v>329</v>
      </c>
      <c r="C28" s="211" t="str">
        <f>'RFPR cover'!$C$14</f>
        <v>£m 12/13</v>
      </c>
      <c r="D28" s="702">
        <f>SUM(D25:D27)</f>
        <v>0</v>
      </c>
      <c r="E28" s="703">
        <f t="shared" ref="E28:K28" si="5">SUM(E25:E27)</f>
        <v>0</v>
      </c>
      <c r="F28" s="703">
        <f t="shared" si="5"/>
        <v>0</v>
      </c>
      <c r="G28" s="703">
        <f t="shared" si="5"/>
        <v>0</v>
      </c>
      <c r="H28" s="703">
        <f t="shared" si="5"/>
        <v>0</v>
      </c>
      <c r="I28" s="703">
        <f t="shared" si="5"/>
        <v>0</v>
      </c>
      <c r="J28" s="703">
        <f t="shared" si="5"/>
        <v>0</v>
      </c>
      <c r="K28" s="704">
        <f t="shared" si="5"/>
        <v>0</v>
      </c>
      <c r="N28" s="130"/>
    </row>
    <row r="29" spans="2:14" s="2" customFormat="1">
      <c r="B29" s="12" t="s">
        <v>330</v>
      </c>
      <c r="C29" s="211" t="str">
        <f>'RFPR cover'!$C$14</f>
        <v>£m 12/13</v>
      </c>
      <c r="D29" s="705">
        <f>D18+D21+D24+D28</f>
        <v>1991.343520189077</v>
      </c>
      <c r="E29" s="706">
        <f t="shared" ref="E29:K29" si="6">E18+E21+E24+E28</f>
        <v>2045.6186257811617</v>
      </c>
      <c r="F29" s="706">
        <f t="shared" si="6"/>
        <v>2062.1836613070109</v>
      </c>
      <c r="G29" s="706">
        <f t="shared" si="6"/>
        <v>2081.0217624891056</v>
      </c>
      <c r="H29" s="706">
        <f t="shared" si="6"/>
        <v>2104.5557153416553</v>
      </c>
      <c r="I29" s="706">
        <f t="shared" si="6"/>
        <v>2133.4227606096197</v>
      </c>
      <c r="J29" s="706">
        <f t="shared" si="6"/>
        <v>2187.9872313428564</v>
      </c>
      <c r="K29" s="707">
        <f t="shared" si="6"/>
        <v>2240.9738155864547</v>
      </c>
      <c r="N29" s="130"/>
    </row>
    <row r="30" spans="2:14" s="2" customFormat="1">
      <c r="B30" s="12"/>
      <c r="C30" s="211"/>
      <c r="D30" s="211"/>
      <c r="E30" s="211"/>
      <c r="F30" s="211"/>
      <c r="G30" s="211"/>
      <c r="H30" s="211"/>
      <c r="I30" s="211"/>
      <c r="J30" s="211"/>
      <c r="K30" s="211"/>
      <c r="L30" s="211"/>
      <c r="N30" s="130"/>
    </row>
    <row r="31" spans="2:14" s="2" customFormat="1">
      <c r="B31" s="12" t="s">
        <v>501</v>
      </c>
      <c r="C31" s="211" t="str">
        <f>'RFPR cover'!$C$14</f>
        <v>£m 12/13</v>
      </c>
      <c r="D31" s="705">
        <f t="shared" ref="D31:K31" si="7">(D20+D23+D28)</f>
        <v>0</v>
      </c>
      <c r="E31" s="705">
        <f t="shared" si="7"/>
        <v>0</v>
      </c>
      <c r="F31" s="705">
        <f t="shared" si="7"/>
        <v>-7.5102403148474997</v>
      </c>
      <c r="G31" s="705">
        <f t="shared" si="7"/>
        <v>-0.99869571655854694</v>
      </c>
      <c r="H31" s="705">
        <f t="shared" si="7"/>
        <v>2.2708354653015235</v>
      </c>
      <c r="I31" s="705">
        <f t="shared" si="7"/>
        <v>1.6942309859926747</v>
      </c>
      <c r="J31" s="705">
        <f t="shared" si="7"/>
        <v>1.7432942117991264</v>
      </c>
      <c r="K31" s="705">
        <f t="shared" si="7"/>
        <v>1.4685881993038439</v>
      </c>
      <c r="L31" s="211"/>
      <c r="N31" s="130"/>
    </row>
    <row r="32" spans="2:14" s="2" customFormat="1">
      <c r="B32" s="12" t="s">
        <v>502</v>
      </c>
      <c r="C32" s="211"/>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TRUE</v>
      </c>
      <c r="J32" s="514" t="str">
        <f>IF(J5="Actuals",IF(ABS((J29-SUM($D$31:J31))-J11)&lt;'RFPR cover'!$F$14,"TRUE","FALSE"),"NA")</f>
        <v>TRUE</v>
      </c>
      <c r="K32" s="514" t="str">
        <f>IF(K5="Actuals",IF(ABS((K29-SUM($D$31:K31))-K11)&lt;'RFPR cover'!$F$14,"TRUE","FALSE"),"NA")</f>
        <v>NA</v>
      </c>
      <c r="L32" s="211"/>
      <c r="N32" s="130"/>
    </row>
    <row r="33" spans="2:14" s="35" customFormat="1">
      <c r="B33" s="51"/>
      <c r="C33" s="478"/>
      <c r="D33" s="479"/>
      <c r="E33" s="479"/>
      <c r="F33" s="479"/>
      <c r="G33" s="479"/>
      <c r="H33" s="479"/>
      <c r="I33" s="479"/>
      <c r="J33" s="479"/>
      <c r="K33" s="479"/>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1.2220292224379279</v>
      </c>
      <c r="J34" s="113">
        <f>Data!I$35</f>
        <v>1.3448452028200675</v>
      </c>
      <c r="K34" s="113">
        <f>Data!J$35</f>
        <v>1.5109267395524675</v>
      </c>
      <c r="N34" s="226"/>
    </row>
    <row r="35" spans="2:14" s="31" customFormat="1">
      <c r="B35" s="37" t="s">
        <v>366</v>
      </c>
      <c r="C35" s="268" t="s">
        <v>127</v>
      </c>
      <c r="D35" s="113">
        <f>Data!C$34</f>
        <v>1.0603167467048125</v>
      </c>
      <c r="E35" s="114">
        <f>Data!D$34</f>
        <v>1.0830366813119445</v>
      </c>
      <c r="F35" s="114">
        <f>Data!E$34</f>
        <v>1.1235639113109226</v>
      </c>
      <c r="G35" s="114">
        <f>Data!F$34</f>
        <v>1.1578951670583426</v>
      </c>
      <c r="H35" s="114">
        <f>Data!G$34</f>
        <v>1.1878696229692449</v>
      </c>
      <c r="I35" s="114">
        <f>Data!H$34</f>
        <v>1.2022764892203943</v>
      </c>
      <c r="J35" s="114">
        <f>Data!I$34</f>
        <v>1.2717196280780627</v>
      </c>
      <c r="K35" s="115">
        <f>Data!J$34</f>
        <v>1.4354429345049555</v>
      </c>
      <c r="L35" s="235"/>
      <c r="N35" s="213"/>
    </row>
    <row r="36" spans="2:14" s="31" customFormat="1">
      <c r="B36" s="172" t="s">
        <v>499</v>
      </c>
      <c r="C36" s="268" t="s">
        <v>127</v>
      </c>
      <c r="D36" s="837">
        <f>INDEX(Data!$F$14:$F$30,MATCH($D$6-1,Data!$C$14:$C$30,0),0)/IF('RFPR cover'!$C$6="ED1",Data!$E$17,Data!$E$14)</f>
        <v>1.0526208235414325</v>
      </c>
      <c r="E36" s="838"/>
      <c r="F36" s="838"/>
      <c r="G36" s="838"/>
      <c r="H36" s="838"/>
      <c r="I36" s="838"/>
      <c r="J36" s="838"/>
      <c r="K36" s="838"/>
      <c r="L36" s="235"/>
      <c r="N36" s="213"/>
    </row>
    <row r="37" spans="2:14" s="35" customFormat="1">
      <c r="B37" s="51"/>
      <c r="C37" s="478"/>
      <c r="D37" s="479"/>
      <c r="E37" s="479"/>
      <c r="F37" s="479"/>
      <c r="G37" s="479"/>
      <c r="H37" s="479"/>
      <c r="I37" s="479"/>
      <c r="J37" s="479"/>
      <c r="K37" s="479"/>
      <c r="N37" s="226"/>
    </row>
    <row r="38" spans="2:14" s="2" customFormat="1">
      <c r="B38" s="12" t="s">
        <v>330</v>
      </c>
      <c r="C38" s="267" t="s">
        <v>128</v>
      </c>
      <c r="D38" s="705">
        <f t="shared" ref="D38:K38" si="8">D29*D34</f>
        <v>2126.2429535072906</v>
      </c>
      <c r="E38" s="705">
        <f t="shared" si="8"/>
        <v>2256.9316359645431</v>
      </c>
      <c r="F38" s="705">
        <f t="shared" si="8"/>
        <v>2351.4835659738674</v>
      </c>
      <c r="G38" s="705">
        <f t="shared" si="8"/>
        <v>2438.029582987645</v>
      </c>
      <c r="H38" s="705">
        <f t="shared" si="8"/>
        <v>2516.7794106834308</v>
      </c>
      <c r="I38" s="705">
        <f t="shared" si="8"/>
        <v>2607.1049572791512</v>
      </c>
      <c r="J38" s="705">
        <f t="shared" si="8"/>
        <v>2942.5041319030015</v>
      </c>
      <c r="K38" s="705">
        <f t="shared" si="8"/>
        <v>3385.9472606064946</v>
      </c>
      <c r="N38" s="130"/>
    </row>
    <row r="39" spans="2:14" s="2" customFormat="1">
      <c r="B39" s="12"/>
      <c r="C39" s="211"/>
      <c r="D39" s="211"/>
      <c r="E39" s="211"/>
      <c r="F39" s="211"/>
      <c r="G39" s="211"/>
      <c r="H39" s="211"/>
      <c r="I39" s="211"/>
      <c r="J39" s="211"/>
      <c r="K39" s="211"/>
      <c r="N39" s="130"/>
    </row>
    <row r="40" spans="2:14" s="2" customFormat="1">
      <c r="B40" s="505" t="s">
        <v>332</v>
      </c>
      <c r="C40" s="211" t="s">
        <v>335</v>
      </c>
      <c r="D40" s="409">
        <f>INDEX(Data!$K$73:$T$100,MATCH('RFPR cover'!$C$5,Data!$B$73:$B$100,0),MATCH('R9 - RAV'!D$6,Data!$K$72:$T$72,0))</f>
        <v>2.5499999999999998E-2</v>
      </c>
      <c r="E40" s="410">
        <f>INDEX(Data!$K$73:$T$100,MATCH('RFPR cover'!$C$5,Data!$B$73:$B$100,0),MATCH('R9 - RAV'!E$6,Data!$K$72:$T$72,0))</f>
        <v>2.3799999999999998E-2</v>
      </c>
      <c r="F40" s="410">
        <f>INDEX(Data!$K$73:$T$100,MATCH('RFPR cover'!$C$5,Data!$B$73:$B$100,0),MATCH('R9 - RAV'!F$6,Data!$K$72:$T$72,0))</f>
        <v>2.2200000000000001E-2</v>
      </c>
      <c r="G40" s="410">
        <f>INDEX(Data!$K$73:$T$100,MATCH('RFPR cover'!$C$5,Data!$B$73:$B$100,0),MATCH('R9 - RAV'!G$6,Data!$K$72:$T$72,0))</f>
        <v>1.9099999999999999E-2</v>
      </c>
      <c r="H40" s="410">
        <f>INDEX(Data!$K$73:$T$100,MATCH('RFPR cover'!$C$5,Data!$B$73:$B$100,0),MATCH('R9 - RAV'!H$6,Data!$K$72:$T$72,0))</f>
        <v>1.5800000000000002E-2</v>
      </c>
      <c r="I40" s="410">
        <f>INDEX(Data!$K$73:$T$100,MATCH('RFPR cover'!$C$5,Data!$B$73:$B$100,0),MATCH('R9 - RAV'!I$6,Data!$K$72:$T$72,0))</f>
        <v>1.09E-2</v>
      </c>
      <c r="J40" s="410">
        <f>INDEX(Data!$K$73:$T$100,MATCH('RFPR cover'!$C$5,Data!$B$73:$B$100,0),MATCH('R9 - RAV'!J$6,Data!$K$72:$T$72,0))</f>
        <v>7.6E-3</v>
      </c>
      <c r="K40" s="411">
        <f>INDEX(Data!$K$73:$T$100,MATCH('RFPR cover'!$C$5,Data!$B$73:$B$100,0),MATCH('R9 - RAV'!K$6,Data!$K$72:$T$72,0))</f>
        <v>3.8999999999999998E-3</v>
      </c>
      <c r="N40" s="130"/>
    </row>
    <row r="41" spans="2:14" s="2" customFormat="1">
      <c r="B41" s="505" t="s">
        <v>333</v>
      </c>
      <c r="C41" s="211" t="s">
        <v>335</v>
      </c>
      <c r="D41" s="412">
        <f>'RFPR cover'!$C$10</f>
        <v>6.4000000000000001E-2</v>
      </c>
      <c r="E41" s="413">
        <f>'RFPR cover'!$C$10</f>
        <v>6.4000000000000001E-2</v>
      </c>
      <c r="F41" s="413">
        <f>'RFPR cover'!$C$10</f>
        <v>6.4000000000000001E-2</v>
      </c>
      <c r="G41" s="413">
        <f>'RFPR cover'!$C$10</f>
        <v>6.4000000000000001E-2</v>
      </c>
      <c r="H41" s="413">
        <f>'RFPR cover'!$C$10</f>
        <v>6.4000000000000001E-2</v>
      </c>
      <c r="I41" s="413">
        <f>'RFPR cover'!$C$10</f>
        <v>6.4000000000000001E-2</v>
      </c>
      <c r="J41" s="413">
        <f>'RFPR cover'!$C$10</f>
        <v>6.4000000000000001E-2</v>
      </c>
      <c r="K41" s="414">
        <f>'RFPR cover'!$C$10</f>
        <v>6.4000000000000001E-2</v>
      </c>
      <c r="N41" s="130"/>
    </row>
    <row r="42" spans="2:14" s="2" customFormat="1">
      <c r="B42" s="505" t="s">
        <v>334</v>
      </c>
      <c r="C42" s="211" t="s">
        <v>7</v>
      </c>
      <c r="D42" s="415">
        <f>'RFPR cover'!$C$12</f>
        <v>0.65</v>
      </c>
      <c r="E42" s="416">
        <f>'RFPR cover'!$C$12</f>
        <v>0.65</v>
      </c>
      <c r="F42" s="416">
        <f>'RFPR cover'!$C$12</f>
        <v>0.65</v>
      </c>
      <c r="G42" s="416">
        <f>'RFPR cover'!$C$12</f>
        <v>0.65</v>
      </c>
      <c r="H42" s="416">
        <f>'RFPR cover'!$C$12</f>
        <v>0.65</v>
      </c>
      <c r="I42" s="416">
        <f>'RFPR cover'!$C$12</f>
        <v>0.65</v>
      </c>
      <c r="J42" s="416">
        <f>'RFPR cover'!$C$12</f>
        <v>0.65</v>
      </c>
      <c r="K42" s="417">
        <f>'RFPR cover'!$C$12</f>
        <v>0.65</v>
      </c>
      <c r="N42" s="130"/>
    </row>
    <row r="43" spans="2:14">
      <c r="B43" s="201" t="s">
        <v>269</v>
      </c>
      <c r="C43" s="397" t="s">
        <v>335</v>
      </c>
      <c r="D43" s="406">
        <f t="shared" ref="D43:K43" si="9">D40*D42+D41*(1-D42)</f>
        <v>3.8974999999999996E-2</v>
      </c>
      <c r="E43" s="407">
        <f t="shared" si="9"/>
        <v>3.7870000000000001E-2</v>
      </c>
      <c r="F43" s="407">
        <f t="shared" si="9"/>
        <v>3.6830000000000002E-2</v>
      </c>
      <c r="G43" s="407">
        <f t="shared" si="9"/>
        <v>3.4814999999999999E-2</v>
      </c>
      <c r="H43" s="407">
        <f t="shared" si="9"/>
        <v>3.2670000000000005E-2</v>
      </c>
      <c r="I43" s="407">
        <f t="shared" si="9"/>
        <v>2.9485000000000001E-2</v>
      </c>
      <c r="J43" s="407">
        <f t="shared" si="9"/>
        <v>2.734E-2</v>
      </c>
      <c r="K43" s="408">
        <f t="shared" si="9"/>
        <v>2.4934999999999999E-2</v>
      </c>
      <c r="L43" s="212"/>
    </row>
    <row r="44" spans="2:14">
      <c r="C44" s="224"/>
      <c r="D44" s="219"/>
      <c r="E44" s="219"/>
      <c r="F44" s="219"/>
      <c r="G44" s="219"/>
      <c r="H44" s="219"/>
      <c r="I44" s="219"/>
      <c r="J44" s="219"/>
      <c r="K44" s="219"/>
    </row>
    <row r="45" spans="2:14">
      <c r="B45" s="372" t="s">
        <v>336</v>
      </c>
      <c r="C45" s="397" t="str">
        <f>'RFPR cover'!$C$14</f>
        <v>£m 12/13</v>
      </c>
      <c r="D45" s="96">
        <f t="shared" ref="D45:K45" si="10">D47*D42</f>
        <v>1249.8215588777214</v>
      </c>
      <c r="E45" s="97">
        <f t="shared" si="10"/>
        <v>1287.7543966498065</v>
      </c>
      <c r="F45" s="97">
        <f t="shared" si="10"/>
        <v>1311.2287326269497</v>
      </c>
      <c r="G45" s="97">
        <f t="shared" si="10"/>
        <v>1323.7874529152255</v>
      </c>
      <c r="H45" s="97">
        <f t="shared" si="10"/>
        <v>1338.6739704975123</v>
      </c>
      <c r="I45" s="97">
        <f t="shared" si="10"/>
        <v>1357.4847354705412</v>
      </c>
      <c r="J45" s="97">
        <f t="shared" si="10"/>
        <v>1385.5342684252064</v>
      </c>
      <c r="K45" s="98">
        <f t="shared" si="10"/>
        <v>1421.6935857165818</v>
      </c>
    </row>
    <row r="46" spans="2:14">
      <c r="B46" s="372" t="s">
        <v>232</v>
      </c>
      <c r="C46" s="397" t="str">
        <f>'RFPR cover'!$C$14</f>
        <v>£m 12/13</v>
      </c>
      <c r="D46" s="520">
        <f t="shared" ref="D46:K46" si="11">D47*(1-D42)</f>
        <v>672.98083939569608</v>
      </c>
      <c r="E46" s="521">
        <f t="shared" si="11"/>
        <v>693.40621358066505</v>
      </c>
      <c r="F46" s="521">
        <f t="shared" si="11"/>
        <v>706.04624064528059</v>
      </c>
      <c r="G46" s="521">
        <f t="shared" si="11"/>
        <v>712.80862849281357</v>
      </c>
      <c r="H46" s="521">
        <f t="shared" si="11"/>
        <v>720.82444565250648</v>
      </c>
      <c r="I46" s="521">
        <f t="shared" si="11"/>
        <v>730.9533190995221</v>
      </c>
      <c r="J46" s="521">
        <f t="shared" si="11"/>
        <v>746.05691376741879</v>
      </c>
      <c r="K46" s="522">
        <f t="shared" si="11"/>
        <v>765.52731538585158</v>
      </c>
    </row>
    <row r="47" spans="2:14">
      <c r="B47" s="201" t="s">
        <v>231</v>
      </c>
      <c r="C47" s="211" t="str">
        <f>'RFPR cover'!$C$14</f>
        <v>£m 12/13</v>
      </c>
      <c r="D47" s="103">
        <f t="shared" ref="D47:K47" si="12">AVERAGE(D16,D29*(1/(1+D43)))</f>
        <v>1922.8023982734176</v>
      </c>
      <c r="E47" s="104">
        <f t="shared" si="12"/>
        <v>1981.1606102304715</v>
      </c>
      <c r="F47" s="104">
        <f t="shared" si="12"/>
        <v>2017.2749732722302</v>
      </c>
      <c r="G47" s="104">
        <f t="shared" si="12"/>
        <v>2036.596081408039</v>
      </c>
      <c r="H47" s="104">
        <f t="shared" si="12"/>
        <v>2059.4984161500188</v>
      </c>
      <c r="I47" s="104">
        <f t="shared" si="12"/>
        <v>2088.4380545700633</v>
      </c>
      <c r="J47" s="104">
        <f t="shared" si="12"/>
        <v>2131.5911821926252</v>
      </c>
      <c r="K47" s="105">
        <f t="shared" si="12"/>
        <v>2187.2209011024333</v>
      </c>
      <c r="N47" s="215"/>
    </row>
    <row r="48" spans="2:14">
      <c r="B48" s="201"/>
      <c r="C48" s="211"/>
      <c r="D48" s="211"/>
      <c r="E48" s="211"/>
      <c r="F48" s="211"/>
      <c r="G48" s="211"/>
      <c r="H48" s="211"/>
      <c r="I48" s="211"/>
      <c r="J48" s="211"/>
      <c r="K48" s="211"/>
      <c r="N48" s="215"/>
    </row>
    <row r="49" spans="2:15">
      <c r="B49" s="372" t="s">
        <v>337</v>
      </c>
      <c r="C49" s="397" t="str">
        <f>'RFPR cover'!$C$14</f>
        <v>£m 12/13</v>
      </c>
      <c r="D49" s="708">
        <f>D40*D45</f>
        <v>31.870449751381894</v>
      </c>
      <c r="E49" s="709">
        <f t="shared" ref="D49:K50" si="13">E40*E45</f>
        <v>30.648554640265392</v>
      </c>
      <c r="F49" s="709">
        <f t="shared" si="13"/>
        <v>29.109277864318287</v>
      </c>
      <c r="G49" s="709">
        <f t="shared" si="13"/>
        <v>25.284340350680804</v>
      </c>
      <c r="H49" s="709">
        <f t="shared" si="13"/>
        <v>21.151048733860698</v>
      </c>
      <c r="I49" s="709">
        <f t="shared" si="13"/>
        <v>14.796583616628899</v>
      </c>
      <c r="J49" s="709">
        <f t="shared" si="13"/>
        <v>10.530060440031569</v>
      </c>
      <c r="K49" s="710">
        <f t="shared" si="13"/>
        <v>5.5446049842946685</v>
      </c>
    </row>
    <row r="50" spans="2:15">
      <c r="B50" s="372" t="s">
        <v>229</v>
      </c>
      <c r="C50" s="397" t="str">
        <f>'RFPR cover'!$C$14</f>
        <v>£m 12/13</v>
      </c>
      <c r="D50" s="93">
        <f t="shared" si="13"/>
        <v>43.070773721324549</v>
      </c>
      <c r="E50" s="94">
        <f t="shared" si="13"/>
        <v>44.377997669162568</v>
      </c>
      <c r="F50" s="94">
        <f t="shared" si="13"/>
        <v>45.186959401297962</v>
      </c>
      <c r="G50" s="94">
        <f t="shared" si="13"/>
        <v>45.619752223540068</v>
      </c>
      <c r="H50" s="94">
        <f t="shared" si="13"/>
        <v>46.132764521760414</v>
      </c>
      <c r="I50" s="94">
        <f t="shared" si="13"/>
        <v>46.781012422369415</v>
      </c>
      <c r="J50" s="94">
        <f t="shared" si="13"/>
        <v>47.747642481114802</v>
      </c>
      <c r="K50" s="95">
        <f t="shared" si="13"/>
        <v>48.993748184694503</v>
      </c>
      <c r="N50" s="215"/>
    </row>
    <row r="51" spans="2:15">
      <c r="B51" s="201" t="s">
        <v>339</v>
      </c>
      <c r="C51" s="397" t="str">
        <f>'RFPR cover'!$C$14</f>
        <v>£m 12/13</v>
      </c>
      <c r="D51" s="103">
        <f>SUM(D49:D50)</f>
        <v>74.94122347270644</v>
      </c>
      <c r="E51" s="104">
        <f t="shared" ref="E51:K51" si="14">SUM(E49:E50)</f>
        <v>75.026552309427956</v>
      </c>
      <c r="F51" s="104">
        <f t="shared" si="14"/>
        <v>74.296237265616242</v>
      </c>
      <c r="G51" s="104">
        <f t="shared" si="14"/>
        <v>70.904092574220869</v>
      </c>
      <c r="H51" s="104">
        <f t="shared" si="14"/>
        <v>67.283813255621112</v>
      </c>
      <c r="I51" s="104">
        <f t="shared" si="14"/>
        <v>61.577596038998315</v>
      </c>
      <c r="J51" s="104">
        <f t="shared" si="14"/>
        <v>58.277702921146371</v>
      </c>
      <c r="K51" s="105">
        <f t="shared" si="14"/>
        <v>54.538353168989175</v>
      </c>
      <c r="N51" s="215"/>
    </row>
    <row r="53" spans="2:15" s="31" customFormat="1">
      <c r="B53" s="372" t="s">
        <v>336</v>
      </c>
      <c r="C53" s="267" t="s">
        <v>128</v>
      </c>
      <c r="D53" s="96">
        <f t="shared" ref="D53:K54" si="15">D$35*D45</f>
        <v>1325.2067292707627</v>
      </c>
      <c r="E53" s="97">
        <f t="shared" si="15"/>
        <v>1394.685248092472</v>
      </c>
      <c r="F53" s="97">
        <f t="shared" si="15"/>
        <v>1473.2492834535997</v>
      </c>
      <c r="G53" s="97">
        <f t="shared" si="15"/>
        <v>1532.8070939430129</v>
      </c>
      <c r="H53" s="97">
        <f t="shared" si="15"/>
        <v>1590.1701446136221</v>
      </c>
      <c r="I53" s="97">
        <f t="shared" si="15"/>
        <v>1632.0719819317978</v>
      </c>
      <c r="J53" s="97">
        <f t="shared" si="15"/>
        <v>1762.0111245311141</v>
      </c>
      <c r="K53" s="98">
        <f t="shared" si="15"/>
        <v>2040.7600126478826</v>
      </c>
      <c r="L53" s="235"/>
      <c r="N53" s="213"/>
    </row>
    <row r="54" spans="2:15" s="31" customFormat="1">
      <c r="B54" s="372" t="s">
        <v>232</v>
      </c>
      <c r="C54" s="267" t="s">
        <v>128</v>
      </c>
      <c r="D54" s="520">
        <f t="shared" si="15"/>
        <v>713.57285422271832</v>
      </c>
      <c r="E54" s="521">
        <f t="shared" si="15"/>
        <v>750.98436435748488</v>
      </c>
      <c r="F54" s="521">
        <f t="shared" si="15"/>
        <v>793.28807570578431</v>
      </c>
      <c r="G54" s="521">
        <f t="shared" si="15"/>
        <v>825.35766596931444</v>
      </c>
      <c r="H54" s="521">
        <f t="shared" si="15"/>
        <v>856.24546248425781</v>
      </c>
      <c r="I54" s="521">
        <f t="shared" si="15"/>
        <v>878.80799027096805</v>
      </c>
      <c r="J54" s="521">
        <f t="shared" si="15"/>
        <v>948.77522090136915</v>
      </c>
      <c r="K54" s="522">
        <f t="shared" si="15"/>
        <v>1098.8707760411673</v>
      </c>
      <c r="L54" s="235"/>
      <c r="N54" s="213"/>
    </row>
    <row r="55" spans="2:15">
      <c r="B55" s="201" t="s">
        <v>338</v>
      </c>
      <c r="C55" s="267" t="s">
        <v>128</v>
      </c>
      <c r="D55" s="711">
        <f>SUM(D53:D54)</f>
        <v>2038.7795834934809</v>
      </c>
      <c r="E55" s="712">
        <f t="shared" ref="E55:K55" si="16">SUM(E53:E54)</f>
        <v>2145.6696124499567</v>
      </c>
      <c r="F55" s="712">
        <f t="shared" si="16"/>
        <v>2266.5373591593839</v>
      </c>
      <c r="G55" s="712">
        <f t="shared" si="16"/>
        <v>2358.1647599123271</v>
      </c>
      <c r="H55" s="712">
        <f t="shared" si="16"/>
        <v>2446.4156070978797</v>
      </c>
      <c r="I55" s="712">
        <f t="shared" si="16"/>
        <v>2510.8799722027661</v>
      </c>
      <c r="J55" s="712">
        <f t="shared" si="16"/>
        <v>2710.7863454324834</v>
      </c>
      <c r="K55" s="713">
        <f t="shared" si="16"/>
        <v>3139.63078868905</v>
      </c>
    </row>
    <row r="56" spans="2:15" s="31" customFormat="1">
      <c r="B56" s="201"/>
      <c r="C56" s="211"/>
      <c r="D56" s="211"/>
      <c r="E56" s="211"/>
      <c r="F56" s="211"/>
      <c r="G56" s="211"/>
      <c r="H56" s="211"/>
      <c r="I56" s="211"/>
      <c r="J56" s="211"/>
      <c r="K56" s="211"/>
      <c r="L56" s="235"/>
      <c r="N56" s="213"/>
    </row>
    <row r="57" spans="2:15" s="31" customFormat="1">
      <c r="B57" s="372" t="s">
        <v>337</v>
      </c>
      <c r="C57" s="267" t="s">
        <v>128</v>
      </c>
      <c r="D57" s="96">
        <f t="shared" ref="D57:K58" si="17">D$35*D49</f>
        <v>33.792771596404449</v>
      </c>
      <c r="E57" s="97">
        <f t="shared" si="17"/>
        <v>33.193508904600826</v>
      </c>
      <c r="F57" s="97">
        <f t="shared" si="17"/>
        <v>32.706134092669913</v>
      </c>
      <c r="G57" s="97">
        <f t="shared" si="17"/>
        <v>29.276615494311542</v>
      </c>
      <c r="H57" s="97">
        <f t="shared" si="17"/>
        <v>25.124688284895232</v>
      </c>
      <c r="I57" s="97">
        <f t="shared" si="17"/>
        <v>17.789584603056596</v>
      </c>
      <c r="J57" s="97">
        <f t="shared" si="17"/>
        <v>13.391284546436468</v>
      </c>
      <c r="K57" s="98">
        <f t="shared" si="17"/>
        <v>7.9589640493267417</v>
      </c>
      <c r="L57" s="235"/>
      <c r="N57" s="213"/>
    </row>
    <row r="58" spans="2:15">
      <c r="B58" s="372" t="s">
        <v>238</v>
      </c>
      <c r="C58" s="267" t="s">
        <v>128</v>
      </c>
      <c r="D58" s="714">
        <f t="shared" si="17"/>
        <v>45.668662670253973</v>
      </c>
      <c r="E58" s="715">
        <f t="shared" si="17"/>
        <v>48.062999318879037</v>
      </c>
      <c r="F58" s="715">
        <f t="shared" si="17"/>
        <v>50.770436845170202</v>
      </c>
      <c r="G58" s="715">
        <f t="shared" si="17"/>
        <v>52.822890622036127</v>
      </c>
      <c r="H58" s="715">
        <f t="shared" si="17"/>
        <v>54.7997095989925</v>
      </c>
      <c r="I58" s="715">
        <f t="shared" si="17"/>
        <v>56.243711377341953</v>
      </c>
      <c r="J58" s="715">
        <f t="shared" si="17"/>
        <v>60.721614137687624</v>
      </c>
      <c r="K58" s="716">
        <f t="shared" si="17"/>
        <v>70.32772966663471</v>
      </c>
    </row>
    <row r="59" spans="2:15">
      <c r="B59" s="201" t="s">
        <v>339</v>
      </c>
      <c r="C59" s="267" t="s">
        <v>128</v>
      </c>
      <c r="D59" s="103">
        <f t="shared" ref="D59:K59" si="18">SUM(D57:D58)</f>
        <v>79.461434266658415</v>
      </c>
      <c r="E59" s="104">
        <f t="shared" si="18"/>
        <v>81.256508223479869</v>
      </c>
      <c r="F59" s="104">
        <f t="shared" si="18"/>
        <v>83.476570937840108</v>
      </c>
      <c r="G59" s="104">
        <f t="shared" si="18"/>
        <v>82.099506116347669</v>
      </c>
      <c r="H59" s="104">
        <f t="shared" si="18"/>
        <v>79.924397883887735</v>
      </c>
      <c r="I59" s="104">
        <f t="shared" si="18"/>
        <v>74.033295980398549</v>
      </c>
      <c r="J59" s="104">
        <f t="shared" si="18"/>
        <v>74.11289868412409</v>
      </c>
      <c r="K59" s="105">
        <f t="shared" si="18"/>
        <v>78.286693715961448</v>
      </c>
    </row>
    <row r="60" spans="2:15">
      <c r="B60" s="14"/>
      <c r="C60" s="236"/>
      <c r="D60" s="236"/>
      <c r="E60" s="236"/>
      <c r="F60" s="236"/>
      <c r="G60" s="236"/>
      <c r="H60" s="236"/>
      <c r="I60" s="236"/>
      <c r="J60" s="236"/>
      <c r="K60" s="236"/>
    </row>
    <row r="61" spans="2:15">
      <c r="B61" s="14"/>
      <c r="C61" s="236"/>
      <c r="D61" s="236"/>
      <c r="E61" s="236"/>
      <c r="F61" s="236"/>
      <c r="G61" s="236"/>
      <c r="H61" s="236"/>
      <c r="I61" s="236"/>
      <c r="J61" s="236"/>
      <c r="K61" s="236"/>
    </row>
    <row r="62" spans="2:15" hidden="1">
      <c r="B62" s="14"/>
      <c r="C62" s="236"/>
      <c r="D62" s="236"/>
      <c r="E62" s="236"/>
      <c r="F62" s="236"/>
      <c r="G62" s="236"/>
      <c r="H62" s="236"/>
      <c r="I62" s="928"/>
      <c r="J62" s="929">
        <f>-SUM('R4 - Totex'!D23:I23)*0.7*0.8</f>
        <v>3.8027026565014879</v>
      </c>
      <c r="K62" s="930" t="s">
        <v>630</v>
      </c>
      <c r="L62" s="922"/>
      <c r="M62" s="922"/>
      <c r="N62" s="931"/>
      <c r="O62" s="932"/>
    </row>
    <row r="63" spans="2:15" hidden="1">
      <c r="B63" s="14"/>
      <c r="C63" s="236"/>
      <c r="D63" s="236"/>
      <c r="E63" s="236"/>
      <c r="F63" s="236"/>
      <c r="G63" s="236"/>
      <c r="H63" s="236"/>
      <c r="I63" s="933"/>
      <c r="J63" s="934"/>
      <c r="K63" s="42"/>
      <c r="L63" s="42"/>
      <c r="M63" s="42"/>
      <c r="N63" s="306"/>
      <c r="O63" s="935"/>
    </row>
    <row r="64" spans="2:15" hidden="1">
      <c r="I64" s="936"/>
      <c r="J64" s="937">
        <f>+J18+J62</f>
        <v>2137.2254632661211</v>
      </c>
      <c r="K64" s="938" t="s">
        <v>631</v>
      </c>
      <c r="L64" s="42"/>
      <c r="M64" s="42"/>
      <c r="N64" s="306"/>
      <c r="O64" s="935"/>
    </row>
    <row r="65" spans="9:15" hidden="1">
      <c r="I65" s="936"/>
      <c r="J65" s="934">
        <f>+J19</f>
        <v>212.03385258806162</v>
      </c>
      <c r="K65" s="42" t="s">
        <v>324</v>
      </c>
      <c r="L65" s="42"/>
      <c r="M65" s="42"/>
      <c r="N65" s="306"/>
      <c r="O65" s="935"/>
    </row>
    <row r="66" spans="9:15" hidden="1">
      <c r="I66" s="936"/>
      <c r="J66" s="934">
        <v>0</v>
      </c>
      <c r="K66" s="42" t="s">
        <v>331</v>
      </c>
      <c r="L66" s="42"/>
      <c r="M66" s="42"/>
      <c r="N66" s="306"/>
      <c r="O66" s="935"/>
    </row>
    <row r="67" spans="9:15" hidden="1">
      <c r="I67" s="936"/>
      <c r="J67" s="937">
        <f>SUM(J65:J66)</f>
        <v>212.03385258806162</v>
      </c>
      <c r="K67" s="938" t="s">
        <v>632</v>
      </c>
      <c r="L67" s="42"/>
      <c r="M67" s="42"/>
      <c r="N67" s="306"/>
      <c r="O67" s="935"/>
    </row>
    <row r="68" spans="9:15" hidden="1">
      <c r="I68" s="936"/>
      <c r="J68" s="934">
        <f>+J22</f>
        <v>-159.21267606662406</v>
      </c>
      <c r="K68" s="42" t="s">
        <v>325</v>
      </c>
      <c r="L68" s="42"/>
      <c r="M68" s="42"/>
      <c r="N68" s="306"/>
      <c r="O68" s="935"/>
    </row>
    <row r="69" spans="9:15" hidden="1">
      <c r="I69" s="936"/>
      <c r="J69" s="934">
        <v>0</v>
      </c>
      <c r="K69" s="42" t="s">
        <v>326</v>
      </c>
      <c r="L69" s="42"/>
      <c r="M69" s="42"/>
      <c r="N69" s="306"/>
      <c r="O69" s="935"/>
    </row>
    <row r="70" spans="9:15" hidden="1">
      <c r="I70" s="936"/>
      <c r="J70" s="937">
        <f>SUM(J68:J69)</f>
        <v>-159.21267606662406</v>
      </c>
      <c r="K70" s="938" t="s">
        <v>328</v>
      </c>
      <c r="L70" s="42"/>
      <c r="M70" s="42"/>
      <c r="N70" s="306"/>
      <c r="O70" s="935"/>
    </row>
    <row r="71" spans="9:15" hidden="1">
      <c r="I71" s="936"/>
      <c r="J71" s="937">
        <f>+J64+J67+J70</f>
        <v>2190.0466397875584</v>
      </c>
      <c r="K71" s="938" t="s">
        <v>330</v>
      </c>
      <c r="L71" s="42"/>
      <c r="M71" s="42"/>
      <c r="N71" s="306"/>
      <c r="O71" s="935"/>
    </row>
    <row r="72" spans="9:15" hidden="1">
      <c r="I72" s="936"/>
      <c r="J72" s="42"/>
      <c r="K72" s="42"/>
      <c r="L72" s="42"/>
      <c r="M72" s="42"/>
      <c r="N72" s="306"/>
      <c r="O72" s="935"/>
    </row>
    <row r="73" spans="9:15" hidden="1">
      <c r="I73" s="936"/>
      <c r="J73" s="97">
        <f>J75*J42</f>
        <v>1387.4216426366122</v>
      </c>
      <c r="K73" s="42" t="s">
        <v>336</v>
      </c>
      <c r="L73" s="42"/>
      <c r="M73" s="42"/>
      <c r="N73" s="306"/>
      <c r="O73" s="935"/>
    </row>
    <row r="74" spans="9:15" hidden="1">
      <c r="I74" s="936"/>
      <c r="J74" s="521">
        <f>J75*(1-J42)</f>
        <v>747.07319218894497</v>
      </c>
      <c r="K74" s="42" t="s">
        <v>232</v>
      </c>
      <c r="L74" s="42"/>
      <c r="M74" s="42"/>
      <c r="N74" s="306"/>
      <c r="O74" s="935"/>
    </row>
    <row r="75" spans="9:15" hidden="1">
      <c r="I75" s="936"/>
      <c r="J75" s="104">
        <f>AVERAGE(J64,J71*(1/(1+J43)))</f>
        <v>2134.4948348255571</v>
      </c>
      <c r="K75" s="42" t="s">
        <v>231</v>
      </c>
      <c r="L75" s="42"/>
      <c r="M75" s="42"/>
      <c r="N75" s="306"/>
      <c r="O75" s="935"/>
    </row>
    <row r="76" spans="9:15" ht="13.2" hidden="1" thickBot="1">
      <c r="I76" s="939"/>
      <c r="J76" s="923"/>
      <c r="K76" s="923"/>
      <c r="L76" s="923"/>
      <c r="M76" s="923"/>
      <c r="N76" s="940"/>
      <c r="O76" s="941"/>
    </row>
  </sheetData>
  <conditionalFormatting sqref="D6:K6">
    <cfRule type="expression" dxfId="46" priority="13">
      <formula>AND(D$5="Actuals",E$5="Forecast")</formula>
    </cfRule>
  </conditionalFormatting>
  <conditionalFormatting sqref="D5:K5">
    <cfRule type="expression" dxfId="45"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CC"/>
    <pageSetUpPr fitToPage="1"/>
  </sheetPr>
  <dimension ref="A1:W92"/>
  <sheetViews>
    <sheetView showGridLines="0" zoomScale="60" zoomScaleNormal="60" workbookViewId="0">
      <pane ySplit="6" topLeftCell="A58" activePane="bottomLeft" state="frozen"/>
      <selection activeCell="D26" sqref="D26"/>
      <selection pane="bottomLeft" activeCell="O107" sqref="O107"/>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4" s="31" customFormat="1" ht="21">
      <c r="A1" s="891" t="s">
        <v>257</v>
      </c>
      <c r="B1" s="887"/>
      <c r="C1" s="257"/>
      <c r="D1" s="257"/>
      <c r="E1" s="257"/>
      <c r="F1" s="257"/>
      <c r="G1" s="257"/>
      <c r="H1" s="257"/>
      <c r="I1" s="258"/>
      <c r="J1" s="258"/>
      <c r="K1" s="259"/>
      <c r="L1" s="260"/>
    </row>
    <row r="2" spans="1:14" s="31" customFormat="1" ht="21">
      <c r="A2" s="880" t="str">
        <f>'RFPR cover'!C5</f>
        <v>NGED-EMID</v>
      </c>
      <c r="B2" s="872"/>
      <c r="C2" s="29"/>
      <c r="D2" s="29"/>
      <c r="E2" s="29"/>
      <c r="F2" s="29"/>
      <c r="G2" s="29"/>
      <c r="H2" s="29"/>
      <c r="I2" s="27"/>
      <c r="J2" s="27"/>
      <c r="K2" s="27"/>
      <c r="L2" s="124"/>
    </row>
    <row r="3" spans="1:14" s="31" customFormat="1" ht="21">
      <c r="A3" s="883">
        <f>'RFPR cover'!C7</f>
        <v>2023</v>
      </c>
      <c r="B3" s="890"/>
      <c r="C3" s="261"/>
      <c r="D3" s="261"/>
      <c r="E3" s="261"/>
      <c r="F3" s="261"/>
      <c r="G3" s="261"/>
      <c r="H3" s="261"/>
      <c r="I3" s="256"/>
      <c r="J3" s="256"/>
      <c r="K3" s="256"/>
      <c r="L3" s="262"/>
    </row>
    <row r="4" spans="1:14" s="31" customFormat="1" ht="12.75" customHeight="1">
      <c r="A4" s="263"/>
      <c r="B4" s="264"/>
      <c r="C4" s="263"/>
      <c r="D4" s="263"/>
      <c r="E4" s="263"/>
      <c r="F4" s="263"/>
      <c r="G4" s="263"/>
      <c r="H4" s="263"/>
      <c r="I4" s="265"/>
      <c r="J4" s="265"/>
      <c r="K4" s="265"/>
      <c r="L4" s="266"/>
      <c r="M4" s="264"/>
    </row>
    <row r="5" spans="1:14" s="2" customFormat="1">
      <c r="B5" s="3"/>
      <c r="C5" s="3"/>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Actuals</v>
      </c>
      <c r="K5" s="390" t="str">
        <f>IF(K6&lt;=('RFPR cover'!$C$7-1),"Actuals","Forecast")</f>
        <v>Forecast</v>
      </c>
    </row>
    <row r="6" spans="1:14"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4" s="35" customFormat="1">
      <c r="D7" s="430"/>
      <c r="E7" s="430"/>
      <c r="F7" s="430"/>
      <c r="G7" s="430"/>
      <c r="H7" s="430"/>
      <c r="I7" s="430"/>
      <c r="J7" s="430"/>
      <c r="K7" s="430"/>
    </row>
    <row r="8" spans="1:14" s="2" customFormat="1">
      <c r="B8" s="369" t="s">
        <v>356</v>
      </c>
      <c r="C8" s="294"/>
      <c r="D8" s="294"/>
      <c r="E8" s="294"/>
      <c r="F8" s="294"/>
      <c r="G8" s="294"/>
      <c r="H8" s="294"/>
      <c r="I8" s="294"/>
      <c r="J8" s="294"/>
      <c r="K8" s="294"/>
      <c r="L8" s="294"/>
    </row>
    <row r="9" spans="1:14" s="2" customFormat="1">
      <c r="B9" s="369" t="s">
        <v>460</v>
      </c>
      <c r="C9" s="294"/>
      <c r="D9" s="294"/>
      <c r="E9" s="294"/>
      <c r="F9" s="294"/>
      <c r="G9" s="294"/>
      <c r="H9" s="294"/>
      <c r="I9" s="294"/>
      <c r="J9" s="294"/>
      <c r="K9" s="294"/>
      <c r="L9" s="294"/>
    </row>
    <row r="10" spans="1:14" s="2" customFormat="1">
      <c r="B10" s="369" t="s">
        <v>357</v>
      </c>
      <c r="C10" s="294"/>
      <c r="D10" s="294"/>
      <c r="E10" s="294"/>
      <c r="F10" s="294"/>
      <c r="G10" s="294"/>
      <c r="H10" s="294"/>
      <c r="I10" s="294"/>
      <c r="J10" s="294"/>
      <c r="K10" s="294"/>
      <c r="L10" s="294"/>
    </row>
    <row r="11" spans="1:14" s="35" customFormat="1">
      <c r="B11" s="429"/>
    </row>
    <row r="12" spans="1:14">
      <c r="B12" s="200" t="s">
        <v>523</v>
      </c>
      <c r="C12" s="267" t="s">
        <v>128</v>
      </c>
      <c r="D12" s="622">
        <v>19.965399999999999</v>
      </c>
      <c r="E12" s="622">
        <v>17.364000000000001</v>
      </c>
      <c r="F12" s="622">
        <v>30.749220000000012</v>
      </c>
      <c r="G12" s="622">
        <v>27.344989999999992</v>
      </c>
      <c r="H12" s="622">
        <v>33.471919999999997</v>
      </c>
      <c r="I12" s="622">
        <v>28.462189999999975</v>
      </c>
      <c r="J12" s="622">
        <v>30.550365999999993</v>
      </c>
      <c r="K12" s="624"/>
      <c r="N12" s="958"/>
    </row>
    <row r="13" spans="1:14">
      <c r="B13" s="14"/>
      <c r="C13" s="14"/>
      <c r="D13" s="717"/>
      <c r="E13" s="717"/>
      <c r="F13" s="717"/>
      <c r="G13" s="717"/>
      <c r="H13" s="717"/>
      <c r="I13" s="717"/>
      <c r="J13" s="717"/>
      <c r="K13" s="717"/>
      <c r="N13" s="958"/>
    </row>
    <row r="14" spans="1:14">
      <c r="B14" s="14" t="s">
        <v>459</v>
      </c>
      <c r="C14" s="267"/>
      <c r="D14" s="717"/>
      <c r="E14" s="717"/>
      <c r="F14" s="717"/>
      <c r="G14" s="717"/>
      <c r="H14" s="717"/>
      <c r="I14" s="717"/>
      <c r="J14" s="717"/>
      <c r="K14" s="717"/>
      <c r="N14" s="958"/>
    </row>
    <row r="15" spans="1:14">
      <c r="B15" s="370" t="s">
        <v>481</v>
      </c>
      <c r="C15" s="267" t="s">
        <v>128</v>
      </c>
      <c r="D15" s="593"/>
      <c r="E15" s="594"/>
      <c r="F15" s="594"/>
      <c r="G15" s="594"/>
      <c r="H15" s="594"/>
      <c r="I15" s="594"/>
      <c r="J15" s="594"/>
      <c r="K15" s="604"/>
      <c r="N15" s="958"/>
    </row>
    <row r="16" spans="1:14">
      <c r="B16" s="431" t="s">
        <v>626</v>
      </c>
      <c r="C16" s="267" t="s">
        <v>128</v>
      </c>
      <c r="D16" s="622">
        <v>0.81202581939831786</v>
      </c>
      <c r="E16" s="622">
        <v>0.69839179047045796</v>
      </c>
      <c r="F16" s="622">
        <v>0.56395998134010838</v>
      </c>
      <c r="G16" s="622">
        <v>0.52560939742845314</v>
      </c>
      <c r="H16" s="622">
        <v>0.46560994444588083</v>
      </c>
      <c r="I16" s="622">
        <v>0.42462217905046112</v>
      </c>
      <c r="J16" s="622">
        <v>0.38699883951874292</v>
      </c>
      <c r="K16" s="604"/>
      <c r="N16" s="958"/>
    </row>
    <row r="17" spans="2:14">
      <c r="B17" s="431" t="s">
        <v>627</v>
      </c>
      <c r="C17" s="267" t="s">
        <v>128</v>
      </c>
      <c r="D17" s="622">
        <v>-0.47980970493907338</v>
      </c>
      <c r="E17" s="622">
        <v>-0.39409030684637075</v>
      </c>
      <c r="F17" s="622">
        <v>-0.29251498679881771</v>
      </c>
      <c r="G17" s="622">
        <v>-2.8620939436507592E-2</v>
      </c>
      <c r="H17" s="622">
        <v>-2.2138543344248578E-2</v>
      </c>
      <c r="I17" s="622">
        <v>0.30685627513728647</v>
      </c>
      <c r="J17" s="622">
        <v>0.2053036994269902</v>
      </c>
      <c r="K17" s="604"/>
      <c r="N17" s="958"/>
    </row>
    <row r="18" spans="2:14">
      <c r="B18" s="431" t="s">
        <v>142</v>
      </c>
      <c r="C18" s="267" t="s">
        <v>128</v>
      </c>
      <c r="D18" s="622">
        <v>-0.12543640991486579</v>
      </c>
      <c r="E18" s="622">
        <v>-0.10730315692870396</v>
      </c>
      <c r="F18" s="622">
        <v>-2.7915884185295147E-3</v>
      </c>
      <c r="G18" s="622">
        <v>-0.21233639672850721</v>
      </c>
      <c r="H18" s="622">
        <v>6.9054544641306045E-2</v>
      </c>
      <c r="I18" s="622">
        <v>0.1401679210690811</v>
      </c>
      <c r="J18" s="622">
        <v>0.24159379516578089</v>
      </c>
      <c r="K18" s="604"/>
      <c r="N18" s="958"/>
    </row>
    <row r="19" spans="2:14">
      <c r="B19" s="269" t="s">
        <v>358</v>
      </c>
      <c r="C19" s="267" t="s">
        <v>128</v>
      </c>
      <c r="D19" s="718">
        <f>SUM(D15:D18)</f>
        <v>0.20677970454437869</v>
      </c>
      <c r="E19" s="719">
        <f t="shared" ref="E19:K19" si="1">SUM(E15:E18)</f>
        <v>0.19699832669538325</v>
      </c>
      <c r="F19" s="719">
        <f t="shared" si="1"/>
        <v>0.26865340612276117</v>
      </c>
      <c r="G19" s="719">
        <f t="shared" si="1"/>
        <v>0.28465206126343834</v>
      </c>
      <c r="H19" s="719">
        <f t="shared" si="1"/>
        <v>0.5125259457429383</v>
      </c>
      <c r="I19" s="719">
        <f t="shared" si="1"/>
        <v>0.87164637525682864</v>
      </c>
      <c r="J19" s="719">
        <f t="shared" si="1"/>
        <v>0.83389633411151398</v>
      </c>
      <c r="K19" s="720">
        <f t="shared" si="1"/>
        <v>0</v>
      </c>
      <c r="N19" s="958"/>
    </row>
    <row r="20" spans="2:14" s="31" customFormat="1">
      <c r="B20" s="370"/>
      <c r="C20" s="370"/>
      <c r="D20" s="721"/>
      <c r="E20" s="721"/>
      <c r="F20" s="721"/>
      <c r="G20" s="721"/>
      <c r="H20" s="721"/>
      <c r="I20" s="721"/>
      <c r="J20" s="721"/>
      <c r="K20" s="721"/>
      <c r="L20" s="370"/>
      <c r="N20" s="958"/>
    </row>
    <row r="21" spans="2:14">
      <c r="B21" s="14" t="s">
        <v>329</v>
      </c>
      <c r="C21" s="267"/>
      <c r="D21" s="722"/>
      <c r="E21" s="722"/>
      <c r="F21" s="722"/>
      <c r="G21" s="722"/>
      <c r="H21" s="722"/>
      <c r="I21" s="722"/>
      <c r="J21" s="722"/>
      <c r="K21" s="722"/>
      <c r="L21" s="267"/>
      <c r="N21" s="958"/>
    </row>
    <row r="22" spans="2:14">
      <c r="B22" s="370" t="s">
        <v>482</v>
      </c>
      <c r="C22" s="267" t="s">
        <v>128</v>
      </c>
      <c r="D22" s="824">
        <f>('R5 - Output Incentives'!D102)*INDEX(Data!$G$14:$G$30,MATCH('R10 - Tax'!D$6,Data!$C$14:$C$30,0),1)</f>
        <v>5.8325534309609983</v>
      </c>
      <c r="E22" s="825">
        <f>('R5 - Output Incentives'!E102)*INDEX(Data!$G$14:$G$30,MATCH('R10 - Tax'!E$6,Data!$C$14:$C$30,0),1)</f>
        <v>6.3532277332032239</v>
      </c>
      <c r="F22" s="825">
        <f>('R5 - Output Incentives'!F102)*INDEX(Data!$G$14:$G$30,MATCH('R10 - Tax'!F$6,Data!$C$14:$C$30,0),1)</f>
        <v>5.3665530599627562</v>
      </c>
      <c r="G22" s="825">
        <f>('R5 - Output Incentives'!G102)*INDEX(Data!$G$14:$G$30,MATCH('R10 - Tax'!G$6,Data!$C$14:$C$30,0),1)</f>
        <v>5.4399451863349926</v>
      </c>
      <c r="H22" s="827">
        <f>('R5 - Output Incentives'!H102)*INDEX(Data!$G$14:$G$30,MATCH('R10 - Tax'!H$6,Data!$C$14:$C$30,0),1)</f>
        <v>4.9752446675246871</v>
      </c>
      <c r="I22" s="827">
        <f>('R5 - Output Incentives'!I102)*INDEX(Data!$G$14:$G$30,MATCH('R10 - Tax'!I$6,Data!$C$14:$C$30,0),1)</f>
        <v>5.742537686728177</v>
      </c>
      <c r="J22" s="827">
        <f>('R5 - Output Incentives'!J102)*INDEX(Data!$G$14:$G$30,MATCH('R10 - Tax'!J$6,Data!$C$14:$C$30,0),1)</f>
        <v>5.640391694932851</v>
      </c>
      <c r="K22" s="828">
        <f>('R5 - Output Incentives'!K102)*INDEX(Data!$G$14:$G$30,MATCH('R10 - Tax'!K$6,Data!$C$14:$C$30,0),1)</f>
        <v>5.3744320032027488</v>
      </c>
      <c r="N22" s="958"/>
    </row>
    <row r="23" spans="2:14">
      <c r="B23" s="370" t="s">
        <v>483</v>
      </c>
      <c r="C23" s="267" t="s">
        <v>128</v>
      </c>
      <c r="D23" s="597">
        <f>('R4 - Totex'!D77-'R4 - Totex'!D79)*D40</f>
        <v>1.51161293287737</v>
      </c>
      <c r="E23" s="599">
        <f>('R4 - Totex'!E77-'R4 - Totex'!E79)*E40</f>
        <v>1.5091929525128842</v>
      </c>
      <c r="F23" s="599">
        <f>('R4 - Totex'!F77-'R4 - Totex'!F79)*F40</f>
        <v>1.3242846625702245</v>
      </c>
      <c r="G23" s="599">
        <f>('R4 - Totex'!G77-'R4 - Totex'!G79)*G40</f>
        <v>1.3878920518191731</v>
      </c>
      <c r="H23" s="829">
        <f>('R4 - Totex'!H77-'R4 - Totex'!H79)*H40</f>
        <v>1.4078111905257669</v>
      </c>
      <c r="I23" s="829">
        <f>('R4 - Totex'!I77-'R4 - Totex'!I79)*I40</f>
        <v>1.4817463551589127</v>
      </c>
      <c r="J23" s="829">
        <f>('R4 - Totex'!J77-'R4 - Totex'!J79)*J40</f>
        <v>1.646746968799605</v>
      </c>
      <c r="K23" s="830">
        <f>('R4 - Totex'!K77-'R4 - Totex'!K79)*K40</f>
        <v>1.8074380683332865</v>
      </c>
      <c r="N23" s="958"/>
    </row>
    <row r="24" spans="2:14">
      <c r="B24" s="370" t="s">
        <v>484</v>
      </c>
      <c r="C24" s="267" t="s">
        <v>128</v>
      </c>
      <c r="D24" s="622">
        <v>0.13847891393008602</v>
      </c>
      <c r="E24" s="622">
        <v>13.659543809038359</v>
      </c>
      <c r="F24" s="622">
        <v>-0.36033100425611719</v>
      </c>
      <c r="G24" s="622">
        <v>-1.4573498016903703</v>
      </c>
      <c r="H24" s="622">
        <v>-1.5825565877511503</v>
      </c>
      <c r="I24" s="622">
        <v>-4.9714415584780367</v>
      </c>
      <c r="J24" s="622">
        <v>5.1590562582141546</v>
      </c>
      <c r="K24" s="605"/>
      <c r="N24" s="958"/>
    </row>
    <row r="25" spans="2:14">
      <c r="B25" s="370" t="s">
        <v>485</v>
      </c>
      <c r="C25" s="267" t="s">
        <v>128</v>
      </c>
      <c r="D25" s="595"/>
      <c r="E25" s="596"/>
      <c r="F25" s="596"/>
      <c r="G25" s="596"/>
      <c r="H25" s="596"/>
      <c r="I25" s="596"/>
      <c r="J25" s="596"/>
      <c r="K25" s="605"/>
      <c r="N25" s="958"/>
    </row>
    <row r="26" spans="2:14">
      <c r="B26" s="370" t="s">
        <v>486</v>
      </c>
      <c r="C26" s="267" t="s">
        <v>128</v>
      </c>
      <c r="D26" s="595"/>
      <c r="E26" s="596"/>
      <c r="F26" s="596"/>
      <c r="G26" s="596"/>
      <c r="H26" s="596"/>
      <c r="I26" s="596"/>
      <c r="J26" s="596"/>
      <c r="K26" s="605"/>
      <c r="N26" s="958"/>
    </row>
    <row r="27" spans="2:14">
      <c r="B27" s="370" t="s">
        <v>487</v>
      </c>
      <c r="C27" s="267" t="s">
        <v>128</v>
      </c>
      <c r="D27" s="595"/>
      <c r="E27" s="596"/>
      <c r="F27" s="596"/>
      <c r="G27" s="596"/>
      <c r="H27" s="596"/>
      <c r="I27" s="596"/>
      <c r="J27" s="596"/>
      <c r="K27" s="605"/>
      <c r="N27" s="958"/>
    </row>
    <row r="28" spans="2:14">
      <c r="B28" s="370" t="s">
        <v>564</v>
      </c>
      <c r="C28" s="267" t="s">
        <v>128</v>
      </c>
      <c r="D28" s="622">
        <v>-0.13355724663144428</v>
      </c>
      <c r="E28" s="622">
        <v>1.7981639946155614</v>
      </c>
      <c r="F28" s="622">
        <v>-0.18258605539960363</v>
      </c>
      <c r="G28" s="622">
        <v>-1.3113102399541809</v>
      </c>
      <c r="H28" s="622">
        <v>-0.30076487517136208</v>
      </c>
      <c r="I28" s="622">
        <v>0.12324851342687726</v>
      </c>
      <c r="J28" s="622">
        <v>0.74688670198986085</v>
      </c>
      <c r="K28" s="605"/>
      <c r="N28" s="958"/>
    </row>
    <row r="29" spans="2:14">
      <c r="B29" s="431" t="s">
        <v>622</v>
      </c>
      <c r="C29" s="267" t="s">
        <v>128</v>
      </c>
      <c r="D29" s="622">
        <v>1.908357744070347</v>
      </c>
      <c r="E29" s="622">
        <v>0.36950496472398181</v>
      </c>
      <c r="F29" s="622">
        <v>-2.0473187671892816</v>
      </c>
      <c r="G29" s="622">
        <v>-0.25240713413373134</v>
      </c>
      <c r="H29" s="622">
        <v>1.124484203147192</v>
      </c>
      <c r="I29" s="622">
        <v>1.227201399102188</v>
      </c>
      <c r="J29" s="622">
        <v>-4.0552010388784003</v>
      </c>
      <c r="K29" s="605"/>
      <c r="N29" s="958"/>
    </row>
    <row r="30" spans="2:14">
      <c r="B30" s="431" t="s">
        <v>379</v>
      </c>
      <c r="C30" s="267" t="s">
        <v>128</v>
      </c>
      <c r="D30" s="622">
        <v>-0.11098949305433324</v>
      </c>
      <c r="E30" s="622">
        <v>3.7613441886848644E-3</v>
      </c>
      <c r="F30" s="622">
        <v>1.6880545350571856</v>
      </c>
      <c r="G30" s="622">
        <v>3.6031762328026713</v>
      </c>
      <c r="H30" s="622">
        <v>4.3229879853674102</v>
      </c>
      <c r="I30" s="622">
        <v>3.3115403648186059</v>
      </c>
      <c r="J30" s="622">
        <v>2.5698501315883586</v>
      </c>
      <c r="K30" s="605"/>
      <c r="N30" s="958"/>
    </row>
    <row r="31" spans="2:14">
      <c r="B31" s="431" t="s">
        <v>577</v>
      </c>
      <c r="C31" s="267" t="s">
        <v>128</v>
      </c>
      <c r="D31" s="622">
        <v>-2.5260518365735147</v>
      </c>
      <c r="E31" s="622">
        <v>-11.934073413161148</v>
      </c>
      <c r="F31" s="622">
        <v>-2.4926754250879171</v>
      </c>
      <c r="G31" s="622">
        <v>-0.61280417531299813</v>
      </c>
      <c r="H31" s="622">
        <v>0</v>
      </c>
      <c r="I31" s="622">
        <v>0</v>
      </c>
      <c r="J31" s="622">
        <v>0</v>
      </c>
      <c r="K31" s="605"/>
      <c r="N31" s="958"/>
    </row>
    <row r="32" spans="2:14">
      <c r="B32" s="431" t="s">
        <v>623</v>
      </c>
      <c r="C32" s="267" t="s">
        <v>128</v>
      </c>
      <c r="D32" s="622">
        <v>-0.2239486906352115</v>
      </c>
      <c r="E32" s="622">
        <v>-0.22671680830763852</v>
      </c>
      <c r="F32" s="622">
        <v>-0.22251262495822055</v>
      </c>
      <c r="G32" s="622">
        <v>-0.22812823531161186</v>
      </c>
      <c r="H32" s="622">
        <v>-0.23061032755732735</v>
      </c>
      <c r="I32" s="622">
        <v>-0.22456242052793063</v>
      </c>
      <c r="J32" s="622">
        <v>-0.21486046170696271</v>
      </c>
      <c r="K32" s="605"/>
      <c r="N32" s="958"/>
    </row>
    <row r="33" spans="2:14">
      <c r="B33" s="431" t="s">
        <v>624</v>
      </c>
      <c r="C33" s="267"/>
      <c r="D33" s="622">
        <v>-1.9570443842503451</v>
      </c>
      <c r="E33" s="622">
        <v>-0.87691890099286673</v>
      </c>
      <c r="F33" s="622">
        <v>0.79122823958243838</v>
      </c>
      <c r="G33" s="622">
        <v>-0.29399727856204821</v>
      </c>
      <c r="H33" s="622">
        <v>-1.2635665134329497</v>
      </c>
      <c r="I33" s="622">
        <v>-1.3759449889670972</v>
      </c>
      <c r="J33" s="622">
        <v>2.9173068243663756</v>
      </c>
      <c r="K33" s="607"/>
      <c r="N33" s="958"/>
    </row>
    <row r="34" spans="2:14">
      <c r="B34" s="431" t="s">
        <v>625</v>
      </c>
      <c r="C34" s="267" t="s">
        <v>128</v>
      </c>
      <c r="D34" s="606">
        <v>0</v>
      </c>
      <c r="E34" s="606">
        <v>-1.7890456458065982</v>
      </c>
      <c r="F34" s="606">
        <v>3.6625101821074715</v>
      </c>
      <c r="G34" s="606">
        <v>0.24549675511836425</v>
      </c>
      <c r="H34" s="606">
        <v>-0.71922456959752745</v>
      </c>
      <c r="I34" s="606">
        <v>-0.54286991456013078</v>
      </c>
      <c r="J34" s="606">
        <v>-0.57422592226422808</v>
      </c>
      <c r="K34" s="607"/>
      <c r="N34" s="958"/>
    </row>
    <row r="35" spans="2:14">
      <c r="B35" s="14" t="s">
        <v>177</v>
      </c>
      <c r="C35" s="267" t="s">
        <v>128</v>
      </c>
      <c r="D35" s="723">
        <f t="shared" ref="D35:K35" si="2">SUM(D22:D34)</f>
        <v>4.4394113706939535</v>
      </c>
      <c r="E35" s="724">
        <f t="shared" si="2"/>
        <v>8.8666400300144446</v>
      </c>
      <c r="F35" s="724">
        <f t="shared" si="2"/>
        <v>7.5272068023889362</v>
      </c>
      <c r="G35" s="724">
        <f t="shared" si="2"/>
        <v>6.520513361110261</v>
      </c>
      <c r="H35" s="724">
        <f t="shared" si="2"/>
        <v>7.7338051730547388</v>
      </c>
      <c r="I35" s="724">
        <f t="shared" si="2"/>
        <v>4.7714554367015651</v>
      </c>
      <c r="J35" s="724">
        <f t="shared" si="2"/>
        <v>13.835951157041615</v>
      </c>
      <c r="K35" s="725">
        <f t="shared" si="2"/>
        <v>7.1818700715360357</v>
      </c>
      <c r="N35" s="958"/>
    </row>
    <row r="36" spans="2:14">
      <c r="N36" s="958"/>
    </row>
    <row r="37" spans="2:14" ht="12.75" customHeight="1">
      <c r="B37" s="790" t="s">
        <v>494</v>
      </c>
      <c r="C37" s="267" t="s">
        <v>128</v>
      </c>
      <c r="D37" s="622"/>
      <c r="E37" s="622"/>
      <c r="F37" s="623"/>
      <c r="G37" s="623"/>
      <c r="H37" s="623"/>
      <c r="I37" s="623"/>
      <c r="J37" s="590"/>
      <c r="K37" s="590">
        <v>19.418849724341321</v>
      </c>
      <c r="N37" s="958"/>
    </row>
    <row r="38" spans="2:14" ht="12.75" customHeight="1">
      <c r="B38" s="790" t="s">
        <v>463</v>
      </c>
      <c r="C38" s="267" t="s">
        <v>128</v>
      </c>
      <c r="D38" s="723">
        <f t="shared" ref="D38:K38" si="3">D12+D37-D19-D35</f>
        <v>15.319208924761668</v>
      </c>
      <c r="E38" s="724">
        <f>E12+E37-E19-E35</f>
        <v>8.3003616432901737</v>
      </c>
      <c r="F38" s="724">
        <f>F12+F37-F19-F35</f>
        <v>22.953359791488314</v>
      </c>
      <c r="G38" s="724">
        <f>G12+G37-G19-G35</f>
        <v>20.539824577626291</v>
      </c>
      <c r="H38" s="724">
        <f t="shared" si="3"/>
        <v>25.22558888120232</v>
      </c>
      <c r="I38" s="724">
        <f t="shared" si="3"/>
        <v>22.819088188041579</v>
      </c>
      <c r="J38" s="724">
        <f t="shared" si="3"/>
        <v>15.880518508846864</v>
      </c>
      <c r="K38" s="725">
        <f t="shared" si="3"/>
        <v>12.236979652805285</v>
      </c>
      <c r="N38" s="958"/>
    </row>
    <row r="39" spans="2:14" ht="12.75" customHeight="1">
      <c r="B39" s="482"/>
      <c r="C39" s="267"/>
      <c r="D39" s="267"/>
      <c r="E39" s="267"/>
      <c r="F39" s="267"/>
      <c r="G39" s="267"/>
      <c r="H39" s="267"/>
      <c r="I39" s="267"/>
      <c r="J39" s="267"/>
      <c r="K39" s="267"/>
      <c r="N39" s="958"/>
    </row>
    <row r="40" spans="2:14">
      <c r="B40" s="37" t="s">
        <v>471</v>
      </c>
      <c r="C40" s="268" t="s">
        <v>127</v>
      </c>
      <c r="D40" s="113">
        <f>Data!C$34</f>
        <v>1.0603167467048125</v>
      </c>
      <c r="E40" s="113">
        <f>Data!D$34</f>
        <v>1.0830366813119445</v>
      </c>
      <c r="F40" s="113">
        <f>Data!E$34</f>
        <v>1.1235639113109226</v>
      </c>
      <c r="G40" s="113">
        <f>Data!F$34</f>
        <v>1.1578951670583426</v>
      </c>
      <c r="H40" s="113">
        <f>Data!G$34</f>
        <v>1.1878696229692449</v>
      </c>
      <c r="I40" s="113">
        <f>Data!H$34</f>
        <v>1.2022764892203943</v>
      </c>
      <c r="J40" s="113">
        <f>Data!I$34</f>
        <v>1.2717196280780627</v>
      </c>
      <c r="K40" s="113">
        <f>Data!J$34</f>
        <v>1.4354429345049555</v>
      </c>
      <c r="L40" s="267"/>
      <c r="N40" s="958"/>
    </row>
    <row r="41" spans="2:14">
      <c r="B41" s="200"/>
      <c r="C41" s="267"/>
      <c r="D41" s="267"/>
      <c r="E41" s="267"/>
      <c r="F41" s="267"/>
      <c r="G41" s="267"/>
      <c r="H41" s="267"/>
      <c r="I41" s="267"/>
      <c r="J41" s="267"/>
      <c r="K41" s="267"/>
      <c r="N41" s="958"/>
    </row>
    <row r="42" spans="2:14">
      <c r="B42" s="542" t="s">
        <v>464</v>
      </c>
      <c r="C42" s="397" t="str">
        <f>'RFPR cover'!$C$14</f>
        <v>£m 12/13</v>
      </c>
      <c r="D42" s="757">
        <f t="shared" ref="D42:K42" si="4">D38/D40</f>
        <v>14.44776664366546</v>
      </c>
      <c r="E42" s="758">
        <f t="shared" si="4"/>
        <v>7.6639709314697164</v>
      </c>
      <c r="F42" s="758">
        <f t="shared" si="4"/>
        <v>20.429064657930667</v>
      </c>
      <c r="G42" s="758">
        <f t="shared" si="4"/>
        <v>17.738932817042627</v>
      </c>
      <c r="H42" s="758">
        <f t="shared" si="4"/>
        <v>21.235991217746154</v>
      </c>
      <c r="I42" s="758">
        <f t="shared" si="4"/>
        <v>18.979900540880092</v>
      </c>
      <c r="J42" s="758">
        <f t="shared" si="4"/>
        <v>12.48743682036813</v>
      </c>
      <c r="K42" s="759">
        <f t="shared" si="4"/>
        <v>8.5248806195318938</v>
      </c>
      <c r="N42" s="958"/>
    </row>
    <row r="43" spans="2:14">
      <c r="B43" s="790"/>
      <c r="C43" s="790"/>
      <c r="D43" s="790"/>
      <c r="E43" s="790"/>
      <c r="F43" s="790"/>
      <c r="G43" s="790"/>
      <c r="H43" s="790"/>
      <c r="I43" s="790"/>
      <c r="J43" s="790"/>
      <c r="K43" s="790"/>
      <c r="N43" s="958"/>
    </row>
    <row r="44" spans="2:14">
      <c r="B44" s="798" t="s">
        <v>444</v>
      </c>
      <c r="C44" s="211"/>
      <c r="D44" s="211"/>
      <c r="E44" s="211"/>
      <c r="F44" s="211"/>
      <c r="G44" s="211"/>
      <c r="H44" s="211"/>
      <c r="I44" s="211"/>
      <c r="J44" s="211"/>
      <c r="K44" s="211"/>
      <c r="N44" s="958"/>
    </row>
    <row r="45" spans="2:14">
      <c r="B45" s="369" t="s">
        <v>432</v>
      </c>
      <c r="C45" s="432"/>
      <c r="D45" s="432"/>
      <c r="E45" s="432"/>
      <c r="F45" s="432"/>
      <c r="G45" s="432"/>
      <c r="H45" s="432"/>
      <c r="I45" s="432"/>
      <c r="J45" s="432"/>
      <c r="K45" s="432"/>
      <c r="L45" s="432"/>
      <c r="M45" s="432"/>
      <c r="N45" s="958"/>
    </row>
    <row r="46" spans="2:14">
      <c r="N46" s="958"/>
    </row>
    <row r="47" spans="2:14" ht="12.75" customHeight="1">
      <c r="B47" s="214" t="s">
        <v>115</v>
      </c>
      <c r="C47" s="156" t="s">
        <v>7</v>
      </c>
      <c r="D47" s="861">
        <f>'RFPR cover'!$C$12</f>
        <v>0.65</v>
      </c>
      <c r="E47" s="862">
        <f>'RFPR cover'!$C$12</f>
        <v>0.65</v>
      </c>
      <c r="F47" s="862">
        <f>'RFPR cover'!$C$12</f>
        <v>0.65</v>
      </c>
      <c r="G47" s="862">
        <f>'RFPR cover'!$C$12</f>
        <v>0.65</v>
      </c>
      <c r="H47" s="862">
        <f>'RFPR cover'!$C$12</f>
        <v>0.65</v>
      </c>
      <c r="I47" s="862">
        <f>'RFPR cover'!$C$12</f>
        <v>0.65</v>
      </c>
      <c r="J47" s="862">
        <f>'RFPR cover'!$C$12</f>
        <v>0.65</v>
      </c>
      <c r="K47" s="863">
        <f>'RFPR cover'!$C$12</f>
        <v>0.65</v>
      </c>
      <c r="N47" s="958"/>
    </row>
    <row r="48" spans="2:14" ht="12.75" customHeight="1">
      <c r="B48" s="214" t="s">
        <v>394</v>
      </c>
      <c r="C48" s="156" t="s">
        <v>7</v>
      </c>
      <c r="D48" s="861">
        <f>'R8 - Net Debt'!D57</f>
        <v>0.63218559796835527</v>
      </c>
      <c r="E48" s="862">
        <f>'R8 - Net Debt'!E57</f>
        <v>0.63951424240615751</v>
      </c>
      <c r="F48" s="862">
        <f>'R8 - Net Debt'!F57</f>
        <v>0.63348630041018072</v>
      </c>
      <c r="G48" s="862">
        <f>'R8 - Net Debt'!G57</f>
        <v>0.60784568250141258</v>
      </c>
      <c r="H48" s="862">
        <f>'R8 - Net Debt'!H57</f>
        <v>0.59332180833713033</v>
      </c>
      <c r="I48" s="862">
        <f>'R8 - Net Debt'!I57</f>
        <v>0.59867784597562201</v>
      </c>
      <c r="J48" s="862">
        <f>'R8 - Net Debt'!J57</f>
        <v>0.56425512629421504</v>
      </c>
      <c r="K48" s="863">
        <f>'R8 - Net Debt'!K57</f>
        <v>0.52242668502490808</v>
      </c>
      <c r="N48" s="958"/>
    </row>
    <row r="49" spans="2:23" ht="12.75" customHeight="1">
      <c r="B49" s="214"/>
      <c r="C49" s="156"/>
      <c r="D49" s="156"/>
      <c r="E49" s="156"/>
      <c r="F49" s="156"/>
      <c r="G49" s="156"/>
      <c r="H49" s="156"/>
      <c r="I49" s="156"/>
      <c r="J49" s="156"/>
      <c r="K49" s="156"/>
      <c r="L49" s="156"/>
      <c r="N49" s="958"/>
    </row>
    <row r="50" spans="2:23" ht="12.75" customHeight="1">
      <c r="B50" s="790" t="s">
        <v>464</v>
      </c>
      <c r="C50" s="267" t="s">
        <v>128</v>
      </c>
      <c r="D50" s="757">
        <f>D38</f>
        <v>15.319208924761668</v>
      </c>
      <c r="E50" s="757">
        <f t="shared" ref="E50:K50" si="5">E38</f>
        <v>8.3003616432901737</v>
      </c>
      <c r="F50" s="757">
        <f t="shared" si="5"/>
        <v>22.953359791488314</v>
      </c>
      <c r="G50" s="757">
        <f t="shared" si="5"/>
        <v>20.539824577626291</v>
      </c>
      <c r="H50" s="757">
        <f t="shared" si="5"/>
        <v>25.22558888120232</v>
      </c>
      <c r="I50" s="757">
        <f t="shared" si="5"/>
        <v>22.819088188041579</v>
      </c>
      <c r="J50" s="757">
        <f t="shared" si="5"/>
        <v>15.880518508846864</v>
      </c>
      <c r="K50" s="757">
        <f t="shared" si="5"/>
        <v>12.236979652805285</v>
      </c>
      <c r="N50" s="958"/>
    </row>
    <row r="51" spans="2:23">
      <c r="B51" s="214" t="s">
        <v>445</v>
      </c>
      <c r="C51" s="267" t="s">
        <v>128</v>
      </c>
      <c r="D51" s="757">
        <f>D86-D88</f>
        <v>-0.26825071978374337</v>
      </c>
      <c r="E51" s="757">
        <f t="shared" ref="E51:K51" si="6">E86-E88</f>
        <v>-0.11977610874183586</v>
      </c>
      <c r="F51" s="757">
        <f t="shared" si="6"/>
        <v>-0.11685067682702277</v>
      </c>
      <c r="G51" s="757">
        <f t="shared" si="6"/>
        <v>-0.36032414088849291</v>
      </c>
      <c r="H51" s="757">
        <f t="shared" si="6"/>
        <v>-0.59569759832847047</v>
      </c>
      <c r="I51" s="757">
        <f t="shared" si="6"/>
        <v>-0.78925343301028583</v>
      </c>
      <c r="J51" s="757">
        <f t="shared" si="6"/>
        <v>-3.5807441954152086E-2</v>
      </c>
      <c r="K51" s="757">
        <f t="shared" si="6"/>
        <v>4.5965018588018971</v>
      </c>
      <c r="L51" s="267"/>
      <c r="N51" s="958"/>
    </row>
    <row r="52" spans="2:23" s="31" customFormat="1">
      <c r="B52" s="799" t="s">
        <v>402</v>
      </c>
      <c r="C52" s="267" t="s">
        <v>128</v>
      </c>
      <c r="D52" s="723">
        <f>SUM(D50:D51)</f>
        <v>15.050958204977924</v>
      </c>
      <c r="E52" s="724">
        <f t="shared" ref="E52:K52" si="7">SUM(E50:E51)</f>
        <v>8.1805855345483387</v>
      </c>
      <c r="F52" s="724">
        <f t="shared" si="7"/>
        <v>22.83650911466129</v>
      </c>
      <c r="G52" s="724">
        <f t="shared" si="7"/>
        <v>20.179500436737797</v>
      </c>
      <c r="H52" s="724">
        <f t="shared" si="7"/>
        <v>24.629891282873849</v>
      </c>
      <c r="I52" s="724">
        <f t="shared" si="7"/>
        <v>22.029834755031295</v>
      </c>
      <c r="J52" s="724">
        <f t="shared" si="7"/>
        <v>15.844711066892712</v>
      </c>
      <c r="K52" s="725">
        <f t="shared" si="7"/>
        <v>16.833481511607182</v>
      </c>
      <c r="L52" s="777"/>
      <c r="N52" s="958"/>
    </row>
    <row r="53" spans="2:23">
      <c r="N53" s="958"/>
    </row>
    <row r="54" spans="2:23">
      <c r="B54" s="799" t="s">
        <v>402</v>
      </c>
      <c r="C54" s="397" t="str">
        <f>'RFPR cover'!$C$14</f>
        <v>£m 12/13</v>
      </c>
      <c r="D54" s="723">
        <f>D52/D40</f>
        <v>14.194775525098864</v>
      </c>
      <c r="E54" s="724">
        <f t="shared" ref="E54:K54" si="8">E52/E40</f>
        <v>7.5533780856237716</v>
      </c>
      <c r="F54" s="724">
        <f t="shared" si="8"/>
        <v>20.325064631184802</v>
      </c>
      <c r="G54" s="724">
        <f t="shared" si="8"/>
        <v>17.427743901897657</v>
      </c>
      <c r="H54" s="724">
        <f t="shared" si="8"/>
        <v>20.734507227576053</v>
      </c>
      <c r="I54" s="724">
        <f t="shared" si="8"/>
        <v>18.323434711192224</v>
      </c>
      <c r="J54" s="724">
        <f t="shared" si="8"/>
        <v>12.459280109436282</v>
      </c>
      <c r="K54" s="725">
        <f t="shared" si="8"/>
        <v>11.727029411595929</v>
      </c>
      <c r="N54" s="958"/>
    </row>
    <row r="55" spans="2:23">
      <c r="B55" s="799"/>
      <c r="C55" s="397"/>
      <c r="D55" s="397"/>
      <c r="E55" s="397"/>
      <c r="F55" s="397"/>
      <c r="G55" s="397"/>
      <c r="H55" s="397"/>
      <c r="I55" s="397"/>
      <c r="J55" s="397"/>
      <c r="K55" s="397"/>
      <c r="N55" s="958"/>
    </row>
    <row r="56" spans="2:23">
      <c r="N56" s="958"/>
    </row>
    <row r="57" spans="2:23">
      <c r="B57" s="760" t="s">
        <v>369</v>
      </c>
      <c r="C57" s="761"/>
      <c r="D57" s="761"/>
      <c r="E57" s="761"/>
      <c r="F57" s="761"/>
      <c r="G57" s="761"/>
      <c r="H57" s="761"/>
      <c r="I57" s="761"/>
      <c r="J57" s="761"/>
      <c r="K57" s="761"/>
      <c r="L57" s="761"/>
      <c r="M57" s="489"/>
      <c r="N57" s="958"/>
    </row>
    <row r="58" spans="2:23" s="31" customFormat="1">
      <c r="B58" s="490"/>
      <c r="C58" s="489"/>
      <c r="D58" s="489"/>
      <c r="E58" s="489"/>
      <c r="F58" s="489"/>
      <c r="G58" s="489"/>
      <c r="H58" s="489"/>
      <c r="I58" s="489"/>
      <c r="J58" s="489"/>
      <c r="K58" s="489"/>
      <c r="L58" s="489"/>
      <c r="M58" s="489"/>
      <c r="N58" s="958"/>
    </row>
    <row r="59" spans="2:23">
      <c r="B59" s="368" t="s">
        <v>465</v>
      </c>
      <c r="C59" s="294"/>
      <c r="D59" s="294"/>
      <c r="E59" s="294"/>
      <c r="F59" s="294"/>
      <c r="G59" s="294"/>
      <c r="H59" s="294"/>
      <c r="I59" s="294"/>
      <c r="J59" s="294"/>
      <c r="K59" s="294"/>
      <c r="L59" s="294"/>
      <c r="M59" s="201"/>
      <c r="N59" s="958"/>
    </row>
    <row r="60" spans="2:23" s="31" customFormat="1">
      <c r="B60" s="373"/>
      <c r="C60" s="35"/>
      <c r="D60" s="35"/>
      <c r="E60" s="35"/>
      <c r="F60" s="35"/>
      <c r="G60" s="35"/>
      <c r="H60" s="35"/>
      <c r="I60" s="35"/>
      <c r="J60" s="35"/>
      <c r="K60" s="35"/>
      <c r="L60" s="35"/>
      <c r="M60" s="37"/>
      <c r="N60" s="958"/>
      <c r="P60"/>
      <c r="Q60"/>
      <c r="R60"/>
      <c r="S60"/>
      <c r="T60"/>
      <c r="U60"/>
      <c r="V60"/>
      <c r="W60"/>
    </row>
    <row r="61" spans="2:23">
      <c r="B61" s="201" t="s">
        <v>368</v>
      </c>
      <c r="C61" s="211" t="str">
        <f>'RFPR cover'!$C$14</f>
        <v>£m 12/13</v>
      </c>
      <c r="D61" s="581">
        <v>11.200921314562681</v>
      </c>
      <c r="E61" s="581">
        <v>11.383743215050002</v>
      </c>
      <c r="F61" s="581">
        <v>17.947411306226371</v>
      </c>
      <c r="G61" s="581">
        <v>15.407501849095521</v>
      </c>
      <c r="H61" s="581">
        <v>15.817202582130069</v>
      </c>
      <c r="I61" s="581">
        <v>15.202941909605224</v>
      </c>
      <c r="J61" s="581">
        <v>12.860896533140698</v>
      </c>
      <c r="K61" s="581">
        <v>5.8865464815906847</v>
      </c>
      <c r="N61" s="958"/>
      <c r="P61" s="31"/>
      <c r="Q61" s="31"/>
      <c r="R61" s="31"/>
      <c r="S61" s="31"/>
      <c r="T61" s="31"/>
      <c r="U61" s="31"/>
      <c r="V61" s="31"/>
      <c r="W61" s="31"/>
    </row>
    <row r="62" spans="2:23">
      <c r="B62" s="201" t="s">
        <v>371</v>
      </c>
      <c r="C62" s="211" t="str">
        <f>'RFPR cover'!$C$14</f>
        <v>£m 12/13</v>
      </c>
      <c r="D62" s="589"/>
      <c r="E62" s="590"/>
      <c r="F62" s="590"/>
      <c r="G62" s="590"/>
      <c r="H62" s="590"/>
      <c r="I62" s="590"/>
      <c r="J62" s="590"/>
      <c r="K62" s="665"/>
      <c r="N62" s="958"/>
    </row>
    <row r="63" spans="2:23">
      <c r="B63" s="201" t="s">
        <v>372</v>
      </c>
      <c r="C63" s="211" t="str">
        <f>'RFPR cover'!$C$14</f>
        <v>£m 12/13</v>
      </c>
      <c r="D63" s="630">
        <f t="shared" ref="D63:K63" si="9">SUM(D61:D62)</f>
        <v>11.200921314562681</v>
      </c>
      <c r="E63" s="631">
        <f t="shared" si="9"/>
        <v>11.383743215050002</v>
      </c>
      <c r="F63" s="631">
        <f t="shared" si="9"/>
        <v>17.947411306226371</v>
      </c>
      <c r="G63" s="631">
        <f t="shared" si="9"/>
        <v>15.407501849095521</v>
      </c>
      <c r="H63" s="631">
        <f t="shared" si="9"/>
        <v>15.817202582130069</v>
      </c>
      <c r="I63" s="631">
        <f t="shared" si="9"/>
        <v>15.202941909605224</v>
      </c>
      <c r="J63" s="631">
        <f t="shared" si="9"/>
        <v>12.860896533140698</v>
      </c>
      <c r="K63" s="632">
        <f t="shared" si="9"/>
        <v>5.8865464815906847</v>
      </c>
      <c r="N63" s="958"/>
    </row>
    <row r="64" spans="2:23">
      <c r="B64" s="201"/>
      <c r="C64" s="211"/>
      <c r="D64" s="211"/>
      <c r="E64" s="211"/>
      <c r="F64" s="211"/>
      <c r="G64" s="211"/>
      <c r="H64" s="211"/>
      <c r="I64" s="211"/>
      <c r="J64" s="211"/>
      <c r="K64" s="211"/>
      <c r="L64" s="211"/>
      <c r="N64" s="958"/>
      <c r="P64" s="31"/>
      <c r="Q64" s="31"/>
      <c r="R64" s="31"/>
      <c r="S64" s="31"/>
      <c r="T64" s="31"/>
      <c r="U64" s="31"/>
      <c r="V64" s="31"/>
      <c r="W64" s="31"/>
    </row>
    <row r="65" spans="2:14">
      <c r="B65" s="511" t="s">
        <v>466</v>
      </c>
      <c r="C65" s="294"/>
      <c r="D65" s="294"/>
      <c r="E65" s="294"/>
      <c r="F65" s="294"/>
      <c r="G65" s="294"/>
      <c r="H65" s="294"/>
      <c r="I65" s="294"/>
      <c r="J65" s="294"/>
      <c r="K65" s="294"/>
      <c r="L65" s="294"/>
      <c r="N65" s="958"/>
    </row>
    <row r="66" spans="2:14" s="31" customFormat="1">
      <c r="B66" s="512"/>
      <c r="C66" s="35"/>
      <c r="D66" s="35"/>
      <c r="E66" s="35"/>
      <c r="F66" s="35"/>
      <c r="G66" s="35"/>
      <c r="H66" s="35"/>
      <c r="I66" s="35"/>
      <c r="J66" s="35"/>
      <c r="K66" s="35"/>
      <c r="L66" s="35"/>
      <c r="N66" s="958"/>
    </row>
    <row r="67" spans="2:14">
      <c r="B67" s="201" t="s">
        <v>359</v>
      </c>
      <c r="C67" s="211" t="str">
        <f>'RFPR cover'!$C$14</f>
        <v>£m 12/13</v>
      </c>
      <c r="D67" s="581">
        <v>11.200921314562681</v>
      </c>
      <c r="E67" s="581">
        <v>11.383743215050002</v>
      </c>
      <c r="F67" s="581">
        <v>17.947411306226371</v>
      </c>
      <c r="G67" s="581">
        <v>15.407501849095521</v>
      </c>
      <c r="H67" s="581">
        <v>15.817202582130069</v>
      </c>
      <c r="I67" s="581">
        <v>15.202941909605224</v>
      </c>
      <c r="J67" s="581">
        <v>14.25270331015167</v>
      </c>
      <c r="K67" s="581">
        <v>6.8344758163202046</v>
      </c>
      <c r="N67" s="958"/>
    </row>
    <row r="68" spans="2:14">
      <c r="B68" s="201" t="s">
        <v>374</v>
      </c>
      <c r="C68" s="211" t="str">
        <f>'RFPR cover'!$C$14</f>
        <v>£m 12/13</v>
      </c>
      <c r="D68" s="589"/>
      <c r="E68" s="590"/>
      <c r="F68" s="590"/>
      <c r="G68" s="590"/>
      <c r="H68" s="590"/>
      <c r="I68" s="590"/>
      <c r="J68" s="590"/>
      <c r="K68" s="665"/>
      <c r="N68" s="958"/>
    </row>
    <row r="69" spans="2:14">
      <c r="B69" s="14" t="s">
        <v>375</v>
      </c>
      <c r="C69" s="211" t="str">
        <f>'RFPR cover'!$C$14</f>
        <v>£m 12/13</v>
      </c>
      <c r="D69" s="608">
        <f t="shared" ref="D69:K69" si="10">SUM(D67:D68)</f>
        <v>11.200921314562681</v>
      </c>
      <c r="E69" s="609">
        <f t="shared" si="10"/>
        <v>11.383743215050002</v>
      </c>
      <c r="F69" s="609">
        <f t="shared" si="10"/>
        <v>17.947411306226371</v>
      </c>
      <c r="G69" s="609">
        <f t="shared" si="10"/>
        <v>15.407501849095521</v>
      </c>
      <c r="H69" s="609">
        <f t="shared" si="10"/>
        <v>15.817202582130069</v>
      </c>
      <c r="I69" s="609">
        <f t="shared" si="10"/>
        <v>15.202941909605224</v>
      </c>
      <c r="J69" s="609">
        <f t="shared" si="10"/>
        <v>14.25270331015167</v>
      </c>
      <c r="K69" s="610">
        <f t="shared" si="10"/>
        <v>6.8344758163202046</v>
      </c>
      <c r="N69" s="958"/>
    </row>
    <row r="70" spans="2:14" s="31" customFormat="1">
      <c r="B70" s="512"/>
      <c r="C70" s="35"/>
      <c r="D70" s="726"/>
      <c r="E70" s="726"/>
      <c r="F70" s="726"/>
      <c r="G70" s="726"/>
      <c r="H70" s="726"/>
      <c r="I70" s="726"/>
      <c r="J70" s="726"/>
      <c r="K70" s="726"/>
      <c r="L70" s="35"/>
      <c r="N70" s="958"/>
    </row>
    <row r="71" spans="2:14" s="31" customFormat="1">
      <c r="B71" s="513" t="s">
        <v>373</v>
      </c>
      <c r="C71" s="35"/>
      <c r="D71" s="683">
        <f t="shared" ref="D71:K71" si="11">D69-D63</f>
        <v>0</v>
      </c>
      <c r="E71" s="684">
        <f t="shared" si="11"/>
        <v>0</v>
      </c>
      <c r="F71" s="684">
        <f t="shared" si="11"/>
        <v>0</v>
      </c>
      <c r="G71" s="684">
        <f t="shared" si="11"/>
        <v>0</v>
      </c>
      <c r="H71" s="684">
        <f t="shared" si="11"/>
        <v>0</v>
      </c>
      <c r="I71" s="684">
        <f t="shared" si="11"/>
        <v>0</v>
      </c>
      <c r="J71" s="684">
        <f t="shared" si="11"/>
        <v>1.3918067770109719</v>
      </c>
      <c r="K71" s="685">
        <f t="shared" si="11"/>
        <v>0.9479293347295199</v>
      </c>
      <c r="L71" s="35"/>
      <c r="N71" s="958"/>
    </row>
    <row r="72" spans="2:14">
      <c r="B72" s="201" t="s">
        <v>370</v>
      </c>
      <c r="C72" s="211" t="str">
        <f>'RFPR cover'!$C$14</f>
        <v>£m 12/13</v>
      </c>
      <c r="D72" s="585">
        <v>0</v>
      </c>
      <c r="E72" s="585">
        <v>0</v>
      </c>
      <c r="F72" s="585">
        <v>0</v>
      </c>
      <c r="G72" s="585">
        <v>0</v>
      </c>
      <c r="H72" s="585">
        <v>0</v>
      </c>
      <c r="I72" s="585">
        <v>0</v>
      </c>
      <c r="J72" s="585">
        <v>0</v>
      </c>
      <c r="K72" s="585">
        <v>-0.12752023926373646</v>
      </c>
      <c r="N72" s="958"/>
    </row>
    <row r="73" spans="2:14">
      <c r="B73" s="201" t="s">
        <v>420</v>
      </c>
      <c r="C73" s="211" t="str">
        <f>'RFPR cover'!$C$14</f>
        <v>£m 12/13</v>
      </c>
      <c r="D73" s="585">
        <v>0</v>
      </c>
      <c r="E73" s="585">
        <v>0</v>
      </c>
      <c r="F73" s="585">
        <v>0</v>
      </c>
      <c r="G73" s="585">
        <v>0</v>
      </c>
      <c r="H73" s="585">
        <v>0</v>
      </c>
      <c r="I73" s="585">
        <v>0</v>
      </c>
      <c r="J73" s="585">
        <v>0</v>
      </c>
      <c r="K73" s="585">
        <v>0</v>
      </c>
      <c r="N73" s="958"/>
    </row>
    <row r="74" spans="2:14">
      <c r="B74" s="201" t="s">
        <v>329</v>
      </c>
      <c r="C74" s="211" t="str">
        <f>'RFPR cover'!$C$14</f>
        <v>£m 12/13</v>
      </c>
      <c r="D74" s="585">
        <v>0</v>
      </c>
      <c r="E74" s="585">
        <v>0</v>
      </c>
      <c r="F74" s="585">
        <v>0</v>
      </c>
      <c r="G74" s="585">
        <v>0</v>
      </c>
      <c r="H74" s="585">
        <v>0</v>
      </c>
      <c r="I74" s="585">
        <v>0</v>
      </c>
      <c r="J74" s="585">
        <v>1.3918067770109719</v>
      </c>
      <c r="K74" s="585">
        <v>1.0749145423060025</v>
      </c>
      <c r="N74" s="958"/>
    </row>
    <row r="75" spans="2:14">
      <c r="B75" s="201" t="s">
        <v>122</v>
      </c>
      <c r="C75" s="211"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c r="N75" s="958"/>
    </row>
    <row r="76" spans="2:14">
      <c r="B76" s="201"/>
      <c r="C76" s="201"/>
      <c r="D76" s="201"/>
      <c r="E76" s="201"/>
      <c r="F76" s="201"/>
      <c r="G76" s="201"/>
      <c r="H76" s="201"/>
      <c r="I76" s="201"/>
      <c r="J76" s="201"/>
      <c r="K76" s="201"/>
      <c r="L76" s="201"/>
      <c r="M76" s="201"/>
      <c r="N76" s="958"/>
    </row>
    <row r="77" spans="2:14">
      <c r="N77" s="958"/>
    </row>
    <row r="78" spans="2:14">
      <c r="B78" s="803" t="s">
        <v>422</v>
      </c>
      <c r="C78" s="803"/>
      <c r="D78" s="803"/>
      <c r="E78" s="803"/>
      <c r="F78" s="803"/>
      <c r="G78" s="803"/>
      <c r="H78" s="803"/>
      <c r="I78" s="803"/>
      <c r="J78" s="803"/>
      <c r="K78" s="803"/>
      <c r="L78" s="803"/>
      <c r="N78" s="958"/>
    </row>
    <row r="79" spans="2:14">
      <c r="N79" s="958"/>
    </row>
    <row r="80" spans="2:14">
      <c r="B80" s="14" t="s">
        <v>423</v>
      </c>
      <c r="C80" s="212" t="str">
        <f>'RFPR cover'!$C$14</f>
        <v>£m 12/13</v>
      </c>
      <c r="D80" s="608">
        <f t="shared" ref="D80:K80" si="12">D$69-D42</f>
        <v>-3.2468453291027792</v>
      </c>
      <c r="E80" s="609">
        <f t="shared" si="12"/>
        <v>3.7197722835802853</v>
      </c>
      <c r="F80" s="609">
        <f t="shared" si="12"/>
        <v>-2.4816533517042956</v>
      </c>
      <c r="G80" s="609">
        <f t="shared" si="12"/>
        <v>-2.3314309679471066</v>
      </c>
      <c r="H80" s="609">
        <f t="shared" si="12"/>
        <v>-5.4187886356160853</v>
      </c>
      <c r="I80" s="609">
        <f t="shared" si="12"/>
        <v>-3.7769586312748675</v>
      </c>
      <c r="J80" s="609">
        <f t="shared" si="12"/>
        <v>1.7652664897835404</v>
      </c>
      <c r="K80" s="610">
        <f t="shared" si="12"/>
        <v>-1.6904048032116892</v>
      </c>
      <c r="N80" s="958"/>
    </row>
    <row r="81" spans="2:14">
      <c r="B81" s="14"/>
      <c r="C81" s="14"/>
      <c r="D81" s="14"/>
      <c r="E81" s="14"/>
      <c r="F81" s="14"/>
      <c r="G81" s="14"/>
      <c r="H81" s="14"/>
      <c r="I81" s="14"/>
      <c r="J81" s="14"/>
      <c r="K81" s="14"/>
      <c r="N81" s="958"/>
    </row>
    <row r="82" spans="2:14">
      <c r="B82" s="14" t="s">
        <v>434</v>
      </c>
      <c r="C82" s="212" t="str">
        <f>'RFPR cover'!$C$14</f>
        <v>£m 12/13</v>
      </c>
      <c r="D82" s="608">
        <f t="shared" ref="D82:K82" si="13">D$69-D54</f>
        <v>-2.9938542105361829</v>
      </c>
      <c r="E82" s="609">
        <f t="shared" si="13"/>
        <v>3.8303651294262302</v>
      </c>
      <c r="F82" s="609">
        <f t="shared" si="13"/>
        <v>-2.3776533249584304</v>
      </c>
      <c r="G82" s="609">
        <f t="shared" si="13"/>
        <v>-2.0202420528021356</v>
      </c>
      <c r="H82" s="609">
        <f t="shared" si="13"/>
        <v>-4.9173046454459843</v>
      </c>
      <c r="I82" s="609">
        <f t="shared" si="13"/>
        <v>-3.1204928015869999</v>
      </c>
      <c r="J82" s="609">
        <f t="shared" si="13"/>
        <v>1.7934232007153881</v>
      </c>
      <c r="K82" s="610">
        <f t="shared" si="13"/>
        <v>-4.8925535952757242</v>
      </c>
      <c r="N82" s="958"/>
    </row>
    <row r="83" spans="2:14">
      <c r="N83" s="958"/>
    </row>
    <row r="84" spans="2:14">
      <c r="B84" s="14" t="s">
        <v>433</v>
      </c>
      <c r="C84" s="212" t="str">
        <f>'RFPR cover'!$C$14</f>
        <v>£m 12/13</v>
      </c>
      <c r="D84" s="608">
        <f>D80-D82</f>
        <v>-0.25299111856659628</v>
      </c>
      <c r="E84" s="609">
        <f t="shared" ref="E84:K84" si="14">E80-E82</f>
        <v>-0.11059284584594486</v>
      </c>
      <c r="F84" s="609">
        <f t="shared" si="14"/>
        <v>-0.10400002674586517</v>
      </c>
      <c r="G84" s="609">
        <f t="shared" si="14"/>
        <v>-0.31118891514497093</v>
      </c>
      <c r="H84" s="609">
        <f t="shared" si="14"/>
        <v>-0.50148399017010092</v>
      </c>
      <c r="I84" s="609">
        <f t="shared" si="14"/>
        <v>-0.6564658296878676</v>
      </c>
      <c r="J84" s="609">
        <f t="shared" si="14"/>
        <v>-2.8156710931847684E-2</v>
      </c>
      <c r="K84" s="610">
        <f t="shared" si="14"/>
        <v>3.202148792064035</v>
      </c>
      <c r="N84" s="958"/>
    </row>
    <row r="85" spans="2:14">
      <c r="N85" s="958"/>
    </row>
    <row r="86" spans="2:14">
      <c r="B86" t="s">
        <v>517</v>
      </c>
      <c r="C86" s="267" t="s">
        <v>128</v>
      </c>
      <c r="D86" s="585">
        <f>-'R7 - Financing'!D86*Data!$G$20*D$40</f>
        <v>2.7609480131962458</v>
      </c>
      <c r="E86" s="585">
        <f>-'R7 - Financing'!E86*Data!$G$21*E$40</f>
        <v>0.6663047247970314</v>
      </c>
      <c r="F86" s="585">
        <f>-'R7 - Financing'!F86*Data!$G$22*F$40</f>
        <v>-1.7316264462438073</v>
      </c>
      <c r="G86" s="585">
        <f>-'R7 - Financing'!G86*Data!$G$23*G$40</f>
        <v>-0.36685016139472326</v>
      </c>
      <c r="H86" s="585">
        <f>-'R7 - Financing'!H86*Data!$G$24*H$40</f>
        <v>1.4622240617674451</v>
      </c>
      <c r="I86" s="585">
        <f>-'R7 - Financing'!I86*Data!$G$25*I$40</f>
        <v>5.8266958722376136</v>
      </c>
      <c r="J86" s="585">
        <f>-'R7 - Financing'!J86*Data!$G$26*J$40</f>
        <v>-2.3087086047115086</v>
      </c>
      <c r="K86" s="585">
        <f>-'R7 - Financing'!K86*Data!$G$27*K$40</f>
        <v>-20.335381271105593</v>
      </c>
      <c r="N86" s="958"/>
    </row>
    <row r="87" spans="2:14">
      <c r="B87" t="s">
        <v>517</v>
      </c>
      <c r="C87" s="397" t="str">
        <f>'RFPR cover'!$C$14</f>
        <v>£m 12/13</v>
      </c>
      <c r="D87" s="757">
        <f>D86/D$40</f>
        <v>2.6038898487424169</v>
      </c>
      <c r="E87" s="757">
        <f t="shared" ref="E87:K87" si="15">E86/E$40</f>
        <v>0.61521898223234528</v>
      </c>
      <c r="F87" s="757">
        <f t="shared" si="15"/>
        <v>-1.541190873800339</v>
      </c>
      <c r="G87" s="757">
        <f t="shared" si="15"/>
        <v>-0.31682502166989257</v>
      </c>
      <c r="H87" s="757">
        <f t="shared" si="15"/>
        <v>1.2309634268720613</v>
      </c>
      <c r="I87" s="757">
        <f t="shared" si="15"/>
        <v>4.8463859390745334</v>
      </c>
      <c r="J87" s="757">
        <f t="shared" si="15"/>
        <v>-1.8154226401307001</v>
      </c>
      <c r="K87" s="757">
        <f t="shared" si="15"/>
        <v>-14.166624657997081</v>
      </c>
      <c r="N87" s="958"/>
    </row>
    <row r="88" spans="2:14">
      <c r="B88" t="s">
        <v>518</v>
      </c>
      <c r="C88" s="267" t="s">
        <v>128</v>
      </c>
      <c r="D88" s="585">
        <f>-'R7 - Financing'!D88*Data!$G$20*D$40</f>
        <v>3.0291987329799892</v>
      </c>
      <c r="E88" s="585">
        <f>-'R7 - Financing'!E88*Data!$G$21*E$40</f>
        <v>0.78608083353886726</v>
      </c>
      <c r="F88" s="585">
        <f>-'R7 - Financing'!F88*Data!$G$22*F$40</f>
        <v>-1.6147757694167846</v>
      </c>
      <c r="G88" s="585">
        <f>-'R7 - Financing'!G88*Data!$G$23*G$40</f>
        <v>-6.5260205062303411E-3</v>
      </c>
      <c r="H88" s="585">
        <f>-'R7 - Financing'!H88*Data!$G$24*H$40</f>
        <v>2.0579216600959156</v>
      </c>
      <c r="I88" s="585">
        <f>-'R7 - Financing'!I88*Data!$G$25*I$40</f>
        <v>6.6159493052478995</v>
      </c>
      <c r="J88" s="585">
        <f>-'R7 - Financing'!J88*Data!$G$26*J$40</f>
        <v>-2.2729011627573565</v>
      </c>
      <c r="K88" s="585">
        <f>-'R7 - Financing'!K88*Data!$G$27*K$40</f>
        <v>-24.93188312990749</v>
      </c>
      <c r="N88" s="958"/>
    </row>
    <row r="89" spans="2:14">
      <c r="B89" t="s">
        <v>518</v>
      </c>
      <c r="C89" s="397" t="str">
        <f>'RFPR cover'!$C$14</f>
        <v>£m 12/13</v>
      </c>
      <c r="D89" s="757">
        <f t="shared" ref="D89:K89" si="16">D88/D$40</f>
        <v>2.8568809673090119</v>
      </c>
      <c r="E89" s="757">
        <f t="shared" si="16"/>
        <v>0.72581182807829037</v>
      </c>
      <c r="F89" s="757">
        <f t="shared" si="16"/>
        <v>-1.4371908470544756</v>
      </c>
      <c r="G89" s="757">
        <f t="shared" si="16"/>
        <v>-5.6361065249195532E-3</v>
      </c>
      <c r="H89" s="757">
        <f t="shared" si="16"/>
        <v>1.7324474170421624</v>
      </c>
      <c r="I89" s="757">
        <f t="shared" si="16"/>
        <v>5.5028517687624037</v>
      </c>
      <c r="J89" s="757">
        <f t="shared" si="16"/>
        <v>-1.7872659291988515</v>
      </c>
      <c r="K89" s="757">
        <f t="shared" si="16"/>
        <v>-17.368773450061116</v>
      </c>
      <c r="N89" s="958"/>
    </row>
    <row r="90" spans="2:14">
      <c r="B90" t="s">
        <v>521</v>
      </c>
      <c r="C90" s="397" t="str">
        <f>'RFPR cover'!$C$14</f>
        <v>£m 12/13</v>
      </c>
      <c r="D90" s="757">
        <f>D87-D89</f>
        <v>-0.25299111856659495</v>
      </c>
      <c r="E90" s="757">
        <f t="shared" ref="E90:K90" si="17">E87-E89</f>
        <v>-0.11059284584594509</v>
      </c>
      <c r="F90" s="757">
        <f t="shared" si="17"/>
        <v>-0.10400002674586339</v>
      </c>
      <c r="G90" s="757">
        <f t="shared" si="17"/>
        <v>-0.31118891514497304</v>
      </c>
      <c r="H90" s="757">
        <f t="shared" si="17"/>
        <v>-0.50148399017010115</v>
      </c>
      <c r="I90" s="757">
        <f t="shared" si="17"/>
        <v>-0.65646582968787026</v>
      </c>
      <c r="J90" s="757">
        <f t="shared" si="17"/>
        <v>-2.8156710931848572E-2</v>
      </c>
      <c r="K90" s="757">
        <f t="shared" si="17"/>
        <v>3.202148792064035</v>
      </c>
      <c r="N90" s="958"/>
    </row>
    <row r="91" spans="2:14">
      <c r="N91" s="958"/>
    </row>
    <row r="92" spans="2:14">
      <c r="N92" s="958"/>
    </row>
  </sheetData>
  <conditionalFormatting sqref="D6:K7">
    <cfRule type="expression" dxfId="44" priority="98">
      <formula>AND(D$6="Actuals",E$6="Forecast")</formula>
    </cfRule>
  </conditionalFormatting>
  <conditionalFormatting sqref="D5:K5">
    <cfRule type="expression" dxfId="43" priority="73">
      <formula>AND(D$5="Actuals",E$5="Forecast")</formula>
    </cfRule>
  </conditionalFormatting>
  <conditionalFormatting sqref="D37:F37">
    <cfRule type="expression" dxfId="42" priority="41">
      <formula>AND(D$5="Actuals",E$5="Actuals")</formula>
    </cfRule>
  </conditionalFormatting>
  <conditionalFormatting sqref="K12 D19:K19 I25:K27 I15:K15 K24 K28:K34 K16:K18">
    <cfRule type="expression" dxfId="41" priority="40">
      <formula>NOT(AND(D$5="Actuals"))</formula>
    </cfRule>
  </conditionalFormatting>
  <conditionalFormatting sqref="G37">
    <cfRule type="expression" dxfId="40" priority="206">
      <formula>AND(E$5="Actuals",F$5="Actuals")</formula>
    </cfRule>
  </conditionalFormatting>
  <conditionalFormatting sqref="H37:I37">
    <cfRule type="expression" dxfId="39" priority="29">
      <formula>AND(F$5="Actuals",G$5="Actuals")</formula>
    </cfRule>
  </conditionalFormatting>
  <conditionalFormatting sqref="D12 D15:H15 D16">
    <cfRule type="expression" dxfId="38" priority="28">
      <formula>NOT(AND(D$5="Actuals"))</formula>
    </cfRule>
  </conditionalFormatting>
  <conditionalFormatting sqref="D25:H27">
    <cfRule type="expression" dxfId="37" priority="27">
      <formula>NOT(AND(D$5="Actuals"))</formula>
    </cfRule>
  </conditionalFormatting>
  <conditionalFormatting sqref="D34:J34">
    <cfRule type="expression" dxfId="36" priority="25">
      <formula>NOT(AND(D$5="Actuals"))</formula>
    </cfRule>
  </conditionalFormatting>
  <conditionalFormatting sqref="D24:J24">
    <cfRule type="expression" dxfId="35" priority="20">
      <formula>NOT(AND(D$5="Actuals"))</formula>
    </cfRule>
  </conditionalFormatting>
  <conditionalFormatting sqref="E12:J12">
    <cfRule type="expression" dxfId="34" priority="5">
      <formula>NOT(AND(E$5="Actuals"))</formula>
    </cfRule>
  </conditionalFormatting>
  <conditionalFormatting sqref="D17:J18">
    <cfRule type="expression" dxfId="33" priority="4">
      <formula>NOT(AND(D$5="Actuals"))</formula>
    </cfRule>
  </conditionalFormatting>
  <conditionalFormatting sqref="E16:J16">
    <cfRule type="expression" dxfId="32" priority="3">
      <formula>NOT(AND(E$5="Actuals"))</formula>
    </cfRule>
  </conditionalFormatting>
  <conditionalFormatting sqref="D28:J32">
    <cfRule type="expression" dxfId="31" priority="2">
      <formula>NOT(AND(D$5="Actuals"))</formula>
    </cfRule>
  </conditionalFormatting>
  <conditionalFormatting sqref="D33:J33">
    <cfRule type="expression" dxfId="30"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60" zoomScaleNormal="60" workbookViewId="0">
      <pane ySplit="6" topLeftCell="A7" activePane="bottomLeft" state="frozen"/>
      <selection activeCell="D26" sqref="D26"/>
      <selection pane="bottomLeft" activeCell="M44" sqref="M44"/>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895" t="s">
        <v>256</v>
      </c>
      <c r="B1" s="906"/>
      <c r="C1" s="121"/>
      <c r="D1" s="121"/>
      <c r="E1" s="121"/>
      <c r="F1" s="121"/>
      <c r="G1" s="121"/>
      <c r="H1" s="121"/>
      <c r="I1" s="127"/>
      <c r="J1" s="127"/>
      <c r="K1" s="128"/>
      <c r="L1" s="129"/>
    </row>
    <row r="2" spans="1:18" s="31" customFormat="1" ht="21">
      <c r="A2" s="880" t="str">
        <f>'RFPR cover'!C5</f>
        <v>NGED-EMID</v>
      </c>
      <c r="B2" s="872"/>
      <c r="C2" s="29"/>
      <c r="D2" s="29"/>
      <c r="E2" s="29"/>
      <c r="F2" s="29"/>
      <c r="G2" s="29"/>
      <c r="H2" s="29"/>
      <c r="I2" s="27"/>
      <c r="J2" s="27"/>
      <c r="K2" s="27"/>
      <c r="L2" s="124"/>
    </row>
    <row r="3" spans="1:18" s="31" customFormat="1" ht="22.8">
      <c r="A3" s="897">
        <f>'RFPR cover'!C7</f>
        <v>2023</v>
      </c>
      <c r="B3" s="889" t="str">
        <f>'R1 - RoRE'!B3</f>
        <v/>
      </c>
      <c r="C3" s="125"/>
      <c r="D3" s="125"/>
      <c r="E3" s="125"/>
      <c r="F3" s="125"/>
      <c r="G3" s="125"/>
      <c r="H3" s="125"/>
      <c r="I3" s="28"/>
      <c r="J3" s="28"/>
      <c r="K3" s="28"/>
      <c r="L3" s="126"/>
    </row>
    <row r="4" spans="1:18" s="2" customFormat="1" ht="12.75" customHeight="1"/>
    <row r="5" spans="1:18" s="2" customFormat="1">
      <c r="B5" s="3"/>
      <c r="C5" s="3"/>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230</v>
      </c>
      <c r="C8" s="153" t="s">
        <v>128</v>
      </c>
      <c r="D8" s="622">
        <v>52.4</v>
      </c>
      <c r="E8" s="622">
        <v>130</v>
      </c>
      <c r="F8" s="622">
        <v>113.39999999999999</v>
      </c>
      <c r="G8" s="622">
        <v>30</v>
      </c>
      <c r="H8" s="622">
        <v>64.7</v>
      </c>
      <c r="I8" s="622">
        <v>40.299999999999997</v>
      </c>
      <c r="J8" s="622">
        <v>74.3</v>
      </c>
      <c r="K8" s="624">
        <v>100</v>
      </c>
    </row>
    <row r="9" spans="1:18">
      <c r="B9" s="15" t="s">
        <v>105</v>
      </c>
      <c r="C9" s="14"/>
      <c r="D9" s="727"/>
      <c r="E9" s="727"/>
      <c r="F9" s="727"/>
      <c r="G9" s="727"/>
      <c r="H9" s="727"/>
      <c r="I9" s="727"/>
      <c r="J9" s="727"/>
      <c r="K9" s="727"/>
    </row>
    <row r="10" spans="1:18">
      <c r="B10" s="431" t="s">
        <v>667</v>
      </c>
      <c r="C10" s="153" t="s">
        <v>128</v>
      </c>
      <c r="D10" s="622">
        <v>0.70530718070329035</v>
      </c>
      <c r="E10" s="622">
        <v>4.5555230016632677</v>
      </c>
      <c r="F10" s="622">
        <v>5.1345820471639163</v>
      </c>
      <c r="G10" s="622">
        <v>2.1504056604487256</v>
      </c>
      <c r="H10" s="622">
        <v>3.8163456235059972</v>
      </c>
      <c r="I10" s="622">
        <v>2.5969558020871468</v>
      </c>
      <c r="J10" s="622">
        <v>6.1693625502012948</v>
      </c>
      <c r="K10" s="604">
        <v>3.6037194280688754</v>
      </c>
      <c r="M10" s="323"/>
    </row>
    <row r="11" spans="1:18">
      <c r="B11" s="431" t="s">
        <v>22</v>
      </c>
      <c r="C11" s="153" t="s">
        <v>128</v>
      </c>
      <c r="D11" s="622">
        <v>0</v>
      </c>
      <c r="E11" s="622">
        <v>0</v>
      </c>
      <c r="F11" s="622">
        <v>0</v>
      </c>
      <c r="G11" s="622">
        <v>0</v>
      </c>
      <c r="H11" s="622">
        <v>0</v>
      </c>
      <c r="I11" s="622">
        <v>0</v>
      </c>
      <c r="J11" s="622">
        <v>0</v>
      </c>
      <c r="K11" s="605">
        <v>0</v>
      </c>
    </row>
    <row r="12" spans="1:18">
      <c r="B12" s="431" t="s">
        <v>20</v>
      </c>
      <c r="C12" s="153" t="s">
        <v>128</v>
      </c>
      <c r="D12" s="622">
        <v>0</v>
      </c>
      <c r="E12" s="622">
        <v>0</v>
      </c>
      <c r="F12" s="622">
        <v>0</v>
      </c>
      <c r="G12" s="622">
        <v>0</v>
      </c>
      <c r="H12" s="622">
        <v>0</v>
      </c>
      <c r="I12" s="622">
        <v>0</v>
      </c>
      <c r="J12" s="622">
        <v>0</v>
      </c>
      <c r="K12" s="607">
        <v>0</v>
      </c>
      <c r="Q12" s="217"/>
    </row>
    <row r="13" spans="1:18">
      <c r="B13" s="14" t="s">
        <v>106</v>
      </c>
      <c r="C13" s="153" t="s">
        <v>128</v>
      </c>
      <c r="D13" s="718">
        <f>D8-SUM(D10:D12)</f>
        <v>51.694692819296705</v>
      </c>
      <c r="E13" s="719">
        <f t="shared" ref="E13:K13" si="1">E8-SUM(E10:E12)</f>
        <v>125.44447699833674</v>
      </c>
      <c r="F13" s="719">
        <f t="shared" si="1"/>
        <v>108.26541795283607</v>
      </c>
      <c r="G13" s="719">
        <f t="shared" si="1"/>
        <v>27.849594339551274</v>
      </c>
      <c r="H13" s="719">
        <f t="shared" si="1"/>
        <v>60.883654376494007</v>
      </c>
      <c r="I13" s="719">
        <f t="shared" ref="I13" si="2">I8-SUM(I10:I12)</f>
        <v>37.703044197912853</v>
      </c>
      <c r="J13" s="719">
        <f t="shared" ref="J13" si="3">J8-SUM(J10:J12)</f>
        <v>68.130637449798698</v>
      </c>
      <c r="K13" s="720">
        <f t="shared" si="1"/>
        <v>96.396280571931129</v>
      </c>
      <c r="R13" s="216"/>
    </row>
    <row r="14" spans="1:18">
      <c r="C14" s="14"/>
      <c r="Q14" s="217"/>
    </row>
    <row r="15" spans="1:18">
      <c r="B15" s="14" t="s">
        <v>493</v>
      </c>
      <c r="C15" s="153" t="s">
        <v>128</v>
      </c>
      <c r="D15" s="622">
        <v>0</v>
      </c>
      <c r="E15" s="622">
        <v>0</v>
      </c>
      <c r="F15" s="622">
        <v>0</v>
      </c>
      <c r="G15" s="622">
        <v>0</v>
      </c>
      <c r="H15" s="622">
        <v>0</v>
      </c>
      <c r="I15" s="622">
        <v>0</v>
      </c>
      <c r="J15" s="622">
        <v>0</v>
      </c>
      <c r="K15" s="604">
        <v>0</v>
      </c>
    </row>
  </sheetData>
  <conditionalFormatting sqref="D6:K6">
    <cfRule type="expression" dxfId="29" priority="17">
      <formula>AND(D$5="Actuals",E$5="N/A")</formula>
    </cfRule>
  </conditionalFormatting>
  <conditionalFormatting sqref="D5:K5">
    <cfRule type="expression" dxfId="28" priority="10">
      <formula>AND(D$5="Actuals",E$5="N/A")</formula>
    </cfRule>
  </conditionalFormatting>
  <conditionalFormatting sqref="D8 D5:K6 D13:H13 K10:K13 K8">
    <cfRule type="expression" dxfId="27" priority="9">
      <formula>D$5="N/A"</formula>
    </cfRule>
  </conditionalFormatting>
  <conditionalFormatting sqref="K15">
    <cfRule type="expression" dxfId="26" priority="8">
      <formula>K$5="N/A"</formula>
    </cfRule>
  </conditionalFormatting>
  <conditionalFormatting sqref="J13">
    <cfRule type="expression" dxfId="25" priority="7">
      <formula>J$5="N/A"</formula>
    </cfRule>
  </conditionalFormatting>
  <conditionalFormatting sqref="I13">
    <cfRule type="expression" dxfId="24" priority="5">
      <formula>I$5="N/A"</formula>
    </cfRule>
  </conditionalFormatting>
  <conditionalFormatting sqref="E8:J8">
    <cfRule type="expression" dxfId="23" priority="3">
      <formula>E$5="N/A"</formula>
    </cfRule>
  </conditionalFormatting>
  <conditionalFormatting sqref="D10:J12">
    <cfRule type="expression" dxfId="22" priority="2">
      <formula>D$5="N/A"</formula>
    </cfRule>
  </conditionalFormatting>
  <conditionalFormatting sqref="D15:J15">
    <cfRule type="expression" dxfId="21"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D26" sqref="D26"/>
      <selection pane="bottomLeft" activeCell="F42" sqref="F42"/>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891" t="s">
        <v>255</v>
      </c>
      <c r="B1" s="887"/>
      <c r="C1" s="257"/>
      <c r="D1" s="257"/>
      <c r="E1" s="257"/>
      <c r="F1" s="257"/>
      <c r="G1" s="257"/>
      <c r="H1" s="257"/>
      <c r="I1" s="258"/>
      <c r="J1" s="258"/>
      <c r="K1" s="259"/>
      <c r="L1" s="260"/>
    </row>
    <row r="2" spans="1:12" s="31" customFormat="1" ht="21">
      <c r="A2" s="880" t="str">
        <f>'RFPR cover'!C5</f>
        <v>NGED-EMID</v>
      </c>
      <c r="B2" s="872"/>
      <c r="C2" s="29"/>
      <c r="D2" s="29"/>
      <c r="E2" s="29"/>
      <c r="F2" s="29"/>
      <c r="G2" s="29"/>
      <c r="H2" s="29"/>
      <c r="I2" s="27"/>
      <c r="J2" s="27"/>
      <c r="K2" s="27"/>
      <c r="L2" s="124"/>
    </row>
    <row r="3" spans="1:12" s="31" customFormat="1" ht="21">
      <c r="A3" s="883">
        <f>'RFPR cover'!C7</f>
        <v>2023</v>
      </c>
      <c r="B3" s="890"/>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382</v>
      </c>
      <c r="C8" s="153" t="s">
        <v>128</v>
      </c>
      <c r="D8" s="728">
        <v>39.904423487056519</v>
      </c>
      <c r="E8" s="728">
        <v>83.883246649462279</v>
      </c>
      <c r="F8" s="728">
        <v>0</v>
      </c>
      <c r="G8" s="728">
        <v>38.471870759059328</v>
      </c>
      <c r="H8" s="728">
        <v>40.248331448101581</v>
      </c>
      <c r="I8" s="728">
        <v>40.654925256038659</v>
      </c>
      <c r="J8" s="728">
        <v>9.1473581826086967</v>
      </c>
      <c r="K8" s="729">
        <v>22.868395456521743</v>
      </c>
    </row>
    <row r="9" spans="1:12">
      <c r="B9" s="16" t="s">
        <v>24</v>
      </c>
      <c r="D9" s="727"/>
      <c r="E9" s="727"/>
      <c r="F9" s="727"/>
      <c r="G9" s="727"/>
      <c r="H9" s="727"/>
      <c r="I9" s="727"/>
      <c r="J9" s="727"/>
      <c r="K9" s="727"/>
    </row>
    <row r="10" spans="1:12">
      <c r="B10" t="s">
        <v>23</v>
      </c>
      <c r="C10" s="153" t="s">
        <v>128</v>
      </c>
      <c r="D10" s="728">
        <v>31.307510605047632</v>
      </c>
      <c r="E10" s="728">
        <v>65.811661618686941</v>
      </c>
      <c r="F10" s="728">
        <v>0</v>
      </c>
      <c r="G10" s="728">
        <v>31.045581994729201</v>
      </c>
      <c r="H10" s="728">
        <v>32.479129542429028</v>
      </c>
      <c r="I10" s="728">
        <v>35.578253721252558</v>
      </c>
      <c r="J10" s="728">
        <v>8.0051070872818251</v>
      </c>
      <c r="K10" s="661">
        <v>20.012767718204561</v>
      </c>
    </row>
    <row r="11" spans="1:12">
      <c r="B11" t="s">
        <v>25</v>
      </c>
      <c r="C11" s="153" t="s">
        <v>128</v>
      </c>
      <c r="D11" s="728">
        <v>1.0100421027627107</v>
      </c>
      <c r="E11" s="728">
        <v>2.1232135043842439</v>
      </c>
      <c r="F11" s="728">
        <v>0</v>
      </c>
      <c r="G11" s="728">
        <v>0.17104707475120423</v>
      </c>
      <c r="H11" s="728">
        <v>0.15880392949367192</v>
      </c>
      <c r="I11" s="728">
        <v>-2.4636075675963793</v>
      </c>
      <c r="J11" s="728">
        <v>-0.55431170270918528</v>
      </c>
      <c r="K11" s="730">
        <v>-1.3857792567729634</v>
      </c>
    </row>
    <row r="12" spans="1:12">
      <c r="D12" s="727"/>
      <c r="E12" s="727"/>
      <c r="F12" s="727"/>
      <c r="G12" s="727"/>
      <c r="H12" s="727"/>
      <c r="I12" s="727"/>
      <c r="J12" s="727"/>
      <c r="K12" s="727"/>
    </row>
    <row r="13" spans="1:12">
      <c r="D13" s="727"/>
      <c r="E13" s="727"/>
      <c r="F13" s="727"/>
      <c r="G13" s="727"/>
      <c r="H13" s="727"/>
      <c r="I13" s="727"/>
      <c r="J13" s="727"/>
      <c r="K13" s="727"/>
    </row>
    <row r="14" spans="1:12">
      <c r="B14" t="s">
        <v>23</v>
      </c>
      <c r="C14" s="211" t="str">
        <f>'RFPR cover'!$C$14</f>
        <v>£m 12/13</v>
      </c>
      <c r="D14" s="17">
        <f>D10/Data!C$34</f>
        <v>29.526564304810989</v>
      </c>
      <c r="E14" s="17">
        <f>E10/Data!D$34</f>
        <v>60.765865786711394</v>
      </c>
      <c r="F14" s="17">
        <f>F10/Data!E$34</f>
        <v>0</v>
      </c>
      <c r="G14" s="17">
        <f>G10/Data!F$34</f>
        <v>26.812083578862467</v>
      </c>
      <c r="H14" s="17">
        <f>H10/Data!G$34</f>
        <v>27.34233531559039</v>
      </c>
      <c r="I14" s="17">
        <f>I10/Data!H$34</f>
        <v>29.592405773752564</v>
      </c>
      <c r="J14" s="17">
        <f>J10/Data!I$34</f>
        <v>6.2947106504755803</v>
      </c>
      <c r="K14" s="17">
        <f>K10/Data!J$34</f>
        <v>13.941876223109078</v>
      </c>
    </row>
    <row r="15" spans="1:12">
      <c r="D15" s="727"/>
      <c r="E15" s="727"/>
      <c r="F15" s="727"/>
      <c r="G15" s="727"/>
      <c r="H15" s="727"/>
      <c r="I15" s="727"/>
      <c r="J15" s="727"/>
      <c r="K15" s="727"/>
    </row>
    <row r="16" spans="1:12">
      <c r="D16" s="727"/>
      <c r="E16" s="727"/>
      <c r="F16" s="727"/>
      <c r="G16" s="727"/>
      <c r="H16" s="727"/>
      <c r="I16" s="727"/>
      <c r="J16" s="727"/>
      <c r="K16" s="727"/>
    </row>
    <row r="17" spans="2:11" s="2" customFormat="1">
      <c r="B17" s="14" t="s">
        <v>309</v>
      </c>
      <c r="C17" s="211" t="str">
        <f>'RFPR cover'!$C$14</f>
        <v>£m 12/13</v>
      </c>
      <c r="D17" s="728">
        <v>31.846436229437938</v>
      </c>
      <c r="E17" s="728">
        <v>31.846436229437938</v>
      </c>
      <c r="F17" s="728">
        <v>31.846436229437938</v>
      </c>
      <c r="G17" s="728">
        <v>31.851206180320521</v>
      </c>
      <c r="H17" s="728">
        <v>31.851206180320521</v>
      </c>
      <c r="I17" s="728">
        <v>31.851206180320521</v>
      </c>
      <c r="J17" s="728">
        <v>36.278607480595049</v>
      </c>
      <c r="K17" s="728">
        <v>36.278607480595049</v>
      </c>
    </row>
    <row r="18" spans="2:11" s="2" customFormat="1">
      <c r="B18" s="201" t="s">
        <v>310</v>
      </c>
      <c r="C18" s="211" t="str">
        <f>'RFPR cover'!$C$14</f>
        <v>£m 12/13</v>
      </c>
      <c r="D18" s="728">
        <v>4.3948307927361379</v>
      </c>
      <c r="E18" s="728">
        <v>4.3948307927361379</v>
      </c>
      <c r="F18" s="728">
        <v>4.3948307927361379</v>
      </c>
      <c r="G18" s="728">
        <v>4.399600743618671</v>
      </c>
      <c r="H18" s="728">
        <v>4.399600743618671</v>
      </c>
      <c r="I18" s="728">
        <v>4.399600743618671</v>
      </c>
      <c r="J18" s="851">
        <v>11.5</v>
      </c>
      <c r="K18" s="851">
        <v>11.5</v>
      </c>
    </row>
    <row r="19" spans="2:11" s="2" customFormat="1">
      <c r="B19" s="14" t="s">
        <v>311</v>
      </c>
      <c r="C19" s="211" t="str">
        <f>'RFPR cover'!$C$14</f>
        <v>£m 12/13</v>
      </c>
      <c r="D19" s="17">
        <f>D17-D18</f>
        <v>27.451605436701801</v>
      </c>
      <c r="E19" s="17">
        <f t="shared" ref="E19:K19" si="1">E17-E18</f>
        <v>27.451605436701801</v>
      </c>
      <c r="F19" s="17">
        <f t="shared" si="1"/>
        <v>27.451605436701801</v>
      </c>
      <c r="G19" s="17">
        <f t="shared" si="1"/>
        <v>27.45160543670185</v>
      </c>
      <c r="H19" s="17">
        <f t="shared" si="1"/>
        <v>27.45160543670185</v>
      </c>
      <c r="I19" s="17">
        <f t="shared" si="1"/>
        <v>27.45160543670185</v>
      </c>
      <c r="J19" s="17">
        <f t="shared" si="1"/>
        <v>24.778607480595049</v>
      </c>
      <c r="K19" s="17">
        <f t="shared" si="1"/>
        <v>24.778607480595049</v>
      </c>
    </row>
    <row r="20" spans="2:11" s="2" customFormat="1">
      <c r="B20" s="14"/>
      <c r="C20" s="14"/>
      <c r="D20" s="14"/>
      <c r="E20" s="14"/>
      <c r="F20" s="14"/>
      <c r="G20" s="14"/>
      <c r="H20" s="14"/>
      <c r="I20" s="14"/>
      <c r="J20" s="14"/>
      <c r="K20" s="14"/>
    </row>
    <row r="21" spans="2:11" s="2" customFormat="1">
      <c r="B21" s="14"/>
      <c r="C21" s="14"/>
      <c r="D21" s="1005" t="s">
        <v>118</v>
      </c>
      <c r="E21" s="14"/>
      <c r="F21" s="14"/>
      <c r="G21" s="14"/>
      <c r="H21" s="14"/>
      <c r="I21" s="14"/>
      <c r="J21" s="14"/>
      <c r="K21" s="14"/>
    </row>
    <row r="22" spans="2:11" s="2" customFormat="1" ht="12.75" customHeight="1">
      <c r="B22" s="14"/>
      <c r="C22" s="14"/>
      <c r="D22" s="1006"/>
      <c r="E22" s="14"/>
      <c r="F22" s="14"/>
      <c r="G22" s="14"/>
      <c r="H22" s="14"/>
      <c r="I22" s="14"/>
      <c r="J22" s="14"/>
      <c r="K22" s="14"/>
    </row>
    <row r="23" spans="2:11">
      <c r="C23" s="14"/>
      <c r="D23" s="1007"/>
      <c r="E23" s="14"/>
    </row>
    <row r="24" spans="2:11">
      <c r="B24" s="14" t="s">
        <v>117</v>
      </c>
      <c r="C24" s="14"/>
      <c r="D24" s="917">
        <v>43555</v>
      </c>
    </row>
    <row r="25" spans="2:11">
      <c r="B25" s="14"/>
      <c r="C25" s="14"/>
      <c r="D25" s="40"/>
      <c r="E25" s="41"/>
      <c r="F25" s="41"/>
    </row>
    <row r="26" spans="2:11">
      <c r="B26" s="201" t="s">
        <v>308</v>
      </c>
      <c r="C26" s="14"/>
      <c r="D26" s="954" t="s">
        <v>673</v>
      </c>
      <c r="E26" s="41"/>
      <c r="F26" s="41"/>
    </row>
    <row r="27" spans="2:11">
      <c r="B27" s="201"/>
      <c r="C27" s="14"/>
      <c r="D27" s="40"/>
      <c r="E27" s="41"/>
      <c r="F27" s="41"/>
    </row>
    <row r="28" spans="2:11">
      <c r="B28" s="14"/>
      <c r="D28" s="363" t="s">
        <v>278</v>
      </c>
      <c r="E28" s="41"/>
      <c r="F28" s="41"/>
    </row>
    <row r="29" spans="2:11">
      <c r="B29" t="s">
        <v>26</v>
      </c>
      <c r="D29" s="918">
        <v>380.85187999999999</v>
      </c>
    </row>
    <row r="30" spans="2:11">
      <c r="B30" t="s">
        <v>27</v>
      </c>
      <c r="D30" s="918">
        <v>3556.5481199999995</v>
      </c>
    </row>
    <row r="31" spans="2:11">
      <c r="D31" s="727"/>
    </row>
    <row r="32" spans="2:11">
      <c r="B32" t="s">
        <v>28</v>
      </c>
      <c r="D32" s="918">
        <v>407.20000000000005</v>
      </c>
    </row>
    <row r="33" spans="2:4">
      <c r="B33" t="s">
        <v>29</v>
      </c>
      <c r="D33" s="918">
        <v>3181.8999999999996</v>
      </c>
    </row>
    <row r="34" spans="2:4">
      <c r="D34" s="727"/>
    </row>
    <row r="35" spans="2:4">
      <c r="B35" s="43" t="s">
        <v>31</v>
      </c>
      <c r="D35" s="17">
        <f>D29-D32</f>
        <v>-26.348120000000051</v>
      </c>
    </row>
    <row r="36" spans="2:4">
      <c r="B36" s="43" t="s">
        <v>30</v>
      </c>
      <c r="D36" s="17">
        <f>D30-D33</f>
        <v>374.64811999999984</v>
      </c>
    </row>
    <row r="37" spans="2:4">
      <c r="D37" s="727"/>
    </row>
    <row r="38" spans="2:4">
      <c r="B38" t="s">
        <v>32</v>
      </c>
      <c r="D38" s="918">
        <v>189.33297348779391</v>
      </c>
    </row>
    <row r="39" spans="2:4">
      <c r="B39" t="s">
        <v>33</v>
      </c>
      <c r="D39" s="918">
        <v>-12.331592654315594</v>
      </c>
    </row>
  </sheetData>
  <mergeCells count="1">
    <mergeCell ref="D21:D23"/>
  </mergeCells>
  <conditionalFormatting sqref="D6:J6">
    <cfRule type="expression" dxfId="20" priority="30">
      <formula>AND(D$4="Actuals",E$4="Forecast")</formula>
    </cfRule>
  </conditionalFormatting>
  <conditionalFormatting sqref="K11">
    <cfRule type="expression" dxfId="19" priority="24">
      <formula>K$5="Forecast"</formula>
    </cfRule>
    <cfRule type="expression" dxfId="18" priority="25">
      <formula>K$5="Actuals"</formula>
    </cfRule>
  </conditionalFormatting>
  <conditionalFormatting sqref="D8:K8">
    <cfRule type="expression" dxfId="17" priority="28">
      <formula>D$5="Forecast"</formula>
    </cfRule>
    <cfRule type="expression" dxfId="16" priority="29">
      <formula>D$5="Actuals"</formula>
    </cfRule>
  </conditionalFormatting>
  <conditionalFormatting sqref="K10">
    <cfRule type="expression" dxfId="15" priority="26">
      <formula>K$5="Forecast"</formula>
    </cfRule>
    <cfRule type="expression" dxfId="14" priority="27">
      <formula>K$5="Actuals"</formula>
    </cfRule>
  </conditionalFormatting>
  <conditionalFormatting sqref="D5:K6">
    <cfRule type="expression" dxfId="13" priority="23">
      <formula>AND(D$5="Actuals",E$5="Forecast")</formula>
    </cfRule>
  </conditionalFormatting>
  <conditionalFormatting sqref="D21">
    <cfRule type="expression" dxfId="12" priority="20">
      <formula>AND(E$4="Actuals",F$4="Forecast")</formula>
    </cfRule>
  </conditionalFormatting>
  <conditionalFormatting sqref="K6">
    <cfRule type="expression" dxfId="11" priority="126">
      <formula>AND(K$4="Actuals",#REF!="Forecast")</formula>
    </cfRule>
  </conditionalFormatting>
  <conditionalFormatting sqref="K5">
    <cfRule type="expression" dxfId="10" priority="128">
      <formula>AND(K$5="Actuals",#REF!="Forecast")</formula>
    </cfRule>
  </conditionalFormatting>
  <conditionalFormatting sqref="D10:J10">
    <cfRule type="expression" dxfId="9" priority="7">
      <formula>D$5="Forecast"</formula>
    </cfRule>
    <cfRule type="expression" dxfId="8" priority="8">
      <formula>D$5="Actuals"</formula>
    </cfRule>
  </conditionalFormatting>
  <conditionalFormatting sqref="D11:J11">
    <cfRule type="expression" dxfId="7" priority="5">
      <formula>D$5="Forecast"</formula>
    </cfRule>
    <cfRule type="expression" dxfId="6" priority="6">
      <formula>D$5="Actuals"</formula>
    </cfRule>
  </conditionalFormatting>
  <conditionalFormatting sqref="D17:K17">
    <cfRule type="expression" dxfId="5" priority="3">
      <formula>D$5="Forecast"</formula>
    </cfRule>
    <cfRule type="expression" dxfId="4" priority="4">
      <formula>D$5="Actuals"</formula>
    </cfRule>
  </conditionalFormatting>
  <conditionalFormatting sqref="D18:I18">
    <cfRule type="expression" dxfId="3" priority="1">
      <formula>D$5="Forecast"</formula>
    </cfRule>
    <cfRule type="expression" dxfId="2" priority="2">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60" zoomScaleNormal="60" workbookViewId="0">
      <pane ySplit="6" topLeftCell="A7" activePane="bottomLeft" state="frozen"/>
      <selection activeCell="D26" sqref="D26"/>
      <selection pane="bottomLeft" activeCell="K19" sqref="K19"/>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877" t="s">
        <v>254</v>
      </c>
      <c r="B1" s="887"/>
      <c r="C1" s="257"/>
      <c r="D1" s="257"/>
      <c r="E1" s="257"/>
      <c r="F1" s="257"/>
      <c r="G1" s="257"/>
      <c r="H1" s="257"/>
      <c r="I1" s="258"/>
      <c r="J1" s="258"/>
      <c r="K1" s="259"/>
      <c r="L1" s="364"/>
      <c r="M1" s="33"/>
      <c r="N1" s="33"/>
      <c r="O1" s="32" t="s">
        <v>84</v>
      </c>
      <c r="P1" s="33"/>
      <c r="Q1" s="33"/>
      <c r="R1" s="33"/>
      <c r="S1" s="33"/>
    </row>
    <row r="2" spans="1:19" s="31" customFormat="1" ht="21">
      <c r="A2" s="880" t="str">
        <f>'RFPR cover'!C5</f>
        <v>NGED-EMID</v>
      </c>
      <c r="B2" s="872"/>
      <c r="C2" s="29"/>
      <c r="D2" s="29"/>
      <c r="E2" s="29"/>
      <c r="F2" s="29"/>
      <c r="G2" s="29"/>
      <c r="H2" s="29"/>
      <c r="I2" s="27"/>
      <c r="J2" s="27"/>
      <c r="K2" s="27"/>
      <c r="L2" s="124"/>
      <c r="M2" s="33"/>
      <c r="N2" s="33"/>
      <c r="O2" s="32" t="s">
        <v>84</v>
      </c>
      <c r="P2" s="33"/>
      <c r="Q2" s="33"/>
      <c r="R2" s="33"/>
      <c r="S2" s="33"/>
    </row>
    <row r="3" spans="1:19" s="31" customFormat="1" ht="21">
      <c r="A3" s="883">
        <f>'RFPR cover'!C7</f>
        <v>2023</v>
      </c>
      <c r="B3" s="890"/>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34"/>
      <c r="E7" s="734"/>
      <c r="F7" s="734"/>
      <c r="G7" s="734"/>
      <c r="H7" s="734"/>
      <c r="I7" s="734"/>
      <c r="J7" s="734"/>
      <c r="K7" s="734"/>
    </row>
    <row r="8" spans="1:19">
      <c r="B8" s="51" t="s">
        <v>456</v>
      </c>
      <c r="C8" s="211" t="str">
        <f>'RFPR cover'!$C$14</f>
        <v>£m 12/13</v>
      </c>
      <c r="D8" s="731">
        <f>(D16+D21)/Data!C34</f>
        <v>2.8670677978514695E-4</v>
      </c>
      <c r="E8" s="731">
        <f>(E16+E21)/Data!D34</f>
        <v>1.1079957130781367E-4</v>
      </c>
      <c r="F8" s="731">
        <f>(F16+F21)/Data!E34</f>
        <v>4.3255216290540327E-5</v>
      </c>
      <c r="G8" s="731">
        <f>(G16+G21)/Data!F34</f>
        <v>0</v>
      </c>
      <c r="H8" s="731">
        <f>(H16+H21)/Data!G34</f>
        <v>9.4817223895720514E-3</v>
      </c>
      <c r="I8" s="731">
        <f>(I16+I21)/Data!H34</f>
        <v>2.1323298118075787E-3</v>
      </c>
      <c r="J8" s="731">
        <f>(J16+J21)/Data!I34</f>
        <v>2.394953480904396</v>
      </c>
      <c r="K8" s="731">
        <f>(K16+K21)/Data!J34</f>
        <v>6.9125004982674536E-3</v>
      </c>
    </row>
    <row r="9" spans="1:19">
      <c r="D9" s="734"/>
      <c r="E9" s="734"/>
      <c r="F9" s="734"/>
      <c r="G9" s="734"/>
      <c r="H9" s="734"/>
      <c r="I9" s="734"/>
      <c r="J9" s="734"/>
      <c r="K9" s="734"/>
    </row>
    <row r="10" spans="1:19">
      <c r="B10" s="14" t="s">
        <v>440</v>
      </c>
      <c r="D10" s="734"/>
      <c r="E10" s="734"/>
      <c r="F10" s="734"/>
      <c r="G10" s="734"/>
      <c r="H10" s="734"/>
      <c r="I10" s="734"/>
      <c r="J10" s="734"/>
      <c r="K10" s="734"/>
    </row>
    <row r="11" spans="1:19">
      <c r="B11" s="44" t="s">
        <v>629</v>
      </c>
      <c r="C11" s="153" t="s">
        <v>128</v>
      </c>
      <c r="D11" s="622">
        <v>0</v>
      </c>
      <c r="E11" s="623">
        <v>0</v>
      </c>
      <c r="F11" s="623">
        <v>0</v>
      </c>
      <c r="G11" s="623">
        <v>0</v>
      </c>
      <c r="H11" s="623">
        <v>0</v>
      </c>
      <c r="I11" s="623">
        <v>0</v>
      </c>
      <c r="J11" s="624">
        <f>14.9/4</f>
        <v>3.7250000000000001</v>
      </c>
      <c r="K11" s="624">
        <v>0</v>
      </c>
    </row>
    <row r="12" spans="1:19">
      <c r="B12" s="44" t="s">
        <v>36</v>
      </c>
      <c r="C12" s="153" t="s">
        <v>128</v>
      </c>
      <c r="D12" s="622">
        <v>0</v>
      </c>
      <c r="E12" s="623">
        <v>0</v>
      </c>
      <c r="F12" s="623">
        <v>0</v>
      </c>
      <c r="G12" s="623">
        <v>0</v>
      </c>
      <c r="H12" s="623">
        <v>0</v>
      </c>
      <c r="I12" s="623">
        <v>0</v>
      </c>
      <c r="J12" s="623">
        <v>0</v>
      </c>
      <c r="K12" s="624">
        <v>0</v>
      </c>
    </row>
    <row r="13" spans="1:19">
      <c r="B13" s="44" t="s">
        <v>20</v>
      </c>
      <c r="C13" s="153" t="s">
        <v>128</v>
      </c>
      <c r="D13" s="622">
        <v>0</v>
      </c>
      <c r="E13" s="623">
        <v>0</v>
      </c>
      <c r="F13" s="623">
        <v>0</v>
      </c>
      <c r="G13" s="623">
        <v>0</v>
      </c>
      <c r="H13" s="623">
        <v>0</v>
      </c>
      <c r="I13" s="623">
        <v>0</v>
      </c>
      <c r="J13" s="623">
        <v>0</v>
      </c>
      <c r="K13" s="624">
        <v>0</v>
      </c>
    </row>
    <row r="14" spans="1:19">
      <c r="B14" s="14" t="s">
        <v>453</v>
      </c>
      <c r="C14" s="153" t="s">
        <v>128</v>
      </c>
      <c r="D14" s="731">
        <f>SUM(D11:D13)</f>
        <v>0</v>
      </c>
      <c r="E14" s="732">
        <f t="shared" ref="E14:H14" si="1">SUM(E11:E13)</f>
        <v>0</v>
      </c>
      <c r="F14" s="732">
        <f t="shared" si="1"/>
        <v>0</v>
      </c>
      <c r="G14" s="732">
        <f t="shared" si="1"/>
        <v>0</v>
      </c>
      <c r="H14" s="732">
        <f t="shared" si="1"/>
        <v>0</v>
      </c>
      <c r="I14" s="732">
        <f t="shared" ref="I14:K14" si="2">SUM(I11:I13)</f>
        <v>0</v>
      </c>
      <c r="J14" s="732">
        <f t="shared" si="2"/>
        <v>3.7250000000000001</v>
      </c>
      <c r="K14" s="733">
        <f t="shared" si="2"/>
        <v>0</v>
      </c>
    </row>
    <row r="15" spans="1:19">
      <c r="B15" s="35" t="s">
        <v>447</v>
      </c>
      <c r="C15" s="153" t="s">
        <v>128</v>
      </c>
      <c r="D15" s="622">
        <v>0</v>
      </c>
      <c r="E15" s="623">
        <v>0</v>
      </c>
      <c r="F15" s="623">
        <v>0</v>
      </c>
      <c r="G15" s="623">
        <v>0</v>
      </c>
      <c r="H15" s="623">
        <v>0</v>
      </c>
      <c r="I15" s="623">
        <v>0</v>
      </c>
      <c r="J15" s="623">
        <f>+J14*Data!$G$26</f>
        <v>0.70774999999999999</v>
      </c>
      <c r="K15" s="624">
        <f>+K14*Data!$G$27</f>
        <v>0</v>
      </c>
    </row>
    <row r="16" spans="1:19">
      <c r="B16" s="51" t="s">
        <v>454</v>
      </c>
      <c r="C16" s="153" t="s">
        <v>128</v>
      </c>
      <c r="D16" s="731">
        <f>D14-D15</f>
        <v>0</v>
      </c>
      <c r="E16" s="731">
        <f t="shared" ref="E16:K16" si="3">E14-E15</f>
        <v>0</v>
      </c>
      <c r="F16" s="731">
        <f t="shared" si="3"/>
        <v>0</v>
      </c>
      <c r="G16" s="731">
        <f t="shared" si="3"/>
        <v>0</v>
      </c>
      <c r="H16" s="731">
        <f t="shared" si="3"/>
        <v>0</v>
      </c>
      <c r="I16" s="731">
        <f t="shared" si="3"/>
        <v>0</v>
      </c>
      <c r="J16" s="731">
        <f t="shared" si="3"/>
        <v>3.0172500000000002</v>
      </c>
      <c r="K16" s="731">
        <f t="shared" si="3"/>
        <v>0</v>
      </c>
    </row>
    <row r="18" spans="2:11">
      <c r="B18" s="14" t="s">
        <v>451</v>
      </c>
      <c r="D18" s="734"/>
      <c r="E18" s="734"/>
      <c r="F18" s="734"/>
      <c r="G18" s="734"/>
      <c r="H18" s="734"/>
      <c r="I18" s="734"/>
      <c r="J18" s="734"/>
      <c r="K18" s="734"/>
    </row>
    <row r="19" spans="2:11">
      <c r="B19" s="813" t="s">
        <v>452</v>
      </c>
      <c r="C19" s="153" t="s">
        <v>128</v>
      </c>
      <c r="D19" s="622">
        <v>3.8000000000000013E-4</v>
      </c>
      <c r="E19" s="623">
        <v>1.5000000000000083E-4</v>
      </c>
      <c r="F19" s="623">
        <v>5.999999999999929E-5</v>
      </c>
      <c r="G19" s="623">
        <v>0</v>
      </c>
      <c r="H19" s="623">
        <v>1.3905000000000001E-2</v>
      </c>
      <c r="I19" s="623">
        <v>3.1649999999999998E-3</v>
      </c>
      <c r="J19" s="623">
        <v>3.5135E-2</v>
      </c>
      <c r="K19" s="623">
        <v>1.225E-2</v>
      </c>
    </row>
    <row r="20" spans="2:11">
      <c r="B20" s="35" t="s">
        <v>447</v>
      </c>
      <c r="C20" s="153" t="s">
        <v>128</v>
      </c>
      <c r="D20" s="622">
        <v>7.6000000000000031E-5</v>
      </c>
      <c r="E20" s="623">
        <v>3.0000000000000167E-5</v>
      </c>
      <c r="F20" s="623">
        <v>1.1399999999999865E-5</v>
      </c>
      <c r="G20" s="623">
        <v>0</v>
      </c>
      <c r="H20" s="623">
        <v>2.6419500000000001E-3</v>
      </c>
      <c r="I20" s="623">
        <f>+I19*Data!$G$25</f>
        <v>6.0134999999999995E-4</v>
      </c>
      <c r="J20" s="623">
        <f>+J19*Data!$G$26</f>
        <v>6.67565E-3</v>
      </c>
      <c r="K20" s="623">
        <f>+K19*Data!$G$27</f>
        <v>2.3275000000000001E-3</v>
      </c>
    </row>
    <row r="21" spans="2:11">
      <c r="B21" s="51" t="s">
        <v>455</v>
      </c>
      <c r="C21" s="153" t="s">
        <v>128</v>
      </c>
      <c r="D21" s="731">
        <f>D19-D20</f>
        <v>3.0400000000000013E-4</v>
      </c>
      <c r="E21" s="731">
        <f t="shared" ref="E21:K21" si="4">E19-E20</f>
        <v>1.2000000000000067E-4</v>
      </c>
      <c r="F21" s="731">
        <f t="shared" si="4"/>
        <v>4.8599999999999426E-5</v>
      </c>
      <c r="G21" s="731">
        <f t="shared" si="4"/>
        <v>0</v>
      </c>
      <c r="H21" s="731">
        <f t="shared" si="4"/>
        <v>1.126305E-2</v>
      </c>
      <c r="I21" s="731">
        <f t="shared" si="4"/>
        <v>2.5636499999999998E-3</v>
      </c>
      <c r="J21" s="731">
        <f t="shared" si="4"/>
        <v>2.8459350000000001E-2</v>
      </c>
      <c r="K21" s="731">
        <f t="shared" si="4"/>
        <v>9.9225000000000008E-3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hyperlinks>
    <hyperlink ref="M12" r:id="rId1" display="\\Chvdcs01\rrp\ED1 RRPs\RRP 2021 22\RFPR\FINANCE BRIEF APRIL 22\RE  PSR investigation fine.msg"/>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0" zoomScaleNormal="60" workbookViewId="0">
      <pane ySplit="4" topLeftCell="A5" activePane="bottomLeft" state="frozen"/>
      <selection activeCell="D26" sqref="D26"/>
      <selection pane="bottomLeft" activeCell="S118" sqref="S118"/>
    </sheetView>
  </sheetViews>
  <sheetFormatPr defaultRowHeight="12.6"/>
  <cols>
    <col min="1" max="1" width="8.36328125" customWidth="1"/>
    <col min="2" max="2" width="35.08984375" customWidth="1"/>
    <col min="8" max="8" width="10.08984375" bestFit="1" customWidth="1"/>
    <col min="14" max="14" width="9" customWidth="1"/>
  </cols>
  <sheetData>
    <row r="1" spans="1:14" ht="21">
      <c r="A1" s="877" t="s">
        <v>365</v>
      </c>
      <c r="B1" s="878"/>
      <c r="C1" s="878"/>
      <c r="D1" s="878"/>
      <c r="E1" s="878"/>
      <c r="F1" s="878"/>
      <c r="G1" s="878"/>
      <c r="H1" s="878"/>
      <c r="I1" s="878"/>
      <c r="J1" s="878"/>
      <c r="K1" s="878"/>
      <c r="L1" s="878"/>
      <c r="M1" s="878"/>
      <c r="N1" s="879"/>
    </row>
    <row r="2" spans="1:14" ht="21">
      <c r="A2" s="880" t="str">
        <f>'RFPR cover'!C5</f>
        <v>NGED-EMID</v>
      </c>
      <c r="B2" s="881"/>
      <c r="C2" s="881"/>
      <c r="D2" s="881"/>
      <c r="E2" s="881"/>
      <c r="F2" s="881"/>
      <c r="G2" s="881"/>
      <c r="H2" s="881"/>
      <c r="I2" s="881"/>
      <c r="J2" s="881"/>
      <c r="K2" s="881"/>
      <c r="L2" s="881"/>
      <c r="M2" s="881"/>
      <c r="N2" s="882"/>
    </row>
    <row r="3" spans="1:14" ht="21">
      <c r="A3" s="883">
        <f>'RFPR cover'!C7</f>
        <v>2023</v>
      </c>
      <c r="B3" s="884"/>
      <c r="C3" s="884"/>
      <c r="D3" s="884"/>
      <c r="E3" s="884"/>
      <c r="F3" s="884"/>
      <c r="G3" s="884"/>
      <c r="H3" s="884"/>
      <c r="I3" s="884"/>
      <c r="J3" s="884"/>
      <c r="K3" s="884"/>
      <c r="L3" s="884"/>
      <c r="M3" s="884"/>
      <c r="N3" s="885"/>
    </row>
    <row r="6" spans="1:14">
      <c r="A6" s="30"/>
      <c r="B6" s="21">
        <v>2018</v>
      </c>
      <c r="C6" s="20" t="s">
        <v>63</v>
      </c>
      <c r="D6" s="18"/>
      <c r="E6" s="18"/>
      <c r="F6" s="810"/>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316</v>
      </c>
    </row>
    <row r="14" spans="1:14">
      <c r="A14" s="30"/>
      <c r="B14" s="163" t="s">
        <v>74</v>
      </c>
      <c r="C14" s="170">
        <v>2010</v>
      </c>
      <c r="D14" s="164" t="str">
        <f>IF(VALUE(C14)&lt;='RFPR cover'!$C$7,"Actual","Forecast")</f>
        <v>Actual</v>
      </c>
      <c r="E14" s="374">
        <v>215.767</v>
      </c>
      <c r="F14" s="498">
        <v>221.75</v>
      </c>
      <c r="G14" s="165">
        <v>0.28000000000000003</v>
      </c>
      <c r="H14" s="811"/>
      <c r="J14" s="812"/>
    </row>
    <row r="15" spans="1:14">
      <c r="A15" s="30"/>
      <c r="B15" s="166" t="s">
        <v>75</v>
      </c>
      <c r="C15" s="171">
        <v>2011</v>
      </c>
      <c r="D15" s="167" t="str">
        <f>IF(VALUE(C15)&lt;='RFPR cover'!$C$7,"Actual","Forecast")</f>
        <v>Actual</v>
      </c>
      <c r="E15" s="375">
        <v>226.47499999999999</v>
      </c>
      <c r="F15" s="499">
        <v>233.45</v>
      </c>
      <c r="G15" s="168">
        <v>0.28000000000000003</v>
      </c>
      <c r="H15" s="811"/>
      <c r="J15" s="812"/>
    </row>
    <row r="16" spans="1:14" ht="14.25" customHeight="1">
      <c r="A16" s="30"/>
      <c r="B16" s="166" t="s">
        <v>76</v>
      </c>
      <c r="C16" s="171">
        <v>2012</v>
      </c>
      <c r="D16" s="167" t="str">
        <f>IF(VALUE(C16)&lt;='RFPR cover'!$C$7,"Actual","Forecast")</f>
        <v>Actual</v>
      </c>
      <c r="E16" s="375">
        <v>237.34200000000001</v>
      </c>
      <c r="F16" s="499">
        <v>241.65</v>
      </c>
      <c r="G16" s="168">
        <v>0.26</v>
      </c>
      <c r="H16" s="811"/>
      <c r="J16" s="812"/>
    </row>
    <row r="17" spans="2:15">
      <c r="B17" s="166" t="s">
        <v>77</v>
      </c>
      <c r="C17" s="171">
        <v>2013</v>
      </c>
      <c r="D17" s="167" t="str">
        <f>IF(VALUE(C17)&lt;='RFPR cover'!$C$7,"Actual","Forecast")</f>
        <v>Actual</v>
      </c>
      <c r="E17" s="375">
        <v>244.67500000000001</v>
      </c>
      <c r="F17" s="499">
        <v>249.1</v>
      </c>
      <c r="G17" s="168">
        <v>0.24</v>
      </c>
      <c r="H17" s="811"/>
      <c r="J17" s="812"/>
    </row>
    <row r="18" spans="2:15">
      <c r="B18" s="166" t="s">
        <v>78</v>
      </c>
      <c r="C18" s="171">
        <v>2014</v>
      </c>
      <c r="D18" s="167" t="str">
        <f>IF(VALUE(C18)&lt;='RFPR cover'!$C$7,"Actual","Forecast")</f>
        <v>Actual</v>
      </c>
      <c r="E18" s="375">
        <v>251.733</v>
      </c>
      <c r="F18" s="499">
        <v>255.25</v>
      </c>
      <c r="G18" s="168">
        <v>0.23</v>
      </c>
      <c r="H18" s="811"/>
      <c r="I18" s="517"/>
      <c r="J18" s="812"/>
    </row>
    <row r="19" spans="2:15">
      <c r="B19" s="166" t="s">
        <v>79</v>
      </c>
      <c r="C19" s="171">
        <v>2015</v>
      </c>
      <c r="D19" s="167" t="str">
        <f>IF(VALUE(C19)&lt;='RFPR cover'!$C$7,"Actual","Forecast")</f>
        <v>Actual</v>
      </c>
      <c r="E19" s="375">
        <v>256.66699999999997</v>
      </c>
      <c r="F19" s="499">
        <v>257.55</v>
      </c>
      <c r="G19" s="168">
        <v>0.21</v>
      </c>
      <c r="H19" s="811"/>
      <c r="I19" s="517"/>
      <c r="J19" s="812"/>
    </row>
    <row r="20" spans="2:15">
      <c r="B20" s="166" t="s">
        <v>80</v>
      </c>
      <c r="C20" s="171">
        <v>2016</v>
      </c>
      <c r="D20" s="167" t="str">
        <f>IF(VALUE(C20)&lt;='RFPR cover'!$C$7,"Actual","Forecast")</f>
        <v>Actual</v>
      </c>
      <c r="E20" s="375">
        <v>259.43299999999999</v>
      </c>
      <c r="F20" s="499">
        <v>261.25</v>
      </c>
      <c r="G20" s="168">
        <v>0.2</v>
      </c>
      <c r="H20" s="811"/>
      <c r="I20" s="517"/>
      <c r="J20" s="812"/>
    </row>
    <row r="21" spans="2:15">
      <c r="B21" s="166" t="s">
        <v>81</v>
      </c>
      <c r="C21" s="171">
        <v>2017</v>
      </c>
      <c r="D21" s="167" t="str">
        <f>IF(VALUE(C21)&lt;='RFPR cover'!$C$7,"Actual","Forecast")</f>
        <v>Actual</v>
      </c>
      <c r="E21" s="375">
        <v>264.99200000000002</v>
      </c>
      <c r="F21" s="499">
        <v>269.95000000000005</v>
      </c>
      <c r="G21" s="168">
        <v>0.2</v>
      </c>
      <c r="H21" s="811"/>
      <c r="I21" s="517"/>
      <c r="J21" s="812"/>
    </row>
    <row r="22" spans="2:15">
      <c r="B22" s="166" t="s">
        <v>63</v>
      </c>
      <c r="C22" s="171">
        <v>2018</v>
      </c>
      <c r="D22" s="167" t="str">
        <f>IF(VALUE(C22)&lt;='RFPR cover'!$C$7,"Actual","Forecast")</f>
        <v>Actual</v>
      </c>
      <c r="E22" s="375">
        <v>274.90800000000002</v>
      </c>
      <c r="F22" s="499">
        <v>279</v>
      </c>
      <c r="G22" s="168">
        <v>0.19</v>
      </c>
      <c r="H22" s="811"/>
      <c r="I22" s="517"/>
      <c r="J22" s="812"/>
    </row>
    <row r="23" spans="2:15">
      <c r="B23" s="500" t="s">
        <v>64</v>
      </c>
      <c r="C23" s="501">
        <v>2019</v>
      </c>
      <c r="D23" s="167" t="str">
        <f>IF(VALUE(C23)&lt;='RFPR cover'!$C$7,"Actual","Forecast")</f>
        <v>Actual</v>
      </c>
      <c r="E23" s="375">
        <v>283.30799999999999</v>
      </c>
      <c r="F23" s="499">
        <v>286.64999999999998</v>
      </c>
      <c r="G23" s="168">
        <v>0.19</v>
      </c>
      <c r="H23" s="811"/>
      <c r="J23" s="812"/>
    </row>
    <row r="24" spans="2:15">
      <c r="B24" s="500" t="s">
        <v>65</v>
      </c>
      <c r="C24" s="501">
        <v>2020</v>
      </c>
      <c r="D24" s="167" t="str">
        <f>IF(VALUE(C24)&lt;='RFPR cover'!$C$7,"Actual","Forecast")</f>
        <v>Actual</v>
      </c>
      <c r="E24" s="375">
        <v>290.642</v>
      </c>
      <c r="F24" s="375">
        <v>292.60000000000002</v>
      </c>
      <c r="G24" s="168">
        <v>0.19</v>
      </c>
    </row>
    <row r="25" spans="2:15">
      <c r="B25" s="500" t="s">
        <v>66</v>
      </c>
      <c r="C25" s="501">
        <v>2021</v>
      </c>
      <c r="D25" s="167" t="str">
        <f>IF(VALUE(C25)&lt;='RFPR cover'!$C$7,"Actual","Forecast")</f>
        <v>Actual</v>
      </c>
      <c r="E25" s="375">
        <v>294.16699999999997</v>
      </c>
      <c r="F25" s="375">
        <v>299</v>
      </c>
      <c r="G25" s="168">
        <v>0.19</v>
      </c>
      <c r="J25" s="812"/>
    </row>
    <row r="26" spans="2:15">
      <c r="B26" s="500" t="s">
        <v>67</v>
      </c>
      <c r="C26" s="501">
        <v>2022</v>
      </c>
      <c r="D26" s="167" t="str">
        <f>IF(VALUE(C26)&lt;='RFPR cover'!$C$7,"Actual","Forecast")</f>
        <v>Actual</v>
      </c>
      <c r="E26" s="375">
        <v>311.15800000000002</v>
      </c>
      <c r="F26" s="375">
        <f>+(323.5+334.6)/2</f>
        <v>329.05</v>
      </c>
      <c r="G26" s="919">
        <v>0.19</v>
      </c>
      <c r="I26" s="945"/>
      <c r="J26" s="812"/>
      <c r="O26" s="920"/>
    </row>
    <row r="27" spans="2:15">
      <c r="B27" s="500" t="s">
        <v>68</v>
      </c>
      <c r="C27" s="501">
        <v>2023</v>
      </c>
      <c r="D27" s="167" t="str">
        <f>IF(VALUE(C27)&lt;='RFPR cover'!$C$7,"Actual","Forecast")</f>
        <v>Actual</v>
      </c>
      <c r="E27" s="375">
        <v>351.21699999999998</v>
      </c>
      <c r="F27" s="375">
        <v>369.68599999999998</v>
      </c>
      <c r="G27" s="919">
        <v>0.19</v>
      </c>
      <c r="H27" s="811"/>
      <c r="J27" s="812"/>
    </row>
    <row r="28" spans="2:15">
      <c r="B28" s="500" t="s">
        <v>205</v>
      </c>
      <c r="C28" s="501">
        <v>2024</v>
      </c>
      <c r="D28" s="167" t="str">
        <f>IF(VALUE(C28)&lt;='RFPR cover'!$C$7,"Actual","Forecast")</f>
        <v>Forecast</v>
      </c>
      <c r="E28" s="377"/>
      <c r="F28" s="377"/>
      <c r="G28" s="168">
        <v>0.25</v>
      </c>
    </row>
    <row r="29" spans="2:15">
      <c r="B29" s="500" t="s">
        <v>206</v>
      </c>
      <c r="C29" s="501">
        <v>2025</v>
      </c>
      <c r="D29" s="167" t="str">
        <f>IF(VALUE(C29)&lt;='RFPR cover'!$C$7,"Actual","Forecast")</f>
        <v>Forecast</v>
      </c>
      <c r="E29" s="377"/>
      <c r="F29" s="377"/>
      <c r="G29" s="168">
        <v>0.25</v>
      </c>
    </row>
    <row r="30" spans="2:15">
      <c r="B30" s="502" t="s">
        <v>207</v>
      </c>
      <c r="C30" s="503">
        <v>2026</v>
      </c>
      <c r="D30" s="169" t="str">
        <f>IF(VALUE(C30)&lt;='RFPR cover'!$C$7,"Actual","Forecast")</f>
        <v>Forecast</v>
      </c>
      <c r="E30" s="376"/>
      <c r="F30" s="376"/>
      <c r="G30" s="168">
        <v>0.25</v>
      </c>
    </row>
    <row r="31" spans="2:15">
      <c r="B31" s="89"/>
      <c r="C31" s="67"/>
      <c r="D31" s="67"/>
      <c r="E31" s="67"/>
      <c r="F31" s="67"/>
    </row>
    <row r="32" spans="2:15">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Actuals</v>
      </c>
    </row>
    <row r="33" spans="2:15" ht="15.75" customHeight="1">
      <c r="B33" s="290"/>
      <c r="C33" s="91">
        <f>'RFPR cover'!$C$13</f>
        <v>2016</v>
      </c>
      <c r="D33" s="92">
        <f t="shared" ref="D33:J33" si="0">C33+1</f>
        <v>2017</v>
      </c>
      <c r="E33" s="92">
        <f t="shared" si="0"/>
        <v>2018</v>
      </c>
      <c r="F33" s="92">
        <f t="shared" si="0"/>
        <v>2019</v>
      </c>
      <c r="G33" s="92">
        <f t="shared" si="0"/>
        <v>2020</v>
      </c>
      <c r="H33" s="92">
        <f t="shared" si="0"/>
        <v>2021</v>
      </c>
      <c r="I33" s="92">
        <f t="shared" si="0"/>
        <v>2022</v>
      </c>
      <c r="J33" s="317">
        <f t="shared" si="0"/>
        <v>2023</v>
      </c>
    </row>
    <row r="34" spans="2:15" ht="15.75" customHeight="1">
      <c r="B34" s="496" t="s">
        <v>366</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1.2717196280780627</v>
      </c>
      <c r="J34" s="493">
        <f>INDEX(Data!$E$14:$E$30,MATCH(J$33,Data!$C$14:$C$30,0),0)/IF('RFPR cover'!$C$6="ED1",Data!$E$17,Data!$E$14)</f>
        <v>1.4354429345049555</v>
      </c>
    </row>
    <row r="35" spans="2:15"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1.3448452028200675</v>
      </c>
      <c r="J35" s="495">
        <f>INDEX(Data!$F$14:$F$30,MATCH(J$33,Data!$C$14:$C$30,0),0)/IF('RFPR cover'!$C$6="ED1",Data!$E$17,Data!$E$14)</f>
        <v>1.5109267395524675</v>
      </c>
    </row>
    <row r="36" spans="2:15">
      <c r="B36" s="497" t="s">
        <v>495</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1.057759707921011</v>
      </c>
      <c r="J36" s="495">
        <f>INDEX(Data!$E$14:$E$30,MATCH(J$33,Data!$C$14:$C$30,0))/INDEX(Data!$E$14:$E$30,MATCH(J$33-1,Data!$C$14:$C$30,0))</f>
        <v>1.1287416682200038</v>
      </c>
    </row>
    <row r="37" spans="2:15" ht="15.75" customHeight="1">
      <c r="B37" s="14" t="s">
        <v>271</v>
      </c>
      <c r="F37" s="517"/>
    </row>
    <row r="38" spans="2:15">
      <c r="C38" s="510" t="s">
        <v>272</v>
      </c>
      <c r="D38" s="118">
        <v>2017</v>
      </c>
      <c r="E38" s="119">
        <f t="shared" ref="E38:J38" si="1">D38+1</f>
        <v>2018</v>
      </c>
      <c r="F38" s="119">
        <f t="shared" si="1"/>
        <v>2019</v>
      </c>
      <c r="G38" s="119">
        <f t="shared" si="1"/>
        <v>2020</v>
      </c>
      <c r="H38" s="119">
        <f t="shared" si="1"/>
        <v>2021</v>
      </c>
      <c r="I38" s="119">
        <f t="shared" si="1"/>
        <v>2022</v>
      </c>
      <c r="J38" s="196">
        <f t="shared" si="1"/>
        <v>2023</v>
      </c>
    </row>
    <row r="39" spans="2:15">
      <c r="B39" t="s">
        <v>376</v>
      </c>
      <c r="C39" s="201"/>
      <c r="D39" s="735"/>
      <c r="E39" s="735"/>
      <c r="F39" s="735"/>
      <c r="G39" s="735"/>
      <c r="H39" s="735"/>
      <c r="I39" s="735"/>
      <c r="J39" s="735"/>
      <c r="O39" s="323"/>
    </row>
    <row r="41" spans="2:15">
      <c r="B41" s="14" t="s">
        <v>273</v>
      </c>
    </row>
    <row r="42" spans="2:15">
      <c r="C42" s="509" t="s">
        <v>274</v>
      </c>
      <c r="D42" s="118">
        <v>2017</v>
      </c>
      <c r="E42" s="119">
        <f t="shared" ref="E42:J42" si="2">D42+1</f>
        <v>2018</v>
      </c>
      <c r="F42" s="119">
        <f t="shared" si="2"/>
        <v>2019</v>
      </c>
      <c r="G42" s="119">
        <f t="shared" si="2"/>
        <v>2020</v>
      </c>
      <c r="H42" s="119">
        <f t="shared" si="2"/>
        <v>2021</v>
      </c>
      <c r="I42" s="119">
        <f t="shared" si="2"/>
        <v>2022</v>
      </c>
      <c r="J42" s="196">
        <f t="shared" si="2"/>
        <v>2023</v>
      </c>
    </row>
    <row r="43" spans="2:15">
      <c r="B43" t="s">
        <v>275</v>
      </c>
      <c r="D43" s="569"/>
      <c r="E43" s="570"/>
      <c r="F43" s="570"/>
      <c r="G43" s="570"/>
      <c r="H43" s="570"/>
      <c r="I43" s="570"/>
      <c r="J43" s="570"/>
      <c r="O43" s="323"/>
    </row>
    <row r="45" spans="2:15">
      <c r="B45" s="316" t="str">
        <f>"Selected Capitalisation rates for "&amp;'RFPR cover'!C5</f>
        <v>Selected Capitalisation rates for NGED-EMID</v>
      </c>
      <c r="C45" s="272"/>
      <c r="D45" s="272"/>
      <c r="E45" s="272"/>
      <c r="F45" s="272"/>
      <c r="G45" s="272"/>
      <c r="H45" s="272"/>
      <c r="I45" s="272"/>
      <c r="J45" s="272"/>
      <c r="K45" s="272"/>
      <c r="L45" s="272"/>
      <c r="M45" s="285"/>
    </row>
    <row r="46" spans="2:15">
      <c r="B46" s="202"/>
      <c r="C46" s="42"/>
      <c r="D46" s="42"/>
      <c r="E46" s="42"/>
      <c r="F46" s="42"/>
      <c r="G46" s="42"/>
      <c r="H46" s="42"/>
      <c r="I46" s="42"/>
      <c r="J46" s="42"/>
      <c r="K46" s="42"/>
      <c r="L46" s="42"/>
      <c r="M46" s="203"/>
    </row>
    <row r="47" spans="2:15">
      <c r="B47" s="202"/>
      <c r="C47" s="315" t="s">
        <v>248</v>
      </c>
      <c r="D47" s="42"/>
      <c r="E47" s="42"/>
      <c r="F47" s="42"/>
      <c r="G47" s="42"/>
      <c r="H47" s="42"/>
      <c r="I47" s="42"/>
      <c r="J47" s="42"/>
      <c r="K47" s="42"/>
      <c r="L47" s="42"/>
      <c r="M47" s="203"/>
    </row>
    <row r="48" spans="2:15">
      <c r="B48" s="318" t="str">
        <f>INDEX($G$54:$G$57,MATCH(LEFT('RFPR cover'!$C$6,2),Data!$E$54:$E$57,0),0)</f>
        <v>Totex</v>
      </c>
      <c r="C48" s="314">
        <f>INDEX($F$73:$F$100,MATCH('RFPR cover'!$C$5,Data!$B$73:$B$100,0),0)</f>
        <v>0.8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3">C50+1</f>
        <v>2015</v>
      </c>
      <c r="E50" s="92">
        <f t="shared" si="3"/>
        <v>2016</v>
      </c>
      <c r="F50" s="92">
        <f t="shared" si="3"/>
        <v>2017</v>
      </c>
      <c r="G50" s="92">
        <f t="shared" si="3"/>
        <v>2018</v>
      </c>
      <c r="H50" s="92">
        <f t="shared" si="3"/>
        <v>2019</v>
      </c>
      <c r="I50" s="92">
        <f t="shared" si="3"/>
        <v>2020</v>
      </c>
      <c r="J50" s="92">
        <f t="shared" si="3"/>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172</v>
      </c>
      <c r="F54" s="332" t="s">
        <v>159</v>
      </c>
      <c r="G54" s="979" t="s">
        <v>249</v>
      </c>
      <c r="H54" s="980"/>
      <c r="I54" s="981"/>
      <c r="J54" s="988" t="s">
        <v>251</v>
      </c>
      <c r="K54" s="989"/>
    </row>
    <row r="55" spans="2:20">
      <c r="B55" s="306"/>
      <c r="C55" s="306"/>
      <c r="E55" s="304" t="s">
        <v>174</v>
      </c>
      <c r="F55" s="333" t="s">
        <v>184</v>
      </c>
      <c r="G55" s="982" t="s">
        <v>249</v>
      </c>
      <c r="H55" s="983"/>
      <c r="I55" s="984"/>
      <c r="J55" s="990" t="s">
        <v>251</v>
      </c>
      <c r="K55" s="991"/>
    </row>
    <row r="56" spans="2:20">
      <c r="B56" s="306"/>
      <c r="C56" s="306"/>
      <c r="E56" s="304" t="s">
        <v>173</v>
      </c>
      <c r="F56" s="333" t="s">
        <v>184</v>
      </c>
      <c r="G56" s="982" t="s">
        <v>244</v>
      </c>
      <c r="H56" s="983"/>
      <c r="I56" s="984"/>
      <c r="J56" s="990" t="s">
        <v>245</v>
      </c>
      <c r="K56" s="991"/>
    </row>
    <row r="57" spans="2:20">
      <c r="B57" s="306"/>
      <c r="C57" s="306"/>
      <c r="E57" s="305" t="s">
        <v>175</v>
      </c>
      <c r="F57" s="334" t="s">
        <v>184</v>
      </c>
      <c r="G57" s="985" t="s">
        <v>250</v>
      </c>
      <c r="H57" s="986"/>
      <c r="I57" s="987"/>
      <c r="J57" s="992" t="s">
        <v>252</v>
      </c>
      <c r="K57" s="993"/>
    </row>
    <row r="58" spans="2:20">
      <c r="B58" s="306"/>
      <c r="C58" s="306"/>
      <c r="E58" s="306"/>
      <c r="F58" s="446"/>
      <c r="G58" s="447"/>
      <c r="H58" s="447"/>
      <c r="I58" s="447"/>
      <c r="J58" s="448"/>
      <c r="K58" s="448"/>
    </row>
    <row r="59" spans="2:20">
      <c r="B59" s="449"/>
      <c r="C59" s="449"/>
      <c r="D59" s="218"/>
      <c r="E59" s="449"/>
      <c r="F59" s="450"/>
      <c r="G59" s="451"/>
      <c r="H59" s="451"/>
      <c r="I59" s="451"/>
      <c r="J59" s="452"/>
      <c r="K59" s="452"/>
      <c r="L59" s="218"/>
      <c r="M59" s="218"/>
      <c r="N59" s="218"/>
      <c r="O59" s="218"/>
      <c r="P59" s="218"/>
      <c r="Q59" s="218"/>
      <c r="R59" s="218"/>
      <c r="S59" s="218"/>
      <c r="T59" s="218"/>
    </row>
    <row r="60" spans="2:20" s="31" customFormat="1">
      <c r="B60" s="400"/>
      <c r="C60" s="400"/>
      <c r="E60" s="400"/>
      <c r="F60" s="453"/>
      <c r="G60" s="454"/>
      <c r="H60" s="454"/>
      <c r="I60" s="454"/>
      <c r="J60" s="455"/>
      <c r="K60" s="455"/>
    </row>
    <row r="61" spans="2:20">
      <c r="B61" s="445" t="s">
        <v>345</v>
      </c>
      <c r="C61" s="43"/>
      <c r="I61" s="67"/>
    </row>
    <row r="62" spans="2:20">
      <c r="C62" s="118">
        <v>2014</v>
      </c>
      <c r="D62" s="119">
        <f t="shared" ref="D62:L62" si="4">C62+1</f>
        <v>2015</v>
      </c>
      <c r="E62" s="119">
        <f t="shared" si="4"/>
        <v>2016</v>
      </c>
      <c r="F62" s="119">
        <f t="shared" si="4"/>
        <v>2017</v>
      </c>
      <c r="G62" s="119">
        <f t="shared" si="4"/>
        <v>2018</v>
      </c>
      <c r="H62" s="119">
        <f t="shared" si="4"/>
        <v>2019</v>
      </c>
      <c r="I62" s="119">
        <f t="shared" si="4"/>
        <v>2020</v>
      </c>
      <c r="J62" s="119">
        <f t="shared" si="4"/>
        <v>2021</v>
      </c>
      <c r="K62" s="119">
        <f t="shared" si="4"/>
        <v>2022</v>
      </c>
      <c r="L62" s="196">
        <f t="shared" si="4"/>
        <v>2023</v>
      </c>
    </row>
    <row r="63" spans="2:20">
      <c r="B63" s="442" t="s">
        <v>655</v>
      </c>
      <c r="C63" s="565"/>
      <c r="D63" s="566"/>
      <c r="E63" s="440">
        <v>2.5499999999999998E-2</v>
      </c>
      <c r="F63" s="440">
        <v>2.3799999999999998E-2</v>
      </c>
      <c r="G63" s="440">
        <v>2.2200000000000001E-2</v>
      </c>
      <c r="H63" s="440">
        <v>1.9099999999999999E-2</v>
      </c>
      <c r="I63" s="440">
        <v>1.5800000000000002E-2</v>
      </c>
      <c r="J63" s="440">
        <v>1.09E-2</v>
      </c>
      <c r="K63" s="440">
        <v>7.6E-3</v>
      </c>
      <c r="L63" s="441">
        <v>3.8999999999999998E-3</v>
      </c>
    </row>
    <row r="64" spans="2:20">
      <c r="B64" s="443" t="s">
        <v>656</v>
      </c>
      <c r="C64" s="553"/>
      <c r="D64" s="554"/>
      <c r="E64" s="402">
        <v>2.5499999999999998E-2</v>
      </c>
      <c r="F64" s="402">
        <v>2.4199999999999999E-2</v>
      </c>
      <c r="G64" s="402">
        <v>2.29E-2</v>
      </c>
      <c r="H64" s="402">
        <v>2.0899999999999998E-2</v>
      </c>
      <c r="I64" s="402">
        <v>1.9400000000000001E-2</v>
      </c>
      <c r="J64" s="402">
        <v>1.78E-2</v>
      </c>
      <c r="K64" s="402">
        <v>1.6199999999999999E-2</v>
      </c>
      <c r="L64" s="405">
        <v>1.44E-2</v>
      </c>
    </row>
    <row r="65" spans="1:20">
      <c r="B65" s="443" t="s">
        <v>61</v>
      </c>
      <c r="C65" s="401">
        <v>2.92E-2</v>
      </c>
      <c r="D65" s="402">
        <v>2.5000000000000001E-2</v>
      </c>
      <c r="E65" s="402">
        <v>2.1499999999999998E-2</v>
      </c>
      <c r="F65" s="402">
        <v>1.7899999999999999E-2</v>
      </c>
      <c r="G65" s="402">
        <v>1.5100000000000001E-2</v>
      </c>
      <c r="H65" s="402">
        <v>1.1599999999999999E-2</v>
      </c>
      <c r="I65" s="402">
        <v>1.0200000000000001E-2</v>
      </c>
      <c r="J65" s="402">
        <v>7.6E-3</v>
      </c>
      <c r="K65" s="567"/>
      <c r="L65" s="568"/>
    </row>
    <row r="66" spans="1:20">
      <c r="B66" s="443" t="s">
        <v>344</v>
      </c>
      <c r="C66" s="438">
        <v>2.92E-2</v>
      </c>
      <c r="D66" s="439">
        <v>2.7199999999999998E-2</v>
      </c>
      <c r="E66" s="439">
        <v>2.5499999999999998E-2</v>
      </c>
      <c r="F66" s="439">
        <v>2.3800000000000002E-2</v>
      </c>
      <c r="G66" s="439">
        <v>2.2200000000000001E-2</v>
      </c>
      <c r="H66" s="439">
        <v>1.9099999999999999E-2</v>
      </c>
      <c r="I66" s="439">
        <v>1.5800000000000002E-2</v>
      </c>
      <c r="J66" s="439">
        <v>1.09E-2</v>
      </c>
      <c r="K66" s="554"/>
      <c r="L66" s="555"/>
    </row>
    <row r="67" spans="1:20">
      <c r="B67" s="443" t="s">
        <v>173</v>
      </c>
      <c r="C67" s="401">
        <v>2.92E-2</v>
      </c>
      <c r="D67" s="402">
        <v>2.7199999999999998E-2</v>
      </c>
      <c r="E67" s="402">
        <v>2.5499999999999998E-2</v>
      </c>
      <c r="F67" s="402">
        <v>2.3800000000000002E-2</v>
      </c>
      <c r="G67" s="402">
        <v>2.2200000000000001E-2</v>
      </c>
      <c r="H67" s="439">
        <v>1.9099999999999999E-2</v>
      </c>
      <c r="I67" s="439">
        <v>1.5800000000000002E-2</v>
      </c>
      <c r="J67" s="439">
        <v>1.09E-2</v>
      </c>
      <c r="K67" s="554"/>
      <c r="L67" s="555"/>
    </row>
    <row r="68" spans="1:20">
      <c r="B68" s="444" t="s">
        <v>175</v>
      </c>
      <c r="C68" s="403">
        <v>2.92E-2</v>
      </c>
      <c r="D68" s="404">
        <v>2.7199999999999998E-2</v>
      </c>
      <c r="E68" s="404">
        <v>2.5499999999999998E-2</v>
      </c>
      <c r="F68" s="404">
        <v>2.3800000000000002E-2</v>
      </c>
      <c r="G68" s="404">
        <v>2.2200000000000001E-2</v>
      </c>
      <c r="H68" s="404">
        <v>1.9099999999999999E-2</v>
      </c>
      <c r="I68" s="404">
        <v>1.5800000000000002E-2</v>
      </c>
      <c r="J68" s="404">
        <v>1.09E-2</v>
      </c>
      <c r="K68" s="556"/>
      <c r="L68" s="557"/>
    </row>
    <row r="69" spans="1:20">
      <c r="I69" s="67"/>
    </row>
    <row r="70" spans="1:20">
      <c r="H70" s="67"/>
      <c r="K70" s="42"/>
      <c r="L70" s="42"/>
      <c r="M70" s="42"/>
      <c r="N70" s="42"/>
      <c r="O70" s="42"/>
      <c r="P70" s="42"/>
      <c r="Q70" s="42"/>
      <c r="R70" s="42"/>
      <c r="S70" s="42"/>
      <c r="T70" s="42"/>
    </row>
    <row r="71" spans="1:20" ht="37.799999999999997">
      <c r="B71" s="22"/>
      <c r="C71" s="74" t="s">
        <v>247</v>
      </c>
      <c r="D71" s="75" t="s">
        <v>212</v>
      </c>
      <c r="E71" s="75" t="s">
        <v>72</v>
      </c>
      <c r="F71" s="75" t="s">
        <v>270</v>
      </c>
      <c r="G71" s="75" t="s">
        <v>116</v>
      </c>
      <c r="H71" s="76" t="s">
        <v>186</v>
      </c>
      <c r="I71" s="331" t="s">
        <v>265</v>
      </c>
      <c r="J71" s="331" t="s">
        <v>472</v>
      </c>
      <c r="K71" s="976" t="s">
        <v>340</v>
      </c>
      <c r="L71" s="977"/>
      <c r="M71" s="977"/>
      <c r="N71" s="977"/>
      <c r="O71" s="977"/>
      <c r="P71" s="977"/>
      <c r="Q71" s="977"/>
      <c r="R71" s="977"/>
      <c r="S71" s="977"/>
      <c r="T71" s="978"/>
    </row>
    <row r="72" spans="1:20">
      <c r="A72" s="335" t="s">
        <v>189</v>
      </c>
      <c r="B72" s="68" t="s">
        <v>69</v>
      </c>
      <c r="C72" s="307"/>
      <c r="D72" s="70"/>
      <c r="E72" s="69"/>
      <c r="F72" s="69"/>
      <c r="G72" s="70"/>
      <c r="H72" s="71"/>
      <c r="I72" s="71"/>
      <c r="J72" s="425"/>
      <c r="K72" s="426">
        <v>2014</v>
      </c>
      <c r="L72" s="427">
        <f t="shared" ref="L72:T72" si="5">K72+1</f>
        <v>2015</v>
      </c>
      <c r="M72" s="427">
        <f t="shared" si="5"/>
        <v>2016</v>
      </c>
      <c r="N72" s="427">
        <f t="shared" si="5"/>
        <v>2017</v>
      </c>
      <c r="O72" s="427">
        <f t="shared" si="5"/>
        <v>2018</v>
      </c>
      <c r="P72" s="427">
        <f t="shared" si="5"/>
        <v>2019</v>
      </c>
      <c r="Q72" s="427">
        <f t="shared" si="5"/>
        <v>2020</v>
      </c>
      <c r="R72" s="427">
        <f t="shared" si="5"/>
        <v>2021</v>
      </c>
      <c r="S72" s="427">
        <f t="shared" si="5"/>
        <v>2022</v>
      </c>
      <c r="T72" s="428">
        <f t="shared" si="5"/>
        <v>2023</v>
      </c>
    </row>
    <row r="73" spans="1:20">
      <c r="A73" s="60" t="s">
        <v>172</v>
      </c>
      <c r="B73" s="72" t="s">
        <v>43</v>
      </c>
      <c r="C73" s="308">
        <v>0.06</v>
      </c>
      <c r="D73" s="309">
        <v>0.58109999999999995</v>
      </c>
      <c r="E73" s="310">
        <v>0.65</v>
      </c>
      <c r="F73" s="310">
        <v>0.68</v>
      </c>
      <c r="G73" s="341">
        <v>2016</v>
      </c>
      <c r="H73" s="342" t="str">
        <f t="shared" ref="H73:H97" si="6">VLOOKUP($A73,$E$54:$F$57,2,FALSE)</f>
        <v>£m 12/13</v>
      </c>
      <c r="I73" s="342" t="s">
        <v>266</v>
      </c>
      <c r="J73" s="425" t="s">
        <v>473</v>
      </c>
      <c r="K73" s="553"/>
      <c r="L73" s="554"/>
      <c r="M73" s="433">
        <f t="shared" ref="M73:M82" si="7">E$64</f>
        <v>2.5499999999999998E-2</v>
      </c>
      <c r="N73" s="433">
        <f t="shared" ref="N73:N82" si="8">F$64</f>
        <v>2.4199999999999999E-2</v>
      </c>
      <c r="O73" s="433">
        <f t="shared" ref="O73:O82" si="9">G$64</f>
        <v>2.29E-2</v>
      </c>
      <c r="P73" s="433">
        <f t="shared" ref="P73:P82" si="10">H$64</f>
        <v>2.0899999999999998E-2</v>
      </c>
      <c r="Q73" s="433">
        <f t="shared" ref="Q73:Q82" si="11">I$64</f>
        <v>1.9400000000000001E-2</v>
      </c>
      <c r="R73" s="433">
        <f t="shared" ref="R73:R82" si="12">J$64</f>
        <v>1.78E-2</v>
      </c>
      <c r="S73" s="433">
        <f t="shared" ref="S73:S82" si="13">K$64</f>
        <v>1.6199999999999999E-2</v>
      </c>
      <c r="T73" s="437">
        <f t="shared" ref="T73:T82" si="14">L$64</f>
        <v>1.44E-2</v>
      </c>
    </row>
    <row r="74" spans="1:20">
      <c r="A74" s="60" t="s">
        <v>172</v>
      </c>
      <c r="B74" s="72" t="s">
        <v>44</v>
      </c>
      <c r="C74" s="308">
        <v>0.06</v>
      </c>
      <c r="D74" s="309">
        <v>0.55843703457782867</v>
      </c>
      <c r="E74" s="310">
        <v>0.65</v>
      </c>
      <c r="F74" s="310">
        <v>0.7</v>
      </c>
      <c r="G74" s="341">
        <v>2016</v>
      </c>
      <c r="H74" s="342" t="str">
        <f t="shared" si="6"/>
        <v>£m 12/13</v>
      </c>
      <c r="I74" s="342" t="s">
        <v>266</v>
      </c>
      <c r="J74" s="425" t="s">
        <v>473</v>
      </c>
      <c r="K74" s="553"/>
      <c r="L74" s="554"/>
      <c r="M74" s="433">
        <f t="shared" si="7"/>
        <v>2.5499999999999998E-2</v>
      </c>
      <c r="N74" s="433">
        <f t="shared" si="8"/>
        <v>2.4199999999999999E-2</v>
      </c>
      <c r="O74" s="433">
        <f t="shared" si="9"/>
        <v>2.29E-2</v>
      </c>
      <c r="P74" s="433">
        <f t="shared" si="10"/>
        <v>2.0899999999999998E-2</v>
      </c>
      <c r="Q74" s="433">
        <f t="shared" si="11"/>
        <v>1.9400000000000001E-2</v>
      </c>
      <c r="R74" s="433">
        <f t="shared" si="12"/>
        <v>1.78E-2</v>
      </c>
      <c r="S74" s="433">
        <f t="shared" si="13"/>
        <v>1.6199999999999999E-2</v>
      </c>
      <c r="T74" s="437">
        <f t="shared" si="14"/>
        <v>1.44E-2</v>
      </c>
    </row>
    <row r="75" spans="1:20">
      <c r="A75" s="60" t="s">
        <v>172</v>
      </c>
      <c r="B75" s="72" t="s">
        <v>73</v>
      </c>
      <c r="C75" s="308">
        <v>0.06</v>
      </c>
      <c r="D75" s="309">
        <v>0.55843703457782867</v>
      </c>
      <c r="E75" s="310">
        <v>0.65</v>
      </c>
      <c r="F75" s="310">
        <v>0.72</v>
      </c>
      <c r="G75" s="341">
        <v>2016</v>
      </c>
      <c r="H75" s="342" t="str">
        <f t="shared" si="6"/>
        <v>£m 12/13</v>
      </c>
      <c r="I75" s="342" t="s">
        <v>266</v>
      </c>
      <c r="J75" s="425" t="s">
        <v>473</v>
      </c>
      <c r="K75" s="553"/>
      <c r="L75" s="554"/>
      <c r="M75" s="433">
        <f t="shared" si="7"/>
        <v>2.5499999999999998E-2</v>
      </c>
      <c r="N75" s="433">
        <f t="shared" si="8"/>
        <v>2.4199999999999999E-2</v>
      </c>
      <c r="O75" s="433">
        <f t="shared" si="9"/>
        <v>2.29E-2</v>
      </c>
      <c r="P75" s="433">
        <f t="shared" si="10"/>
        <v>2.0899999999999998E-2</v>
      </c>
      <c r="Q75" s="433">
        <f t="shared" si="11"/>
        <v>1.9400000000000001E-2</v>
      </c>
      <c r="R75" s="433">
        <f t="shared" si="12"/>
        <v>1.78E-2</v>
      </c>
      <c r="S75" s="433">
        <f t="shared" si="13"/>
        <v>1.6199999999999999E-2</v>
      </c>
      <c r="T75" s="437">
        <f t="shared" si="14"/>
        <v>1.44E-2</v>
      </c>
    </row>
    <row r="76" spans="1:20">
      <c r="A76" s="60" t="s">
        <v>172</v>
      </c>
      <c r="B76" s="72" t="s">
        <v>59</v>
      </c>
      <c r="C76" s="308">
        <v>0.06</v>
      </c>
      <c r="D76" s="309">
        <v>0.53280000000000005</v>
      </c>
      <c r="E76" s="310">
        <v>0.65</v>
      </c>
      <c r="F76" s="310">
        <v>0.68</v>
      </c>
      <c r="G76" s="341">
        <v>2016</v>
      </c>
      <c r="H76" s="342" t="str">
        <f t="shared" si="6"/>
        <v>£m 12/13</v>
      </c>
      <c r="I76" s="342" t="s">
        <v>266</v>
      </c>
      <c r="J76" s="425" t="s">
        <v>473</v>
      </c>
      <c r="K76" s="553"/>
      <c r="L76" s="554"/>
      <c r="M76" s="433">
        <f t="shared" si="7"/>
        <v>2.5499999999999998E-2</v>
      </c>
      <c r="N76" s="433">
        <f t="shared" si="8"/>
        <v>2.4199999999999999E-2</v>
      </c>
      <c r="O76" s="433">
        <f t="shared" si="9"/>
        <v>2.29E-2</v>
      </c>
      <c r="P76" s="433">
        <f t="shared" si="10"/>
        <v>2.0899999999999998E-2</v>
      </c>
      <c r="Q76" s="433">
        <f t="shared" si="11"/>
        <v>1.9400000000000001E-2</v>
      </c>
      <c r="R76" s="433">
        <f t="shared" si="12"/>
        <v>1.78E-2</v>
      </c>
      <c r="S76" s="433">
        <f t="shared" si="13"/>
        <v>1.6199999999999999E-2</v>
      </c>
      <c r="T76" s="437">
        <f t="shared" si="14"/>
        <v>1.44E-2</v>
      </c>
    </row>
    <row r="77" spans="1:20">
      <c r="A77" s="60" t="s">
        <v>172</v>
      </c>
      <c r="B77" s="72" t="s">
        <v>57</v>
      </c>
      <c r="C77" s="308">
        <v>0.06</v>
      </c>
      <c r="D77" s="309">
        <v>0.53280000000000005</v>
      </c>
      <c r="E77" s="310">
        <v>0.65</v>
      </c>
      <c r="F77" s="310">
        <v>0.68</v>
      </c>
      <c r="G77" s="341">
        <v>2016</v>
      </c>
      <c r="H77" s="342" t="str">
        <f t="shared" si="6"/>
        <v>£m 12/13</v>
      </c>
      <c r="I77" s="342" t="s">
        <v>266</v>
      </c>
      <c r="J77" s="425" t="s">
        <v>473</v>
      </c>
      <c r="K77" s="553"/>
      <c r="L77" s="554"/>
      <c r="M77" s="433">
        <f t="shared" si="7"/>
        <v>2.5499999999999998E-2</v>
      </c>
      <c r="N77" s="433">
        <f t="shared" si="8"/>
        <v>2.4199999999999999E-2</v>
      </c>
      <c r="O77" s="433">
        <f t="shared" si="9"/>
        <v>2.29E-2</v>
      </c>
      <c r="P77" s="433">
        <f t="shared" si="10"/>
        <v>2.0899999999999998E-2</v>
      </c>
      <c r="Q77" s="433">
        <f t="shared" si="11"/>
        <v>1.9400000000000001E-2</v>
      </c>
      <c r="R77" s="433">
        <f t="shared" si="12"/>
        <v>1.78E-2</v>
      </c>
      <c r="S77" s="433">
        <f t="shared" si="13"/>
        <v>1.6199999999999999E-2</v>
      </c>
      <c r="T77" s="437">
        <f t="shared" si="14"/>
        <v>1.44E-2</v>
      </c>
    </row>
    <row r="78" spans="1:20">
      <c r="A78" s="60" t="s">
        <v>172</v>
      </c>
      <c r="B78" s="72" t="s">
        <v>58</v>
      </c>
      <c r="C78" s="308">
        <v>0.06</v>
      </c>
      <c r="D78" s="309">
        <v>0.53280000000000005</v>
      </c>
      <c r="E78" s="310">
        <v>0.65</v>
      </c>
      <c r="F78" s="310">
        <v>0.68</v>
      </c>
      <c r="G78" s="341">
        <v>2016</v>
      </c>
      <c r="H78" s="342" t="str">
        <f t="shared" si="6"/>
        <v>£m 12/13</v>
      </c>
      <c r="I78" s="342" t="s">
        <v>266</v>
      </c>
      <c r="J78" s="425" t="s">
        <v>473</v>
      </c>
      <c r="K78" s="553"/>
      <c r="L78" s="554"/>
      <c r="M78" s="433">
        <f t="shared" si="7"/>
        <v>2.5499999999999998E-2</v>
      </c>
      <c r="N78" s="433">
        <f t="shared" si="8"/>
        <v>2.4199999999999999E-2</v>
      </c>
      <c r="O78" s="433">
        <f t="shared" si="9"/>
        <v>2.29E-2</v>
      </c>
      <c r="P78" s="433">
        <f t="shared" si="10"/>
        <v>2.0899999999999998E-2</v>
      </c>
      <c r="Q78" s="433">
        <f t="shared" si="11"/>
        <v>1.9400000000000001E-2</v>
      </c>
      <c r="R78" s="433">
        <f t="shared" si="12"/>
        <v>1.78E-2</v>
      </c>
      <c r="S78" s="433">
        <f t="shared" si="13"/>
        <v>1.6199999999999999E-2</v>
      </c>
      <c r="T78" s="437">
        <f t="shared" si="14"/>
        <v>1.44E-2</v>
      </c>
    </row>
    <row r="79" spans="1:20">
      <c r="A79" s="60" t="s">
        <v>172</v>
      </c>
      <c r="B79" s="72" t="s">
        <v>45</v>
      </c>
      <c r="C79" s="308">
        <v>0.06</v>
      </c>
      <c r="D79" s="309">
        <v>0.53500000000000003</v>
      </c>
      <c r="E79" s="310">
        <v>0.65</v>
      </c>
      <c r="F79" s="310">
        <v>0.8</v>
      </c>
      <c r="G79" s="341">
        <v>2016</v>
      </c>
      <c r="H79" s="342" t="str">
        <f t="shared" si="6"/>
        <v>£m 12/13</v>
      </c>
      <c r="I79" s="342" t="s">
        <v>266</v>
      </c>
      <c r="J79" s="425" t="s">
        <v>473</v>
      </c>
      <c r="K79" s="553"/>
      <c r="L79" s="554"/>
      <c r="M79" s="433">
        <f t="shared" si="7"/>
        <v>2.5499999999999998E-2</v>
      </c>
      <c r="N79" s="433">
        <f t="shared" si="8"/>
        <v>2.4199999999999999E-2</v>
      </c>
      <c r="O79" s="433">
        <f t="shared" si="9"/>
        <v>2.29E-2</v>
      </c>
      <c r="P79" s="433">
        <f t="shared" si="10"/>
        <v>2.0899999999999998E-2</v>
      </c>
      <c r="Q79" s="433">
        <f t="shared" si="11"/>
        <v>1.9400000000000001E-2</v>
      </c>
      <c r="R79" s="433">
        <f t="shared" si="12"/>
        <v>1.78E-2</v>
      </c>
      <c r="S79" s="433">
        <f t="shared" si="13"/>
        <v>1.6199999999999999E-2</v>
      </c>
      <c r="T79" s="437">
        <f t="shared" si="14"/>
        <v>1.44E-2</v>
      </c>
    </row>
    <row r="80" spans="1:20">
      <c r="A80" s="60" t="s">
        <v>172</v>
      </c>
      <c r="B80" s="72" t="s">
        <v>46</v>
      </c>
      <c r="C80" s="308">
        <v>0.06</v>
      </c>
      <c r="D80" s="309">
        <v>0.53500000000000003</v>
      </c>
      <c r="E80" s="310">
        <v>0.65</v>
      </c>
      <c r="F80" s="310">
        <v>0.8</v>
      </c>
      <c r="G80" s="341">
        <v>2016</v>
      </c>
      <c r="H80" s="342" t="str">
        <f t="shared" si="6"/>
        <v>£m 12/13</v>
      </c>
      <c r="I80" s="342" t="s">
        <v>266</v>
      </c>
      <c r="J80" s="425" t="s">
        <v>473</v>
      </c>
      <c r="K80" s="553"/>
      <c r="L80" s="554"/>
      <c r="M80" s="433">
        <f t="shared" si="7"/>
        <v>2.5499999999999998E-2</v>
      </c>
      <c r="N80" s="433">
        <f t="shared" si="8"/>
        <v>2.4199999999999999E-2</v>
      </c>
      <c r="O80" s="433">
        <f t="shared" si="9"/>
        <v>2.29E-2</v>
      </c>
      <c r="P80" s="433">
        <f t="shared" si="10"/>
        <v>2.0899999999999998E-2</v>
      </c>
      <c r="Q80" s="433">
        <f t="shared" si="11"/>
        <v>1.9400000000000001E-2</v>
      </c>
      <c r="R80" s="433">
        <f t="shared" si="12"/>
        <v>1.78E-2</v>
      </c>
      <c r="S80" s="433">
        <f t="shared" si="13"/>
        <v>1.6199999999999999E-2</v>
      </c>
      <c r="T80" s="437">
        <f t="shared" si="14"/>
        <v>1.44E-2</v>
      </c>
    </row>
    <row r="81" spans="1:20">
      <c r="A81" s="60" t="s">
        <v>172</v>
      </c>
      <c r="B81" s="72" t="s">
        <v>47</v>
      </c>
      <c r="C81" s="308">
        <v>0.06</v>
      </c>
      <c r="D81" s="309">
        <v>0.56469999999999998</v>
      </c>
      <c r="E81" s="310">
        <v>0.65</v>
      </c>
      <c r="F81" s="310">
        <v>0.62</v>
      </c>
      <c r="G81" s="341">
        <v>2016</v>
      </c>
      <c r="H81" s="342" t="str">
        <f t="shared" si="6"/>
        <v>£m 12/13</v>
      </c>
      <c r="I81" s="342" t="s">
        <v>266</v>
      </c>
      <c r="J81" s="425" t="s">
        <v>473</v>
      </c>
      <c r="K81" s="553"/>
      <c r="L81" s="554"/>
      <c r="M81" s="433">
        <f t="shared" si="7"/>
        <v>2.5499999999999998E-2</v>
      </c>
      <c r="N81" s="433">
        <f t="shared" si="8"/>
        <v>2.4199999999999999E-2</v>
      </c>
      <c r="O81" s="433">
        <f t="shared" si="9"/>
        <v>2.29E-2</v>
      </c>
      <c r="P81" s="433">
        <f t="shared" si="10"/>
        <v>2.0899999999999998E-2</v>
      </c>
      <c r="Q81" s="433">
        <f t="shared" si="11"/>
        <v>1.9400000000000001E-2</v>
      </c>
      <c r="R81" s="433">
        <f t="shared" si="12"/>
        <v>1.78E-2</v>
      </c>
      <c r="S81" s="433">
        <f t="shared" si="13"/>
        <v>1.6199999999999999E-2</v>
      </c>
      <c r="T81" s="437">
        <f t="shared" si="14"/>
        <v>1.44E-2</v>
      </c>
    </row>
    <row r="82" spans="1:20">
      <c r="A82" s="60" t="s">
        <v>172</v>
      </c>
      <c r="B82" s="72" t="s">
        <v>48</v>
      </c>
      <c r="C82" s="308">
        <v>0.06</v>
      </c>
      <c r="D82" s="309">
        <v>0.56469999999999998</v>
      </c>
      <c r="E82" s="310">
        <v>0.65</v>
      </c>
      <c r="F82" s="310">
        <v>0.7</v>
      </c>
      <c r="G82" s="341">
        <v>2016</v>
      </c>
      <c r="H82" s="342" t="str">
        <f t="shared" si="6"/>
        <v>£m 12/13</v>
      </c>
      <c r="I82" s="342" t="s">
        <v>266</v>
      </c>
      <c r="J82" s="425" t="s">
        <v>473</v>
      </c>
      <c r="K82" s="553"/>
      <c r="L82" s="554"/>
      <c r="M82" s="433">
        <f t="shared" si="7"/>
        <v>2.5499999999999998E-2</v>
      </c>
      <c r="N82" s="433">
        <f t="shared" si="8"/>
        <v>2.4199999999999999E-2</v>
      </c>
      <c r="O82" s="433">
        <f t="shared" si="9"/>
        <v>2.29E-2</v>
      </c>
      <c r="P82" s="433">
        <f t="shared" si="10"/>
        <v>2.0899999999999998E-2</v>
      </c>
      <c r="Q82" s="433">
        <f t="shared" si="11"/>
        <v>1.9400000000000001E-2</v>
      </c>
      <c r="R82" s="433">
        <f t="shared" si="12"/>
        <v>1.78E-2</v>
      </c>
      <c r="S82" s="433">
        <f t="shared" si="13"/>
        <v>1.6199999999999999E-2</v>
      </c>
      <c r="T82" s="437">
        <f t="shared" si="14"/>
        <v>1.44E-2</v>
      </c>
    </row>
    <row r="83" spans="1:20">
      <c r="A83" s="60" t="s">
        <v>172</v>
      </c>
      <c r="B83" s="72" t="s">
        <v>657</v>
      </c>
      <c r="C83" s="308">
        <v>6.4000000000000001E-2</v>
      </c>
      <c r="D83" s="309">
        <v>0.7</v>
      </c>
      <c r="E83" s="310">
        <v>0.65</v>
      </c>
      <c r="F83" s="310">
        <v>0.8</v>
      </c>
      <c r="G83" s="341">
        <v>2016</v>
      </c>
      <c r="H83" s="342" t="str">
        <f t="shared" si="6"/>
        <v>£m 12/13</v>
      </c>
      <c r="I83" s="342" t="s">
        <v>267</v>
      </c>
      <c r="J83" s="425" t="s">
        <v>474</v>
      </c>
      <c r="K83" s="553"/>
      <c r="L83" s="554"/>
      <c r="M83" s="433">
        <f t="shared" ref="M83:T86" si="15">E$63</f>
        <v>2.5499999999999998E-2</v>
      </c>
      <c r="N83" s="433">
        <f t="shared" si="15"/>
        <v>2.3799999999999998E-2</v>
      </c>
      <c r="O83" s="433">
        <f t="shared" si="15"/>
        <v>2.2200000000000001E-2</v>
      </c>
      <c r="P83" s="433">
        <f t="shared" si="15"/>
        <v>1.9099999999999999E-2</v>
      </c>
      <c r="Q83" s="433">
        <f t="shared" si="15"/>
        <v>1.5800000000000002E-2</v>
      </c>
      <c r="R83" s="433">
        <f t="shared" si="15"/>
        <v>1.09E-2</v>
      </c>
      <c r="S83" s="433">
        <f t="shared" si="15"/>
        <v>7.6E-3</v>
      </c>
      <c r="T83" s="437">
        <f t="shared" si="15"/>
        <v>3.8999999999999998E-3</v>
      </c>
    </row>
    <row r="84" spans="1:20">
      <c r="A84" s="60" t="s">
        <v>172</v>
      </c>
      <c r="B84" s="72" t="s">
        <v>658</v>
      </c>
      <c r="C84" s="308">
        <v>6.4000000000000001E-2</v>
      </c>
      <c r="D84" s="309">
        <v>0.7</v>
      </c>
      <c r="E84" s="310">
        <v>0.65</v>
      </c>
      <c r="F84" s="310">
        <v>0.8</v>
      </c>
      <c r="G84" s="341">
        <v>2016</v>
      </c>
      <c r="H84" s="342" t="str">
        <f t="shared" si="6"/>
        <v>£m 12/13</v>
      </c>
      <c r="I84" s="342" t="s">
        <v>267</v>
      </c>
      <c r="J84" s="425" t="s">
        <v>474</v>
      </c>
      <c r="K84" s="553"/>
      <c r="L84" s="554"/>
      <c r="M84" s="433">
        <f t="shared" si="15"/>
        <v>2.5499999999999998E-2</v>
      </c>
      <c r="N84" s="433">
        <f t="shared" si="15"/>
        <v>2.3799999999999998E-2</v>
      </c>
      <c r="O84" s="433">
        <f t="shared" si="15"/>
        <v>2.2200000000000001E-2</v>
      </c>
      <c r="P84" s="433">
        <f t="shared" si="15"/>
        <v>1.9099999999999999E-2</v>
      </c>
      <c r="Q84" s="433">
        <f t="shared" si="15"/>
        <v>1.5800000000000002E-2</v>
      </c>
      <c r="R84" s="433">
        <f t="shared" si="15"/>
        <v>1.09E-2</v>
      </c>
      <c r="S84" s="433">
        <f t="shared" si="15"/>
        <v>7.6E-3</v>
      </c>
      <c r="T84" s="437">
        <f t="shared" si="15"/>
        <v>3.8999999999999998E-3</v>
      </c>
    </row>
    <row r="85" spans="1:20">
      <c r="A85" s="60" t="s">
        <v>172</v>
      </c>
      <c r="B85" s="72" t="s">
        <v>659</v>
      </c>
      <c r="C85" s="308">
        <v>6.4000000000000001E-2</v>
      </c>
      <c r="D85" s="309">
        <v>0.7</v>
      </c>
      <c r="E85" s="310">
        <v>0.65</v>
      </c>
      <c r="F85" s="310">
        <v>0.8</v>
      </c>
      <c r="G85" s="341">
        <v>2016</v>
      </c>
      <c r="H85" s="342" t="str">
        <f t="shared" si="6"/>
        <v>£m 12/13</v>
      </c>
      <c r="I85" s="342" t="s">
        <v>267</v>
      </c>
      <c r="J85" s="425" t="s">
        <v>474</v>
      </c>
      <c r="K85" s="553"/>
      <c r="L85" s="554"/>
      <c r="M85" s="433">
        <f t="shared" si="15"/>
        <v>2.5499999999999998E-2</v>
      </c>
      <c r="N85" s="433">
        <f t="shared" si="15"/>
        <v>2.3799999999999998E-2</v>
      </c>
      <c r="O85" s="433">
        <f t="shared" si="15"/>
        <v>2.2200000000000001E-2</v>
      </c>
      <c r="P85" s="433">
        <f t="shared" si="15"/>
        <v>1.9099999999999999E-2</v>
      </c>
      <c r="Q85" s="433">
        <f t="shared" si="15"/>
        <v>1.5800000000000002E-2</v>
      </c>
      <c r="R85" s="433">
        <f t="shared" si="15"/>
        <v>1.09E-2</v>
      </c>
      <c r="S85" s="433">
        <f t="shared" si="15"/>
        <v>7.6E-3</v>
      </c>
      <c r="T85" s="437">
        <f t="shared" si="15"/>
        <v>3.8999999999999998E-3</v>
      </c>
    </row>
    <row r="86" spans="1:20">
      <c r="A86" s="60" t="s">
        <v>172</v>
      </c>
      <c r="B86" s="72" t="s">
        <v>660</v>
      </c>
      <c r="C86" s="308">
        <v>6.4000000000000001E-2</v>
      </c>
      <c r="D86" s="309">
        <v>0.7</v>
      </c>
      <c r="E86" s="310">
        <v>0.65</v>
      </c>
      <c r="F86" s="310">
        <v>0.8</v>
      </c>
      <c r="G86" s="341">
        <v>2016</v>
      </c>
      <c r="H86" s="342" t="str">
        <f t="shared" si="6"/>
        <v>£m 12/13</v>
      </c>
      <c r="I86" s="342" t="s">
        <v>267</v>
      </c>
      <c r="J86" s="425" t="s">
        <v>474</v>
      </c>
      <c r="K86" s="553"/>
      <c r="L86" s="554"/>
      <c r="M86" s="433">
        <f t="shared" si="15"/>
        <v>2.5499999999999998E-2</v>
      </c>
      <c r="N86" s="433">
        <f t="shared" si="15"/>
        <v>2.3799999999999998E-2</v>
      </c>
      <c r="O86" s="433">
        <f t="shared" si="15"/>
        <v>2.2200000000000001E-2</v>
      </c>
      <c r="P86" s="433">
        <f t="shared" si="15"/>
        <v>1.9099999999999999E-2</v>
      </c>
      <c r="Q86" s="433">
        <f t="shared" si="15"/>
        <v>1.5800000000000002E-2</v>
      </c>
      <c r="R86" s="433">
        <f t="shared" si="15"/>
        <v>1.09E-2</v>
      </c>
      <c r="S86" s="433">
        <f t="shared" si="15"/>
        <v>7.6E-3</v>
      </c>
      <c r="T86" s="437">
        <f t="shared" si="15"/>
        <v>3.8999999999999998E-3</v>
      </c>
    </row>
    <row r="87" spans="1:20">
      <c r="A87" s="60" t="s">
        <v>173</v>
      </c>
      <c r="B87" s="72" t="s">
        <v>53</v>
      </c>
      <c r="C87" s="308">
        <v>6.7000000000000004E-2</v>
      </c>
      <c r="D87" s="309">
        <v>0.63039999999999996</v>
      </c>
      <c r="E87" s="310">
        <v>0.65</v>
      </c>
      <c r="F87" s="310">
        <v>0.26634501855794862</v>
      </c>
      <c r="G87" s="341">
        <v>2014</v>
      </c>
      <c r="H87" s="342" t="str">
        <f t="shared" si="6"/>
        <v>£m 09/10</v>
      </c>
      <c r="I87" s="342" t="s">
        <v>266</v>
      </c>
      <c r="J87" s="425" t="s">
        <v>474</v>
      </c>
      <c r="K87" s="435">
        <f t="shared" ref="K87:R94" si="16">C$67</f>
        <v>2.92E-2</v>
      </c>
      <c r="L87" s="433">
        <f t="shared" si="16"/>
        <v>2.7199999999999998E-2</v>
      </c>
      <c r="M87" s="433">
        <f t="shared" si="16"/>
        <v>2.5499999999999998E-2</v>
      </c>
      <c r="N87" s="433">
        <f t="shared" si="16"/>
        <v>2.3800000000000002E-2</v>
      </c>
      <c r="O87" s="433">
        <f t="shared" si="16"/>
        <v>2.2200000000000001E-2</v>
      </c>
      <c r="P87" s="433">
        <f t="shared" si="16"/>
        <v>1.9099999999999999E-2</v>
      </c>
      <c r="Q87" s="433">
        <f t="shared" si="16"/>
        <v>1.5800000000000002E-2</v>
      </c>
      <c r="R87" s="433">
        <f t="shared" si="16"/>
        <v>1.09E-2</v>
      </c>
      <c r="S87" s="554"/>
      <c r="T87" s="555"/>
    </row>
    <row r="88" spans="1:20">
      <c r="A88" s="60" t="s">
        <v>173</v>
      </c>
      <c r="B88" s="72" t="s">
        <v>54</v>
      </c>
      <c r="C88" s="308">
        <v>6.7000000000000004E-2</v>
      </c>
      <c r="D88" s="309">
        <v>0.63039999999999996</v>
      </c>
      <c r="E88" s="310">
        <v>0.65</v>
      </c>
      <c r="F88" s="310">
        <v>0.23469337831705597</v>
      </c>
      <c r="G88" s="341">
        <v>2014</v>
      </c>
      <c r="H88" s="342" t="str">
        <f t="shared" si="6"/>
        <v>£m 09/10</v>
      </c>
      <c r="I88" s="342" t="s">
        <v>266</v>
      </c>
      <c r="J88" s="425" t="s">
        <v>474</v>
      </c>
      <c r="K88" s="435">
        <f t="shared" si="16"/>
        <v>2.92E-2</v>
      </c>
      <c r="L88" s="433">
        <f t="shared" si="16"/>
        <v>2.7199999999999998E-2</v>
      </c>
      <c r="M88" s="433">
        <f t="shared" si="16"/>
        <v>2.5499999999999998E-2</v>
      </c>
      <c r="N88" s="433">
        <f t="shared" si="16"/>
        <v>2.3800000000000002E-2</v>
      </c>
      <c r="O88" s="433">
        <f t="shared" si="16"/>
        <v>2.2200000000000001E-2</v>
      </c>
      <c r="P88" s="433">
        <f t="shared" si="16"/>
        <v>1.9099999999999999E-2</v>
      </c>
      <c r="Q88" s="433">
        <f t="shared" si="16"/>
        <v>1.5800000000000002E-2</v>
      </c>
      <c r="R88" s="433">
        <f t="shared" si="16"/>
        <v>1.09E-2</v>
      </c>
      <c r="S88" s="554"/>
      <c r="T88" s="555"/>
    </row>
    <row r="89" spans="1:20">
      <c r="A89" s="60" t="s">
        <v>173</v>
      </c>
      <c r="B89" s="72" t="s">
        <v>55</v>
      </c>
      <c r="C89" s="308">
        <v>6.7000000000000004E-2</v>
      </c>
      <c r="D89" s="309">
        <v>0.63039999999999996</v>
      </c>
      <c r="E89" s="310">
        <v>0.65</v>
      </c>
      <c r="F89" s="310">
        <v>0.24946223864843597</v>
      </c>
      <c r="G89" s="341">
        <v>2014</v>
      </c>
      <c r="H89" s="342" t="str">
        <f t="shared" si="6"/>
        <v>£m 09/10</v>
      </c>
      <c r="I89" s="342" t="s">
        <v>266</v>
      </c>
      <c r="J89" s="425" t="s">
        <v>474</v>
      </c>
      <c r="K89" s="435">
        <f t="shared" si="16"/>
        <v>2.92E-2</v>
      </c>
      <c r="L89" s="433">
        <f t="shared" si="16"/>
        <v>2.7199999999999998E-2</v>
      </c>
      <c r="M89" s="433">
        <f t="shared" si="16"/>
        <v>2.5499999999999998E-2</v>
      </c>
      <c r="N89" s="433">
        <f t="shared" si="16"/>
        <v>2.3800000000000002E-2</v>
      </c>
      <c r="O89" s="433">
        <f t="shared" si="16"/>
        <v>2.2200000000000001E-2</v>
      </c>
      <c r="P89" s="433">
        <f t="shared" si="16"/>
        <v>1.9099999999999999E-2</v>
      </c>
      <c r="Q89" s="433">
        <f t="shared" si="16"/>
        <v>1.5800000000000002E-2</v>
      </c>
      <c r="R89" s="433">
        <f t="shared" si="16"/>
        <v>1.09E-2</v>
      </c>
      <c r="S89" s="554"/>
      <c r="T89" s="555"/>
    </row>
    <row r="90" spans="1:20">
      <c r="A90" s="60" t="s">
        <v>173</v>
      </c>
      <c r="B90" s="72" t="s">
        <v>56</v>
      </c>
      <c r="C90" s="308">
        <v>6.7000000000000004E-2</v>
      </c>
      <c r="D90" s="309">
        <v>0.63039999999999996</v>
      </c>
      <c r="E90" s="310">
        <v>0.65</v>
      </c>
      <c r="F90" s="310">
        <v>0.26095352485819256</v>
      </c>
      <c r="G90" s="341">
        <v>2014</v>
      </c>
      <c r="H90" s="342" t="str">
        <f t="shared" si="6"/>
        <v>£m 09/10</v>
      </c>
      <c r="I90" s="342" t="s">
        <v>266</v>
      </c>
      <c r="J90" s="425" t="s">
        <v>474</v>
      </c>
      <c r="K90" s="435">
        <f t="shared" si="16"/>
        <v>2.92E-2</v>
      </c>
      <c r="L90" s="433">
        <f t="shared" si="16"/>
        <v>2.7199999999999998E-2</v>
      </c>
      <c r="M90" s="433">
        <f t="shared" si="16"/>
        <v>2.5499999999999998E-2</v>
      </c>
      <c r="N90" s="433">
        <f t="shared" si="16"/>
        <v>2.3800000000000002E-2</v>
      </c>
      <c r="O90" s="433">
        <f t="shared" si="16"/>
        <v>2.2200000000000001E-2</v>
      </c>
      <c r="P90" s="433">
        <f t="shared" si="16"/>
        <v>1.9099999999999999E-2</v>
      </c>
      <c r="Q90" s="433">
        <f t="shared" si="16"/>
        <v>1.5800000000000002E-2</v>
      </c>
      <c r="R90" s="433">
        <f t="shared" si="16"/>
        <v>1.09E-2</v>
      </c>
      <c r="S90" s="554"/>
      <c r="T90" s="555"/>
    </row>
    <row r="91" spans="1:20">
      <c r="A91" s="60" t="s">
        <v>173</v>
      </c>
      <c r="B91" s="72" t="s">
        <v>50</v>
      </c>
      <c r="C91" s="308">
        <v>6.7000000000000004E-2</v>
      </c>
      <c r="D91" s="309">
        <v>0.63980000000000004</v>
      </c>
      <c r="E91" s="310">
        <v>0.65</v>
      </c>
      <c r="F91" s="310">
        <v>0.34984411379298247</v>
      </c>
      <c r="G91" s="341">
        <v>2014</v>
      </c>
      <c r="H91" s="342" t="str">
        <f t="shared" si="6"/>
        <v>£m 09/10</v>
      </c>
      <c r="I91" s="342" t="s">
        <v>266</v>
      </c>
      <c r="J91" s="425" t="s">
        <v>474</v>
      </c>
      <c r="K91" s="435">
        <f t="shared" si="16"/>
        <v>2.92E-2</v>
      </c>
      <c r="L91" s="433">
        <f t="shared" si="16"/>
        <v>2.7199999999999998E-2</v>
      </c>
      <c r="M91" s="433">
        <f t="shared" si="16"/>
        <v>2.5499999999999998E-2</v>
      </c>
      <c r="N91" s="433">
        <f t="shared" si="16"/>
        <v>2.3800000000000002E-2</v>
      </c>
      <c r="O91" s="433">
        <f t="shared" si="16"/>
        <v>2.2200000000000001E-2</v>
      </c>
      <c r="P91" s="433">
        <f t="shared" si="16"/>
        <v>1.9099999999999999E-2</v>
      </c>
      <c r="Q91" s="433">
        <f t="shared" si="16"/>
        <v>1.5800000000000002E-2</v>
      </c>
      <c r="R91" s="433">
        <f t="shared" si="16"/>
        <v>1.09E-2</v>
      </c>
      <c r="S91" s="554"/>
      <c r="T91" s="555"/>
    </row>
    <row r="92" spans="1:20">
      <c r="A92" s="60" t="s">
        <v>173</v>
      </c>
      <c r="B92" s="72" t="s">
        <v>52</v>
      </c>
      <c r="C92" s="308">
        <v>6.7000000000000004E-2</v>
      </c>
      <c r="D92" s="309">
        <v>0.63729999999999998</v>
      </c>
      <c r="E92" s="310">
        <v>0.65</v>
      </c>
      <c r="F92" s="310">
        <v>0.35129049661183626</v>
      </c>
      <c r="G92" s="341">
        <v>2014</v>
      </c>
      <c r="H92" s="342" t="str">
        <f t="shared" si="6"/>
        <v>£m 09/10</v>
      </c>
      <c r="I92" s="342" t="s">
        <v>266</v>
      </c>
      <c r="J92" s="425" t="s">
        <v>474</v>
      </c>
      <c r="K92" s="435">
        <f t="shared" si="16"/>
        <v>2.92E-2</v>
      </c>
      <c r="L92" s="433">
        <f t="shared" si="16"/>
        <v>2.7199999999999998E-2</v>
      </c>
      <c r="M92" s="433">
        <f t="shared" si="16"/>
        <v>2.5499999999999998E-2</v>
      </c>
      <c r="N92" s="433">
        <f t="shared" si="16"/>
        <v>2.3800000000000002E-2</v>
      </c>
      <c r="O92" s="433">
        <f t="shared" si="16"/>
        <v>2.2200000000000001E-2</v>
      </c>
      <c r="P92" s="433">
        <f t="shared" si="16"/>
        <v>1.9099999999999999E-2</v>
      </c>
      <c r="Q92" s="433">
        <f t="shared" si="16"/>
        <v>1.5800000000000002E-2</v>
      </c>
      <c r="R92" s="433">
        <f t="shared" si="16"/>
        <v>1.09E-2</v>
      </c>
      <c r="S92" s="554"/>
      <c r="T92" s="555"/>
    </row>
    <row r="93" spans="1:20">
      <c r="A93" s="60" t="s">
        <v>173</v>
      </c>
      <c r="B93" s="72" t="s">
        <v>51</v>
      </c>
      <c r="C93" s="308">
        <v>6.7000000000000004E-2</v>
      </c>
      <c r="D93" s="309">
        <v>0.63729999999999998</v>
      </c>
      <c r="E93" s="310">
        <v>0.65</v>
      </c>
      <c r="F93" s="310">
        <v>0.32230855902021693</v>
      </c>
      <c r="G93" s="341">
        <v>2014</v>
      </c>
      <c r="H93" s="342" t="str">
        <f t="shared" si="6"/>
        <v>£m 09/10</v>
      </c>
      <c r="I93" s="342" t="s">
        <v>266</v>
      </c>
      <c r="J93" s="425" t="s">
        <v>474</v>
      </c>
      <c r="K93" s="435">
        <f t="shared" si="16"/>
        <v>2.92E-2</v>
      </c>
      <c r="L93" s="433">
        <f t="shared" si="16"/>
        <v>2.7199999999999998E-2</v>
      </c>
      <c r="M93" s="433">
        <f t="shared" si="16"/>
        <v>2.5499999999999998E-2</v>
      </c>
      <c r="N93" s="433">
        <f t="shared" si="16"/>
        <v>2.3800000000000002E-2</v>
      </c>
      <c r="O93" s="433">
        <f t="shared" si="16"/>
        <v>2.2200000000000001E-2</v>
      </c>
      <c r="P93" s="433">
        <f t="shared" si="16"/>
        <v>1.9099999999999999E-2</v>
      </c>
      <c r="Q93" s="433">
        <f t="shared" si="16"/>
        <v>1.5800000000000002E-2</v>
      </c>
      <c r="R93" s="433">
        <f t="shared" si="16"/>
        <v>1.09E-2</v>
      </c>
      <c r="S93" s="554"/>
      <c r="T93" s="555"/>
    </row>
    <row r="94" spans="1:20">
      <c r="A94" s="60" t="s">
        <v>173</v>
      </c>
      <c r="B94" s="72" t="s">
        <v>49</v>
      </c>
      <c r="C94" s="308">
        <v>6.7000000000000004E-2</v>
      </c>
      <c r="D94" s="309">
        <v>0.63170000000000004</v>
      </c>
      <c r="E94" s="310">
        <v>0.65</v>
      </c>
      <c r="F94" s="310">
        <v>0.35781904469402892</v>
      </c>
      <c r="G94" s="341">
        <v>2014</v>
      </c>
      <c r="H94" s="342" t="str">
        <f t="shared" si="6"/>
        <v>£m 09/10</v>
      </c>
      <c r="I94" s="342" t="s">
        <v>266</v>
      </c>
      <c r="J94" s="425" t="s">
        <v>474</v>
      </c>
      <c r="K94" s="435">
        <f t="shared" si="16"/>
        <v>2.92E-2</v>
      </c>
      <c r="L94" s="433">
        <f t="shared" si="16"/>
        <v>2.7199999999999998E-2</v>
      </c>
      <c r="M94" s="433">
        <f t="shared" si="16"/>
        <v>2.5499999999999998E-2</v>
      </c>
      <c r="N94" s="433">
        <f t="shared" si="16"/>
        <v>2.3800000000000002E-2</v>
      </c>
      <c r="O94" s="433">
        <f t="shared" si="16"/>
        <v>2.2200000000000001E-2</v>
      </c>
      <c r="P94" s="433">
        <f t="shared" si="16"/>
        <v>1.9099999999999999E-2</v>
      </c>
      <c r="Q94" s="433">
        <f t="shared" si="16"/>
        <v>1.5800000000000002E-2</v>
      </c>
      <c r="R94" s="433">
        <f t="shared" si="16"/>
        <v>1.09E-2</v>
      </c>
      <c r="S94" s="554"/>
      <c r="T94" s="555"/>
    </row>
    <row r="95" spans="1:20">
      <c r="A95" s="60" t="s">
        <v>175</v>
      </c>
      <c r="B95" s="72" t="s">
        <v>113</v>
      </c>
      <c r="C95" s="308">
        <v>6.8000000000000005E-2</v>
      </c>
      <c r="D95" s="309">
        <v>0.44359999999999999</v>
      </c>
      <c r="E95" s="310">
        <v>0.625</v>
      </c>
      <c r="F95" s="310">
        <v>0.64400000000000002</v>
      </c>
      <c r="G95" s="341">
        <v>2014</v>
      </c>
      <c r="H95" s="342" t="str">
        <f t="shared" si="6"/>
        <v>£m 09/10</v>
      </c>
      <c r="I95" s="342" t="s">
        <v>266</v>
      </c>
      <c r="J95" s="425" t="s">
        <v>474</v>
      </c>
      <c r="K95" s="435">
        <f t="shared" ref="K95:R96" si="17">C$68</f>
        <v>2.92E-2</v>
      </c>
      <c r="L95" s="433">
        <f t="shared" si="17"/>
        <v>2.7199999999999998E-2</v>
      </c>
      <c r="M95" s="433">
        <f t="shared" si="17"/>
        <v>2.5499999999999998E-2</v>
      </c>
      <c r="N95" s="433">
        <f t="shared" si="17"/>
        <v>2.3800000000000002E-2</v>
      </c>
      <c r="O95" s="433">
        <f t="shared" si="17"/>
        <v>2.2200000000000001E-2</v>
      </c>
      <c r="P95" s="433">
        <f t="shared" si="17"/>
        <v>1.9099999999999999E-2</v>
      </c>
      <c r="Q95" s="433">
        <f t="shared" si="17"/>
        <v>1.5800000000000002E-2</v>
      </c>
      <c r="R95" s="433">
        <f t="shared" si="17"/>
        <v>1.09E-2</v>
      </c>
      <c r="S95" s="554"/>
      <c r="T95" s="555"/>
    </row>
    <row r="96" spans="1:20">
      <c r="A96" s="60" t="s">
        <v>175</v>
      </c>
      <c r="B96" s="72" t="s">
        <v>114</v>
      </c>
      <c r="C96" s="308">
        <v>6.8000000000000005E-2</v>
      </c>
      <c r="D96" s="309">
        <v>0.44359999999999999</v>
      </c>
      <c r="E96" s="310">
        <v>0.625</v>
      </c>
      <c r="F96" s="310">
        <v>0.374</v>
      </c>
      <c r="G96" s="341">
        <v>2014</v>
      </c>
      <c r="H96" s="342" t="str">
        <f t="shared" si="6"/>
        <v>£m 09/10</v>
      </c>
      <c r="I96" s="342" t="s">
        <v>266</v>
      </c>
      <c r="J96" s="425" t="s">
        <v>474</v>
      </c>
      <c r="K96" s="435">
        <f t="shared" si="17"/>
        <v>2.92E-2</v>
      </c>
      <c r="L96" s="433">
        <f t="shared" si="17"/>
        <v>2.7199999999999998E-2</v>
      </c>
      <c r="M96" s="433">
        <f t="shared" si="17"/>
        <v>2.5499999999999998E-2</v>
      </c>
      <c r="N96" s="433">
        <f t="shared" si="17"/>
        <v>2.3800000000000002E-2</v>
      </c>
      <c r="O96" s="433">
        <f t="shared" si="17"/>
        <v>2.2200000000000001E-2</v>
      </c>
      <c r="P96" s="433">
        <f t="shared" si="17"/>
        <v>1.9099999999999999E-2</v>
      </c>
      <c r="Q96" s="433">
        <f t="shared" si="17"/>
        <v>1.5800000000000002E-2</v>
      </c>
      <c r="R96" s="433">
        <f t="shared" si="17"/>
        <v>1.09E-2</v>
      </c>
      <c r="S96" s="554"/>
      <c r="T96" s="555"/>
    </row>
    <row r="97" spans="1:20">
      <c r="A97" s="60" t="s">
        <v>174</v>
      </c>
      <c r="B97" s="72" t="s">
        <v>111</v>
      </c>
      <c r="C97" s="308">
        <v>7.0000000000000007E-2</v>
      </c>
      <c r="D97" s="309">
        <v>0.46889999999999998</v>
      </c>
      <c r="E97" s="310">
        <v>0.6</v>
      </c>
      <c r="F97" s="310">
        <v>0.85</v>
      </c>
      <c r="G97" s="341">
        <v>2014</v>
      </c>
      <c r="H97" s="342" t="str">
        <f t="shared" si="6"/>
        <v>£m 09/10</v>
      </c>
      <c r="I97" s="342" t="s">
        <v>266</v>
      </c>
      <c r="J97" s="425" t="s">
        <v>474</v>
      </c>
      <c r="K97" s="435">
        <f t="shared" ref="K97:R99" si="18">C$66</f>
        <v>2.92E-2</v>
      </c>
      <c r="L97" s="433">
        <f t="shared" si="18"/>
        <v>2.7199999999999998E-2</v>
      </c>
      <c r="M97" s="433">
        <f t="shared" si="18"/>
        <v>2.5499999999999998E-2</v>
      </c>
      <c r="N97" s="433">
        <f t="shared" si="18"/>
        <v>2.3800000000000002E-2</v>
      </c>
      <c r="O97" s="433">
        <f t="shared" si="18"/>
        <v>2.2200000000000001E-2</v>
      </c>
      <c r="P97" s="433">
        <f t="shared" si="18"/>
        <v>1.9099999999999999E-2</v>
      </c>
      <c r="Q97" s="433">
        <f t="shared" si="18"/>
        <v>1.5800000000000002E-2</v>
      </c>
      <c r="R97" s="433">
        <f t="shared" si="18"/>
        <v>1.09E-2</v>
      </c>
      <c r="S97" s="554"/>
      <c r="T97" s="555"/>
    </row>
    <row r="98" spans="1:20">
      <c r="A98" s="60" t="s">
        <v>174</v>
      </c>
      <c r="B98" s="72" t="s">
        <v>569</v>
      </c>
      <c r="C98" s="308">
        <v>7.0000000000000007E-2</v>
      </c>
      <c r="D98" s="309">
        <v>0.46889999999999998</v>
      </c>
      <c r="E98" s="310">
        <v>0.6</v>
      </c>
      <c r="F98" s="310">
        <v>0.27900000000000003</v>
      </c>
      <c r="G98" s="327">
        <v>2014</v>
      </c>
      <c r="H98" s="328" t="str">
        <f>VLOOKUP($A98,$E$54:$F$57,2,FALSE)</f>
        <v>£m 09/10</v>
      </c>
      <c r="I98" s="325" t="s">
        <v>266</v>
      </c>
      <c r="J98" s="425" t="s">
        <v>474</v>
      </c>
      <c r="K98" s="435">
        <f t="shared" si="18"/>
        <v>2.92E-2</v>
      </c>
      <c r="L98" s="433">
        <f t="shared" si="18"/>
        <v>2.7199999999999998E-2</v>
      </c>
      <c r="M98" s="433">
        <f t="shared" si="18"/>
        <v>2.5499999999999998E-2</v>
      </c>
      <c r="N98" s="433">
        <f t="shared" si="18"/>
        <v>2.3800000000000002E-2</v>
      </c>
      <c r="O98" s="433">
        <f t="shared" si="18"/>
        <v>2.2200000000000001E-2</v>
      </c>
      <c r="P98" s="433">
        <f t="shared" si="18"/>
        <v>1.9099999999999999E-2</v>
      </c>
      <c r="Q98" s="433">
        <f t="shared" si="18"/>
        <v>1.5800000000000002E-2</v>
      </c>
      <c r="R98" s="433">
        <f t="shared" si="18"/>
        <v>1.09E-2</v>
      </c>
      <c r="S98" s="554"/>
      <c r="T98" s="555"/>
    </row>
    <row r="99" spans="1:20">
      <c r="A99" s="60" t="s">
        <v>174</v>
      </c>
      <c r="B99" s="72" t="s">
        <v>60</v>
      </c>
      <c r="C99" s="308">
        <v>7.0000000000000007E-2</v>
      </c>
      <c r="D99" s="309">
        <v>0.5</v>
      </c>
      <c r="E99" s="310">
        <v>0.55000000000000004</v>
      </c>
      <c r="F99" s="310">
        <v>0.9</v>
      </c>
      <c r="G99" s="327">
        <v>2014</v>
      </c>
      <c r="H99" s="328" t="str">
        <f>VLOOKUP($A99,$E$54:$F$57,2,FALSE)</f>
        <v>£m 09/10</v>
      </c>
      <c r="I99" s="325" t="s">
        <v>267</v>
      </c>
      <c r="J99" s="425" t="s">
        <v>474</v>
      </c>
      <c r="K99" s="435">
        <f t="shared" si="18"/>
        <v>2.92E-2</v>
      </c>
      <c r="L99" s="433">
        <f t="shared" si="18"/>
        <v>2.7199999999999998E-2</v>
      </c>
      <c r="M99" s="433">
        <f t="shared" si="18"/>
        <v>2.5499999999999998E-2</v>
      </c>
      <c r="N99" s="433">
        <f t="shared" si="18"/>
        <v>2.3800000000000002E-2</v>
      </c>
      <c r="O99" s="433">
        <f t="shared" si="18"/>
        <v>2.2200000000000001E-2</v>
      </c>
      <c r="P99" s="433">
        <f t="shared" si="18"/>
        <v>1.9099999999999999E-2</v>
      </c>
      <c r="Q99" s="433">
        <f t="shared" si="18"/>
        <v>1.5800000000000002E-2</v>
      </c>
      <c r="R99" s="433">
        <f t="shared" si="18"/>
        <v>1.09E-2</v>
      </c>
      <c r="S99" s="554"/>
      <c r="T99" s="555"/>
    </row>
    <row r="100" spans="1:20">
      <c r="A100" s="60" t="s">
        <v>174</v>
      </c>
      <c r="B100" s="73" t="s">
        <v>61</v>
      </c>
      <c r="C100" s="311">
        <v>7.0000000000000007E-2</v>
      </c>
      <c r="D100" s="312">
        <v>0.5</v>
      </c>
      <c r="E100" s="313">
        <v>0.55000000000000004</v>
      </c>
      <c r="F100" s="313">
        <v>0.9</v>
      </c>
      <c r="G100" s="329">
        <v>2014</v>
      </c>
      <c r="H100" s="330" t="str">
        <f>VLOOKUP($A100,$E$54:$F$57,2,FALSE)</f>
        <v>£m 09/10</v>
      </c>
      <c r="I100" s="326" t="s">
        <v>267</v>
      </c>
      <c r="J100" s="425" t="s">
        <v>474</v>
      </c>
      <c r="K100" s="436">
        <f t="shared" ref="K100:R100" si="19">C$65</f>
        <v>2.92E-2</v>
      </c>
      <c r="L100" s="434">
        <f t="shared" si="19"/>
        <v>2.5000000000000001E-2</v>
      </c>
      <c r="M100" s="434">
        <f t="shared" si="19"/>
        <v>2.1499999999999998E-2</v>
      </c>
      <c r="N100" s="434">
        <f t="shared" si="19"/>
        <v>1.7899999999999999E-2</v>
      </c>
      <c r="O100" s="434">
        <f t="shared" si="19"/>
        <v>1.5100000000000001E-2</v>
      </c>
      <c r="P100" s="434">
        <f t="shared" si="19"/>
        <v>1.1599999999999999E-2</v>
      </c>
      <c r="Q100" s="434">
        <f t="shared" si="19"/>
        <v>1.0200000000000001E-2</v>
      </c>
      <c r="R100" s="434">
        <f t="shared" si="19"/>
        <v>7.6E-3</v>
      </c>
      <c r="S100" s="556"/>
      <c r="T100" s="557"/>
    </row>
    <row r="101" spans="1:20">
      <c r="I101" s="67"/>
    </row>
    <row r="102" spans="1:20">
      <c r="I102" s="67"/>
    </row>
    <row r="103" spans="1:20">
      <c r="I103" s="67"/>
    </row>
    <row r="104" spans="1:20">
      <c r="B104" s="14" t="s">
        <v>246</v>
      </c>
      <c r="D104" s="299"/>
      <c r="E104" s="299"/>
      <c r="F104" s="299"/>
      <c r="G104" s="299"/>
      <c r="H104" s="299"/>
      <c r="I104" s="299"/>
      <c r="J104" s="299"/>
    </row>
    <row r="105" spans="1:20">
      <c r="B105" s="14"/>
      <c r="C105" s="118">
        <v>2014</v>
      </c>
      <c r="D105" s="119">
        <f>C105+1</f>
        <v>2015</v>
      </c>
      <c r="E105" s="119">
        <f t="shared" ref="E105:J105" si="20">D105+1</f>
        <v>2016</v>
      </c>
      <c r="F105" s="119">
        <f>E105+1</f>
        <v>2017</v>
      </c>
      <c r="G105" s="119">
        <f t="shared" si="20"/>
        <v>2018</v>
      </c>
      <c r="H105" s="119">
        <f t="shared" si="20"/>
        <v>2019</v>
      </c>
      <c r="I105" s="119">
        <f t="shared" si="20"/>
        <v>2020</v>
      </c>
      <c r="J105" s="119">
        <f t="shared" si="20"/>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8" t="s">
        <v>49</v>
      </c>
      <c r="C113" s="419">
        <v>0.5</v>
      </c>
      <c r="D113" s="419">
        <v>0.5714285714285714</v>
      </c>
      <c r="E113" s="419">
        <v>0.64285714285714279</v>
      </c>
      <c r="F113" s="419">
        <v>0.71428571428571419</v>
      </c>
      <c r="G113" s="419">
        <v>0.78571428571428559</v>
      </c>
      <c r="H113" s="419">
        <v>0.85714285714285698</v>
      </c>
      <c r="I113" s="419">
        <v>0.92857142857142838</v>
      </c>
      <c r="J113" s="420">
        <v>1</v>
      </c>
    </row>
    <row r="114" spans="2:15">
      <c r="B114" s="304" t="s">
        <v>113</v>
      </c>
      <c r="C114" s="220">
        <v>0.9</v>
      </c>
      <c r="D114" s="220">
        <v>0.9</v>
      </c>
      <c r="E114" s="220">
        <v>0.9</v>
      </c>
      <c r="F114" s="220">
        <v>0.9</v>
      </c>
      <c r="G114" s="220">
        <v>0.9</v>
      </c>
      <c r="H114" s="220">
        <v>0.9</v>
      </c>
      <c r="I114" s="220">
        <v>0.9</v>
      </c>
      <c r="J114" s="221">
        <v>0.9</v>
      </c>
    </row>
    <row r="115" spans="2:15">
      <c r="B115" s="305" t="s">
        <v>114</v>
      </c>
      <c r="C115" s="561"/>
      <c r="D115" s="561"/>
      <c r="E115" s="561"/>
      <c r="F115" s="561"/>
      <c r="G115" s="561"/>
      <c r="H115" s="561"/>
      <c r="I115" s="561"/>
      <c r="J115" s="561"/>
    </row>
    <row r="116" spans="2:15">
      <c r="B116" s="400"/>
      <c r="C116" s="459"/>
      <c r="D116" s="459"/>
      <c r="E116" s="459"/>
      <c r="F116" s="459"/>
      <c r="G116" s="459"/>
      <c r="H116" s="459"/>
      <c r="I116" s="459"/>
      <c r="J116" s="459"/>
      <c r="M116" s="31"/>
      <c r="N116" s="31"/>
      <c r="O116" s="31"/>
    </row>
    <row r="117" spans="2:15">
      <c r="B117" s="400"/>
      <c r="C117" s="459"/>
      <c r="D117" s="459"/>
      <c r="E117" s="459"/>
      <c r="F117" s="459"/>
      <c r="G117" s="459"/>
      <c r="H117" s="459"/>
      <c r="I117" s="459"/>
      <c r="J117" s="459"/>
      <c r="K117" s="366"/>
      <c r="L117" s="366"/>
      <c r="M117" s="31"/>
      <c r="N117" s="31"/>
      <c r="O117" s="31"/>
    </row>
    <row r="118" spans="2:15">
      <c r="B118" s="469" t="s">
        <v>214</v>
      </c>
      <c r="C118" s="118">
        <v>2014</v>
      </c>
      <c r="D118" s="119">
        <f t="shared" ref="D118:L118" si="21">C118+1</f>
        <v>2015</v>
      </c>
      <c r="E118" s="119">
        <f t="shared" si="21"/>
        <v>2016</v>
      </c>
      <c r="F118" s="119">
        <f t="shared" si="21"/>
        <v>2017</v>
      </c>
      <c r="G118" s="119">
        <f t="shared" si="21"/>
        <v>2018</v>
      </c>
      <c r="H118" s="119">
        <f t="shared" si="21"/>
        <v>2019</v>
      </c>
      <c r="I118" s="119">
        <f t="shared" si="21"/>
        <v>2020</v>
      </c>
      <c r="J118" s="119">
        <f t="shared" si="21"/>
        <v>2021</v>
      </c>
      <c r="K118" s="119">
        <f t="shared" si="21"/>
        <v>2022</v>
      </c>
      <c r="L118" s="196">
        <f t="shared" si="21"/>
        <v>2023</v>
      </c>
      <c r="M118" s="31"/>
      <c r="N118" s="31"/>
      <c r="O118" s="31"/>
    </row>
    <row r="119" spans="2:15">
      <c r="B119" s="460" t="s">
        <v>43</v>
      </c>
      <c r="C119" s="558"/>
      <c r="D119" s="559"/>
      <c r="E119" s="462">
        <v>1.5575632164737283</v>
      </c>
      <c r="F119" s="462">
        <v>1.4734141240658321</v>
      </c>
      <c r="G119" s="462">
        <v>1.4689588897025405</v>
      </c>
      <c r="H119" s="462">
        <v>1.4707200530126929</v>
      </c>
      <c r="I119" s="462">
        <v>1.4674716260161711</v>
      </c>
      <c r="J119" s="462">
        <v>1.4486206224386007</v>
      </c>
      <c r="K119" s="462">
        <v>1.4956798325868756</v>
      </c>
      <c r="L119" s="463">
        <v>1.4397148718051931</v>
      </c>
      <c r="M119" s="31"/>
      <c r="N119" s="31"/>
      <c r="O119" s="31"/>
    </row>
    <row r="120" spans="2:15">
      <c r="B120" s="460" t="s">
        <v>44</v>
      </c>
      <c r="C120" s="560"/>
      <c r="D120" s="561"/>
      <c r="E120" s="464">
        <v>-0.65871781800535345</v>
      </c>
      <c r="F120" s="464">
        <v>-0.63543772576063684</v>
      </c>
      <c r="G120" s="464">
        <v>-0.58907862874233818</v>
      </c>
      <c r="H120" s="464">
        <v>-0.58178188190178026</v>
      </c>
      <c r="I120" s="464">
        <v>-0.56823918867341305</v>
      </c>
      <c r="J120" s="464">
        <v>-0.51933170333654122</v>
      </c>
      <c r="K120" s="464">
        <v>-0.47962665852661612</v>
      </c>
      <c r="L120" s="465">
        <v>-0.4656874701170608</v>
      </c>
      <c r="M120" s="31"/>
      <c r="N120" s="31"/>
      <c r="O120" s="31"/>
    </row>
    <row r="121" spans="2:15">
      <c r="B121" s="460" t="s">
        <v>73</v>
      </c>
      <c r="C121" s="560"/>
      <c r="D121" s="561"/>
      <c r="E121" s="464">
        <v>-0.86626036283610952</v>
      </c>
      <c r="F121" s="464">
        <v>-0.81019773780890636</v>
      </c>
      <c r="G121" s="464">
        <v>-0.78919084241395188</v>
      </c>
      <c r="H121" s="464">
        <v>-0.79061873066036981</v>
      </c>
      <c r="I121" s="464">
        <v>-0.74432653414361061</v>
      </c>
      <c r="J121" s="464">
        <v>-0.70697274816976396</v>
      </c>
      <c r="K121" s="464">
        <v>-0.65350946162011747</v>
      </c>
      <c r="L121" s="465">
        <v>-0.66429758885743451</v>
      </c>
      <c r="M121" s="31"/>
      <c r="N121" s="31"/>
      <c r="O121" s="31"/>
    </row>
    <row r="122" spans="2:15">
      <c r="B122" s="460" t="s">
        <v>59</v>
      </c>
      <c r="C122" s="560"/>
      <c r="D122" s="561"/>
      <c r="E122" s="464">
        <v>-3.2612134183503572</v>
      </c>
      <c r="F122" s="464">
        <v>-3.3462554451402173</v>
      </c>
      <c r="G122" s="464">
        <v>-3.1732919768141143</v>
      </c>
      <c r="H122" s="464">
        <v>-3.1232404745251841</v>
      </c>
      <c r="I122" s="464">
        <v>-3.0767551306224106</v>
      </c>
      <c r="J122" s="464">
        <v>-2.9342177182087767</v>
      </c>
      <c r="K122" s="464">
        <v>-2.8825938479182072</v>
      </c>
      <c r="L122" s="465">
        <v>-2.7237011003750218</v>
      </c>
      <c r="M122" s="31"/>
      <c r="N122" s="31"/>
      <c r="O122" s="31"/>
    </row>
    <row r="123" spans="2:15">
      <c r="B123" s="460" t="s">
        <v>57</v>
      </c>
      <c r="C123" s="560"/>
      <c r="D123" s="561"/>
      <c r="E123" s="464">
        <v>-2.4260972367898193</v>
      </c>
      <c r="F123" s="464">
        <v>-2.3690383662844163</v>
      </c>
      <c r="G123" s="464">
        <v>-2.2433276600060932</v>
      </c>
      <c r="H123" s="464">
        <v>-2.1466020621213828</v>
      </c>
      <c r="I123" s="464">
        <v>-2.174009678716605</v>
      </c>
      <c r="J123" s="464">
        <v>-2.0538927838998693</v>
      </c>
      <c r="K123" s="464">
        <v>-1.9044581231060691</v>
      </c>
      <c r="L123" s="465">
        <v>-1.8008611131009082</v>
      </c>
      <c r="M123" s="31"/>
      <c r="N123" s="31"/>
      <c r="O123" s="31"/>
    </row>
    <row r="124" spans="2:15">
      <c r="B124" s="460" t="s">
        <v>58</v>
      </c>
      <c r="C124" s="560"/>
      <c r="D124" s="561"/>
      <c r="E124" s="464">
        <v>-2.1861012409352765</v>
      </c>
      <c r="F124" s="464">
        <v>-2.3820447425774849</v>
      </c>
      <c r="G124" s="464">
        <v>-2.2418672366929897</v>
      </c>
      <c r="H124" s="464">
        <v>-2.1147812646907029</v>
      </c>
      <c r="I124" s="464">
        <v>-2.0146177086326591</v>
      </c>
      <c r="J124" s="464">
        <v>-1.9421313262105093</v>
      </c>
      <c r="K124" s="464">
        <v>-1.9248856430948595</v>
      </c>
      <c r="L124" s="465">
        <v>-1.8464451304225615</v>
      </c>
      <c r="M124" s="31"/>
      <c r="N124" s="31"/>
      <c r="O124" s="31"/>
    </row>
    <row r="125" spans="2:15">
      <c r="B125" s="460" t="s">
        <v>45</v>
      </c>
      <c r="C125" s="560"/>
      <c r="D125" s="561"/>
      <c r="E125" s="464">
        <v>-1.8633532543800757</v>
      </c>
      <c r="F125" s="464">
        <v>-1.8182980405067262</v>
      </c>
      <c r="G125" s="464">
        <v>-1.83946756302578</v>
      </c>
      <c r="H125" s="464">
        <v>-1.7415973428180247</v>
      </c>
      <c r="I125" s="464">
        <v>-1.6798002111470465</v>
      </c>
      <c r="J125" s="464">
        <v>-1.5974456358596774</v>
      </c>
      <c r="K125" s="464">
        <v>-1.5016396120831343</v>
      </c>
      <c r="L125" s="465">
        <v>-1.4453638876860204</v>
      </c>
      <c r="M125" s="31"/>
      <c r="N125" s="31"/>
      <c r="O125" s="31"/>
    </row>
    <row r="126" spans="2:15">
      <c r="B126" s="460" t="s">
        <v>46</v>
      </c>
      <c r="C126" s="560"/>
      <c r="D126" s="561"/>
      <c r="E126" s="464">
        <v>-2.1317145269512103</v>
      </c>
      <c r="F126" s="464">
        <v>-2.193973633026753</v>
      </c>
      <c r="G126" s="464">
        <v>-1.9869010217130036</v>
      </c>
      <c r="H126" s="464">
        <v>-1.8037552784318813</v>
      </c>
      <c r="I126" s="464">
        <v>-1.7767942495618843</v>
      </c>
      <c r="J126" s="464">
        <v>-1.7901472583807538</v>
      </c>
      <c r="K126" s="464">
        <v>-1.6444113686346382</v>
      </c>
      <c r="L126" s="465">
        <v>-1.467384504290556</v>
      </c>
      <c r="M126" s="31"/>
      <c r="N126" s="31"/>
      <c r="O126" s="31"/>
    </row>
    <row r="127" spans="2:15">
      <c r="B127" s="460" t="s">
        <v>47</v>
      </c>
      <c r="C127" s="560"/>
      <c r="D127" s="561"/>
      <c r="E127" s="464">
        <v>0.16599721814464838</v>
      </c>
      <c r="F127" s="464">
        <v>0.16631900606776751</v>
      </c>
      <c r="G127" s="464">
        <v>0.16554337895881124</v>
      </c>
      <c r="H127" s="464">
        <v>0.16569741136821181</v>
      </c>
      <c r="I127" s="464">
        <v>0.16622630759870036</v>
      </c>
      <c r="J127" s="464">
        <v>0.16380302414374548</v>
      </c>
      <c r="K127" s="464">
        <v>0.16593344617950709</v>
      </c>
      <c r="L127" s="465">
        <v>0.16036688822048883</v>
      </c>
      <c r="M127" s="31"/>
      <c r="N127" s="31"/>
      <c r="O127" s="31"/>
    </row>
    <row r="128" spans="2:15">
      <c r="B128" s="460" t="s">
        <v>48</v>
      </c>
      <c r="C128" s="560"/>
      <c r="D128" s="561"/>
      <c r="E128" s="464">
        <v>0.3648271976377423</v>
      </c>
      <c r="F128" s="464">
        <v>0.37109083837102003</v>
      </c>
      <c r="G128" s="464">
        <v>0.36071859106606846</v>
      </c>
      <c r="H128" s="464">
        <v>0.35927814835295946</v>
      </c>
      <c r="I128" s="464">
        <v>0.3227419487574148</v>
      </c>
      <c r="J128" s="464">
        <v>0.32139075529498529</v>
      </c>
      <c r="K128" s="464">
        <v>0.32876178406363676</v>
      </c>
      <c r="L128" s="465">
        <v>0.31920430794598709</v>
      </c>
      <c r="M128" s="31"/>
      <c r="N128" s="31"/>
      <c r="O128" s="31"/>
    </row>
    <row r="129" spans="2:15">
      <c r="B129" s="460" t="s">
        <v>657</v>
      </c>
      <c r="C129" s="560"/>
      <c r="D129" s="561"/>
      <c r="E129" s="464">
        <v>7.1281196754416492</v>
      </c>
      <c r="F129" s="464">
        <v>6.9674138399666772</v>
      </c>
      <c r="G129" s="464">
        <v>6.2034025893135132</v>
      </c>
      <c r="H129" s="464">
        <v>6.3085978915797085</v>
      </c>
      <c r="I129" s="464">
        <v>6.2376648400128394</v>
      </c>
      <c r="J129" s="464">
        <v>6.4865819943041139</v>
      </c>
      <c r="K129" s="464">
        <v>6.8152516624832584</v>
      </c>
      <c r="L129" s="465">
        <v>6.6271056201039169</v>
      </c>
      <c r="M129" s="31"/>
      <c r="N129" s="31"/>
      <c r="O129" s="31"/>
    </row>
    <row r="130" spans="2:15">
      <c r="B130" s="460" t="s">
        <v>658</v>
      </c>
      <c r="C130" s="560"/>
      <c r="D130" s="561"/>
      <c r="E130" s="464">
        <v>6.5079014730517413</v>
      </c>
      <c r="F130" s="464">
        <v>6.5166167406950333</v>
      </c>
      <c r="G130" s="464">
        <v>6.3292456496722922</v>
      </c>
      <c r="H130" s="464">
        <v>6.4407397408462082</v>
      </c>
      <c r="I130" s="464">
        <v>6.6367331985058957</v>
      </c>
      <c r="J130" s="464">
        <v>6.7568163761394304</v>
      </c>
      <c r="K130" s="464">
        <v>6.6961234445143969</v>
      </c>
      <c r="L130" s="465">
        <v>6.7647427548792596</v>
      </c>
      <c r="M130" s="31"/>
      <c r="N130" s="31"/>
      <c r="O130" s="31"/>
    </row>
    <row r="131" spans="2:15">
      <c r="B131" s="460" t="s">
        <v>659</v>
      </c>
      <c r="C131" s="560"/>
      <c r="D131" s="561"/>
      <c r="E131" s="464">
        <v>3.6763138465229663</v>
      </c>
      <c r="F131" s="464">
        <v>3.6748350873956013</v>
      </c>
      <c r="G131" s="464">
        <v>3.4998529635433906</v>
      </c>
      <c r="H131" s="464">
        <v>3.724685546648324</v>
      </c>
      <c r="I131" s="464">
        <v>3.4121739487309477</v>
      </c>
      <c r="J131" s="464">
        <v>3.4202241027689042</v>
      </c>
      <c r="K131" s="464">
        <v>3.3053549439575329</v>
      </c>
      <c r="L131" s="465">
        <v>3.3633285641010966</v>
      </c>
      <c r="M131" s="31"/>
      <c r="N131" s="31"/>
      <c r="O131" s="31"/>
    </row>
    <row r="132" spans="2:15">
      <c r="B132" s="460" t="s">
        <v>660</v>
      </c>
      <c r="C132" s="560"/>
      <c r="D132" s="561"/>
      <c r="E132" s="464">
        <v>5.3762701961708466</v>
      </c>
      <c r="F132" s="464">
        <v>5.3775969760840585</v>
      </c>
      <c r="G132" s="464">
        <v>5.2618102801807671</v>
      </c>
      <c r="H132" s="464">
        <v>5.360849180672294</v>
      </c>
      <c r="I132" s="464">
        <v>5.2665238228731912</v>
      </c>
      <c r="J132" s="464">
        <v>5.3271179030285305</v>
      </c>
      <c r="K132" s="464">
        <v>5.3223294006601192</v>
      </c>
      <c r="L132" s="465">
        <v>5.5699880746272257</v>
      </c>
      <c r="M132" s="31"/>
      <c r="N132" s="31"/>
      <c r="O132" s="31"/>
    </row>
    <row r="133" spans="2:15">
      <c r="B133" s="460" t="s">
        <v>53</v>
      </c>
      <c r="C133" s="466">
        <v>1.4371556068940596</v>
      </c>
      <c r="D133" s="464">
        <v>1.3718015630879741</v>
      </c>
      <c r="E133" s="464">
        <v>1.3507660107019517</v>
      </c>
      <c r="F133" s="464">
        <v>1.356812198977974</v>
      </c>
      <c r="G133" s="464">
        <v>1.3598136386487443</v>
      </c>
      <c r="H133" s="464">
        <v>1.3501475065962032</v>
      </c>
      <c r="I133" s="464">
        <v>1.3298433305384654</v>
      </c>
      <c r="J133" s="464">
        <v>1.3174540960763355</v>
      </c>
      <c r="K133" s="561"/>
      <c r="L133" s="562"/>
      <c r="M133" s="31"/>
      <c r="N133" s="31"/>
      <c r="O133" s="31"/>
    </row>
    <row r="134" spans="2:15">
      <c r="B134" s="460" t="s">
        <v>54</v>
      </c>
      <c r="C134" s="466">
        <v>1.2224510767557433</v>
      </c>
      <c r="D134" s="464">
        <v>1.2198157429394254</v>
      </c>
      <c r="E134" s="464">
        <v>1.2942164825881293</v>
      </c>
      <c r="F134" s="464">
        <v>1.2596396269108345</v>
      </c>
      <c r="G134" s="464">
        <v>1.2840112184368913</v>
      </c>
      <c r="H134" s="464">
        <v>1.2678511857965422</v>
      </c>
      <c r="I134" s="464">
        <v>1.2592019055105816</v>
      </c>
      <c r="J134" s="464">
        <v>1.257376658609527</v>
      </c>
      <c r="K134" s="561"/>
      <c r="L134" s="562"/>
      <c r="M134" s="31"/>
      <c r="N134" s="31"/>
      <c r="O134" s="31"/>
    </row>
    <row r="135" spans="2:15">
      <c r="B135" s="460" t="s">
        <v>55</v>
      </c>
      <c r="C135" s="466">
        <v>0.82325002294811445</v>
      </c>
      <c r="D135" s="464">
        <v>0.82663571281128501</v>
      </c>
      <c r="E135" s="464">
        <v>0.79640504595610451</v>
      </c>
      <c r="F135" s="464">
        <v>0.78757021450124798</v>
      </c>
      <c r="G135" s="464">
        <v>0.81133252861207505</v>
      </c>
      <c r="H135" s="464">
        <v>0.81064228783969072</v>
      </c>
      <c r="I135" s="464">
        <v>0.80900368952296353</v>
      </c>
      <c r="J135" s="464">
        <v>0.78043276967968189</v>
      </c>
      <c r="K135" s="561"/>
      <c r="L135" s="562"/>
      <c r="M135" s="31"/>
      <c r="N135" s="31"/>
      <c r="O135" s="31"/>
    </row>
    <row r="136" spans="2:15">
      <c r="B136" s="460" t="s">
        <v>56</v>
      </c>
      <c r="C136" s="466">
        <v>1.0893959849781105</v>
      </c>
      <c r="D136" s="464">
        <v>1.027913194554035</v>
      </c>
      <c r="E136" s="464">
        <v>1.0066987144123654</v>
      </c>
      <c r="F136" s="464">
        <v>1.0192350900597893</v>
      </c>
      <c r="G136" s="464">
        <v>1.0341480780318344</v>
      </c>
      <c r="H136" s="464">
        <v>1.0204240792759967</v>
      </c>
      <c r="I136" s="464">
        <v>1.0137739549704501</v>
      </c>
      <c r="J136" s="464">
        <v>0.9898055017218621</v>
      </c>
      <c r="K136" s="561"/>
      <c r="L136" s="562"/>
      <c r="M136" s="31"/>
      <c r="N136" s="31"/>
      <c r="O136" s="31"/>
    </row>
    <row r="137" spans="2:15">
      <c r="B137" s="460" t="s">
        <v>50</v>
      </c>
      <c r="C137" s="466">
        <v>3.0675250143183739</v>
      </c>
      <c r="D137" s="464">
        <v>3.1629219417602221</v>
      </c>
      <c r="E137" s="464">
        <v>3.2156604222069194</v>
      </c>
      <c r="F137" s="464">
        <v>3.1773534622131239</v>
      </c>
      <c r="G137" s="464">
        <v>2.9925267771957293</v>
      </c>
      <c r="H137" s="464">
        <v>2.9953978987575276</v>
      </c>
      <c r="I137" s="464">
        <v>3.008780645638939</v>
      </c>
      <c r="J137" s="464">
        <v>3.0035530345258876</v>
      </c>
      <c r="K137" s="561"/>
      <c r="L137" s="562"/>
      <c r="M137" s="31"/>
      <c r="N137" s="31"/>
      <c r="O137" s="31"/>
    </row>
    <row r="138" spans="2:15">
      <c r="B138" s="460" t="s">
        <v>52</v>
      </c>
      <c r="C138" s="466">
        <v>2.1240897362733717</v>
      </c>
      <c r="D138" s="464">
        <v>2.0350723340362249</v>
      </c>
      <c r="E138" s="464">
        <v>1.9686998072928457</v>
      </c>
      <c r="F138" s="464">
        <v>2.0858456765056492</v>
      </c>
      <c r="G138" s="464">
        <v>2.1150393198028121</v>
      </c>
      <c r="H138" s="464">
        <v>2.0960407823683633</v>
      </c>
      <c r="I138" s="464">
        <v>1.9709648894580449</v>
      </c>
      <c r="J138" s="464">
        <v>1.9558237270696361</v>
      </c>
      <c r="K138" s="561"/>
      <c r="L138" s="562"/>
      <c r="M138" s="31"/>
      <c r="N138" s="31"/>
      <c r="O138" s="31"/>
    </row>
    <row r="139" spans="2:15">
      <c r="B139" s="460" t="s">
        <v>51</v>
      </c>
      <c r="C139" s="466">
        <v>4.3724011747736116</v>
      </c>
      <c r="D139" s="464">
        <v>4.1057641662653896</v>
      </c>
      <c r="E139" s="464">
        <v>4.0545669929819539</v>
      </c>
      <c r="F139" s="464">
        <v>4.1740927460581894</v>
      </c>
      <c r="G139" s="464">
        <v>4.2397101975440528</v>
      </c>
      <c r="H139" s="464">
        <v>4.2461477210751069</v>
      </c>
      <c r="I139" s="464">
        <v>4.1078523076276792</v>
      </c>
      <c r="J139" s="464">
        <v>4.0575944965475035</v>
      </c>
      <c r="K139" s="561"/>
      <c r="L139" s="562"/>
      <c r="M139" s="31"/>
      <c r="N139" s="31"/>
      <c r="O139" s="31"/>
    </row>
    <row r="140" spans="2:15">
      <c r="B140" s="460" t="s">
        <v>49</v>
      </c>
      <c r="C140" s="466">
        <v>1.3982776671905828</v>
      </c>
      <c r="D140" s="464">
        <v>1.3864649866746799</v>
      </c>
      <c r="E140" s="464">
        <v>1.3673040530931269</v>
      </c>
      <c r="F140" s="464">
        <v>1.3493453776780693</v>
      </c>
      <c r="G140" s="464">
        <v>1.3347777856873293</v>
      </c>
      <c r="H140" s="464">
        <v>1.3354887108693174</v>
      </c>
      <c r="I140" s="464">
        <v>1.3597799661606067</v>
      </c>
      <c r="J140" s="464">
        <v>1.3515240072037848</v>
      </c>
      <c r="K140" s="561"/>
      <c r="L140" s="562"/>
      <c r="M140" s="31"/>
      <c r="N140" s="31"/>
      <c r="O140" s="31"/>
    </row>
    <row r="141" spans="2:15">
      <c r="B141" s="460" t="s">
        <v>113</v>
      </c>
      <c r="C141" s="466">
        <v>-1.1295718210052885</v>
      </c>
      <c r="D141" s="464">
        <v>-1.1444007312827333</v>
      </c>
      <c r="E141" s="464">
        <v>-1.1763817360750841</v>
      </c>
      <c r="F141" s="464">
        <v>-1.5927557463957547</v>
      </c>
      <c r="G141" s="464">
        <v>-1.8565667598967899</v>
      </c>
      <c r="H141" s="464">
        <v>-1.2720416735170972</v>
      </c>
      <c r="I141" s="464">
        <v>-1.1039739947823479</v>
      </c>
      <c r="J141" s="464">
        <v>-1.018311326547777</v>
      </c>
      <c r="K141" s="561"/>
      <c r="L141" s="562"/>
      <c r="M141" s="31"/>
      <c r="N141" s="31"/>
      <c r="O141" s="31"/>
    </row>
    <row r="142" spans="2:15">
      <c r="B142" s="460" t="s">
        <v>114</v>
      </c>
      <c r="C142" s="466">
        <v>-0.43181154987245485</v>
      </c>
      <c r="D142" s="464">
        <v>-0.39947195996305995</v>
      </c>
      <c r="E142" s="464">
        <v>-0.34734317043598018</v>
      </c>
      <c r="F142" s="464">
        <v>-0.3193206524905472</v>
      </c>
      <c r="G142" s="464">
        <v>-0.31265626882301373</v>
      </c>
      <c r="H142" s="464">
        <v>-0.30799379948941219</v>
      </c>
      <c r="I142" s="464">
        <v>-0.32570922921081308</v>
      </c>
      <c r="J142" s="464">
        <v>-0.31552026220892354</v>
      </c>
      <c r="K142" s="561"/>
      <c r="L142" s="562"/>
      <c r="M142" s="31"/>
      <c r="N142" s="31"/>
      <c r="O142" s="31"/>
    </row>
    <row r="143" spans="2:15">
      <c r="B143" s="460" t="s">
        <v>111</v>
      </c>
      <c r="C143" s="466">
        <v>15.168246288518162</v>
      </c>
      <c r="D143" s="464">
        <v>16.275110005972994</v>
      </c>
      <c r="E143" s="464">
        <v>15.614702904478012</v>
      </c>
      <c r="F143" s="464">
        <v>14.911674359737152</v>
      </c>
      <c r="G143" s="464">
        <v>13.033415757853545</v>
      </c>
      <c r="H143" s="464">
        <v>12.556067765830047</v>
      </c>
      <c r="I143" s="464">
        <v>11.285100906339711</v>
      </c>
      <c r="J143" s="464">
        <v>9.8268179419485548</v>
      </c>
      <c r="K143" s="561"/>
      <c r="L143" s="562"/>
      <c r="M143" s="31"/>
      <c r="N143" s="31"/>
      <c r="O143" s="31"/>
    </row>
    <row r="144" spans="2:15">
      <c r="B144" s="460" t="s">
        <v>112</v>
      </c>
      <c r="C144" s="466">
        <v>0.93219394583370063</v>
      </c>
      <c r="D144" s="464">
        <v>0.89969793099769957</v>
      </c>
      <c r="E144" s="464">
        <v>0.87783267686821997</v>
      </c>
      <c r="F144" s="464">
        <v>0.87232109317784756</v>
      </c>
      <c r="G144" s="464">
        <v>0.89875958568159287</v>
      </c>
      <c r="H144" s="464">
        <v>0.82801710222961222</v>
      </c>
      <c r="I144" s="464">
        <v>0.88417658562860901</v>
      </c>
      <c r="J144" s="464">
        <v>0.89982415652833247</v>
      </c>
      <c r="K144" s="561"/>
      <c r="L144" s="562"/>
      <c r="M144" s="31"/>
      <c r="N144" s="31"/>
      <c r="O144" s="31"/>
    </row>
    <row r="145" spans="1:15">
      <c r="B145" s="460" t="s">
        <v>60</v>
      </c>
      <c r="C145" s="466">
        <v>10.952751093909903</v>
      </c>
      <c r="D145" s="464">
        <v>1.3412683602121493</v>
      </c>
      <c r="E145" s="464">
        <v>22.190179414419269</v>
      </c>
      <c r="F145" s="464">
        <v>7.0488483253947072</v>
      </c>
      <c r="G145" s="464">
        <v>6.9020695692988534</v>
      </c>
      <c r="H145" s="464">
        <v>6.9425238085580094</v>
      </c>
      <c r="I145" s="464">
        <v>7.0785069781779111</v>
      </c>
      <c r="J145" s="464">
        <v>5.2688524500291916</v>
      </c>
      <c r="K145" s="561"/>
      <c r="L145" s="562"/>
      <c r="M145" s="31"/>
      <c r="N145" s="31"/>
      <c r="O145" s="31"/>
    </row>
    <row r="146" spans="1:15">
      <c r="B146" s="461" t="s">
        <v>61</v>
      </c>
      <c r="C146" s="467">
        <v>4.7850556060781999</v>
      </c>
      <c r="D146" s="468">
        <v>4.9736597194598335</v>
      </c>
      <c r="E146" s="468">
        <v>5.6988662496343032</v>
      </c>
      <c r="F146" s="468">
        <v>3.7921077312788807</v>
      </c>
      <c r="G146" s="468">
        <v>2.8512563802087829</v>
      </c>
      <c r="H146" s="468">
        <v>2.8799765245720623</v>
      </c>
      <c r="I146" s="468">
        <v>2.9074703511454074</v>
      </c>
      <c r="J146" s="468">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400"/>
      <c r="C148" s="366"/>
      <c r="D148" s="366"/>
      <c r="E148" s="366"/>
      <c r="F148" s="366"/>
      <c r="G148" s="366"/>
      <c r="H148" s="366"/>
      <c r="I148" s="366"/>
      <c r="J148" s="366"/>
      <c r="K148" s="31"/>
      <c r="L148" s="31"/>
      <c r="M148" s="31"/>
    </row>
    <row r="149" spans="1:15">
      <c r="B149" s="423" t="str">
        <f>LEFT('RFPR cover'!C6,2)</f>
        <v>ED</v>
      </c>
      <c r="C149" s="421"/>
      <c r="D149" s="421"/>
      <c r="E149" s="421"/>
      <c r="F149" s="421"/>
      <c r="G149" s="421"/>
      <c r="H149" s="421"/>
      <c r="I149" s="421"/>
      <c r="J149" s="421"/>
      <c r="K149" s="421"/>
      <c r="L149" s="422"/>
    </row>
    <row r="150" spans="1:15" ht="14.25" customHeight="1">
      <c r="A150" s="206"/>
      <c r="B150" s="457" t="s">
        <v>395</v>
      </c>
      <c r="C150" s="458"/>
      <c r="D150" s="458"/>
      <c r="E150" s="458"/>
      <c r="F150" s="456"/>
      <c r="G150" s="456"/>
      <c r="H150" s="456"/>
      <c r="I150" s="456"/>
      <c r="J150" s="456"/>
      <c r="K150" s="456"/>
      <c r="L150" s="456"/>
      <c r="M150" s="456"/>
      <c r="N150" s="456"/>
    </row>
    <row r="151" spans="1:15" s="31" customFormat="1" ht="14.25" customHeight="1">
      <c r="A151" s="765"/>
      <c r="B151" s="766"/>
      <c r="C151" s="767"/>
      <c r="D151" s="767"/>
      <c r="E151" s="767"/>
      <c r="F151" s="768"/>
      <c r="G151" s="768"/>
      <c r="H151" s="768"/>
      <c r="I151" s="768"/>
      <c r="J151" s="768"/>
      <c r="K151" s="768"/>
      <c r="L151" s="768"/>
      <c r="M151" s="768"/>
      <c r="N151" s="768"/>
    </row>
    <row r="152" spans="1:15">
      <c r="A152" s="204"/>
      <c r="B152" s="769" t="s">
        <v>401</v>
      </c>
      <c r="C152" s="207"/>
      <c r="D152" s="207"/>
      <c r="E152" s="770" t="b">
        <f>OR((LEFT('RFPR cover'!$C$6,2)=Data!F152),'RFPR cover'!$C$5=Data!F152)</f>
        <v>1</v>
      </c>
      <c r="F152" s="365" t="str">
        <f>B162</f>
        <v>ED</v>
      </c>
      <c r="G152" s="771"/>
    </row>
    <row r="153" spans="1:15">
      <c r="A153" s="204"/>
      <c r="B153" s="786" t="str">
        <f>CHOOSE(MATCH(TRUE,$E$152:$E$159,0),B163,B173,B183,E183,B193,E193,B203,E203)&amp;""</f>
        <v>Broad measure of customer service</v>
      </c>
      <c r="C153" s="207"/>
      <c r="D153" s="207"/>
      <c r="E153" s="772" t="b">
        <f>OR((LEFT('RFPR cover'!$C$6,2)=Data!F153),'RFPR cover'!$C$5=Data!F153)</f>
        <v>0</v>
      </c>
      <c r="F153" s="366" t="str">
        <f>B172</f>
        <v>GD</v>
      </c>
      <c r="G153" s="203"/>
    </row>
    <row r="154" spans="1:15">
      <c r="A154" s="204"/>
      <c r="B154" s="787" t="str">
        <f t="shared" ref="B154:B160" si="22">CHOOSE(MATCH(TRUE,$E$152:$E$159,0),B164,B174,B184,E184,B194,E194,B204,E204)&amp;""</f>
        <v>Interruptions-related quality of service</v>
      </c>
      <c r="C154" s="207"/>
      <c r="D154" s="207"/>
      <c r="E154" s="772" t="b">
        <f>OR((LEFT('RFPR cover'!$C$6,2)=Data!F154),'RFPR cover'!$C$5=Data!F154)</f>
        <v>0</v>
      </c>
      <c r="F154" s="785" t="str">
        <f>B182</f>
        <v>NGGT (TO)</v>
      </c>
      <c r="G154" s="203"/>
    </row>
    <row r="155" spans="1:15">
      <c r="A155" s="204"/>
      <c r="B155" s="787" t="str">
        <f t="shared" si="22"/>
        <v>Incentive on connections engagement</v>
      </c>
      <c r="C155" s="207"/>
      <c r="D155" s="207"/>
      <c r="E155" s="772" t="b">
        <f>OR((LEFT('RFPR cover'!$C$6,2)=Data!F155),'RFPR cover'!$C$5=Data!F155)</f>
        <v>0</v>
      </c>
      <c r="F155" s="773" t="str">
        <f>E182</f>
        <v>NGGT (SO)</v>
      </c>
      <c r="G155" s="203"/>
    </row>
    <row r="156" spans="1:15">
      <c r="A156" s="204"/>
      <c r="B156" s="787" t="str">
        <f t="shared" si="22"/>
        <v>Time to Connect Incentive</v>
      </c>
      <c r="C156" s="207"/>
      <c r="D156" s="207"/>
      <c r="E156" s="772" t="b">
        <f>OR((LEFT('RFPR cover'!$C$6,2)=Data!F156),'RFPR cover'!$C$5=Data!F156)</f>
        <v>0</v>
      </c>
      <c r="F156" s="773" t="str">
        <f>B192</f>
        <v>NGET (TO)</v>
      </c>
      <c r="G156" s="203"/>
    </row>
    <row r="157" spans="1:15">
      <c r="A157" s="204"/>
      <c r="B157" s="788" t="str">
        <f t="shared" si="22"/>
        <v>Losses discretionary reward scheme</v>
      </c>
      <c r="C157" s="207"/>
      <c r="D157" s="207"/>
      <c r="E157" s="772" t="b">
        <f>OR((LEFT('RFPR cover'!$C$6,2)=Data!F157),'RFPR cover'!$C$5=Data!F157)</f>
        <v>0</v>
      </c>
      <c r="F157" s="773" t="str">
        <f>E192</f>
        <v>NGESO</v>
      </c>
      <c r="G157" s="203"/>
    </row>
    <row r="158" spans="1:15">
      <c r="A158" s="204"/>
      <c r="B158" s="788" t="str">
        <f t="shared" si="22"/>
        <v/>
      </c>
      <c r="C158" s="207"/>
      <c r="D158" s="207"/>
      <c r="E158" s="772" t="b">
        <f>OR((LEFT('RFPR cover'!$C$6,2)=Data!F158),'RFPR cover'!$C$5=Data!F158)</f>
        <v>0</v>
      </c>
      <c r="F158" s="773" t="str">
        <f>B202</f>
        <v>SPT</v>
      </c>
      <c r="G158" s="203"/>
    </row>
    <row r="159" spans="1:15">
      <c r="A159" s="204"/>
      <c r="B159" s="788" t="str">
        <f t="shared" si="22"/>
        <v/>
      </c>
      <c r="C159" s="207"/>
      <c r="D159" s="207"/>
      <c r="E159" s="774" t="b">
        <f>OR((LEFT('RFPR cover'!$C$6,2)=Data!F159),'RFPR cover'!$C$5=Data!F159)</f>
        <v>0</v>
      </c>
      <c r="F159" s="775" t="str">
        <f>E202</f>
        <v>SHET</v>
      </c>
      <c r="G159" s="298"/>
    </row>
    <row r="160" spans="1:15">
      <c r="A160" s="204"/>
      <c r="B160" s="207" t="str">
        <f t="shared" si="22"/>
        <v/>
      </c>
      <c r="C160" s="207"/>
      <c r="D160" s="207"/>
      <c r="E160" s="59"/>
      <c r="F160" s="773"/>
      <c r="G160" s="42"/>
    </row>
    <row r="161" spans="1:7">
      <c r="A161" s="204"/>
      <c r="B161" s="207"/>
      <c r="C161" s="207"/>
      <c r="D161" s="207"/>
      <c r="E161" s="59"/>
      <c r="F161" s="773"/>
      <c r="G161" s="42"/>
    </row>
    <row r="162" spans="1:7" ht="12" customHeight="1">
      <c r="A162" s="204"/>
      <c r="B162" s="974" t="s">
        <v>172</v>
      </c>
      <c r="C162" s="975"/>
      <c r="D162" s="207"/>
      <c r="E162" s="207"/>
    </row>
    <row r="163" spans="1:7">
      <c r="A163" s="204"/>
      <c r="B163" s="995" t="s">
        <v>396</v>
      </c>
      <c r="C163" s="996"/>
      <c r="D163" s="207"/>
      <c r="E163" s="207"/>
    </row>
    <row r="164" spans="1:7">
      <c r="A164" s="204"/>
      <c r="B164" s="995" t="s">
        <v>397</v>
      </c>
      <c r="C164" s="996"/>
      <c r="D164" s="207"/>
      <c r="E164" s="207"/>
    </row>
    <row r="165" spans="1:7">
      <c r="A165" s="204"/>
      <c r="B165" s="961" t="s">
        <v>398</v>
      </c>
      <c r="C165" s="962"/>
      <c r="D165" s="207"/>
      <c r="E165" s="207"/>
    </row>
    <row r="166" spans="1:7">
      <c r="A166" s="204"/>
      <c r="B166" s="961" t="s">
        <v>399</v>
      </c>
      <c r="C166" s="962"/>
      <c r="D166" s="207"/>
      <c r="E166" s="207"/>
    </row>
    <row r="167" spans="1:7">
      <c r="A167" s="204"/>
      <c r="B167" s="961" t="s">
        <v>400</v>
      </c>
      <c r="C167" s="962"/>
      <c r="D167" s="207"/>
      <c r="E167" s="207"/>
    </row>
    <row r="168" spans="1:7">
      <c r="A168" s="204"/>
      <c r="B168" s="961"/>
      <c r="C168" s="962"/>
      <c r="D168" s="207"/>
      <c r="E168" s="207"/>
    </row>
    <row r="169" spans="1:7">
      <c r="A169" s="204"/>
      <c r="B169" s="961"/>
      <c r="C169" s="962"/>
      <c r="D169" s="207"/>
      <c r="E169" s="207"/>
    </row>
    <row r="170" spans="1:7">
      <c r="A170" s="204"/>
      <c r="B170" s="207"/>
      <c r="C170" s="207"/>
      <c r="D170" s="207"/>
      <c r="E170" s="207"/>
    </row>
    <row r="171" spans="1:7">
      <c r="A171" s="204"/>
      <c r="B171" s="207"/>
      <c r="C171" s="207"/>
      <c r="D171" s="207"/>
      <c r="E171" s="207"/>
    </row>
    <row r="172" spans="1:7">
      <c r="A172" s="204"/>
      <c r="B172" s="974" t="s">
        <v>173</v>
      </c>
      <c r="C172" s="975"/>
      <c r="D172" s="207"/>
      <c r="E172" s="207"/>
    </row>
    <row r="173" spans="1:7" ht="12.75" customHeight="1">
      <c r="A173" s="204"/>
      <c r="B173" s="969" t="s">
        <v>223</v>
      </c>
      <c r="C173" s="970"/>
      <c r="D173" s="207"/>
      <c r="E173" s="207"/>
    </row>
    <row r="174" spans="1:7" ht="12.75" customHeight="1">
      <c r="A174" s="204"/>
      <c r="B174" s="966" t="s">
        <v>224</v>
      </c>
      <c r="C174" s="968"/>
      <c r="D174" s="207"/>
      <c r="E174" s="207"/>
    </row>
    <row r="175" spans="1:7" ht="12.75" customHeight="1">
      <c r="A175" s="204"/>
      <c r="B175" s="966" t="s">
        <v>225</v>
      </c>
      <c r="C175" s="968"/>
      <c r="D175" s="207"/>
      <c r="E175" s="207"/>
    </row>
    <row r="176" spans="1:7" ht="12.75" customHeight="1">
      <c r="A176" s="204"/>
      <c r="B176" s="966" t="s">
        <v>226</v>
      </c>
      <c r="C176" s="968"/>
      <c r="D176" s="207"/>
      <c r="E176" s="207"/>
    </row>
    <row r="177" spans="1:9" ht="12.75" customHeight="1">
      <c r="A177" s="204"/>
      <c r="B177" s="963" t="s">
        <v>304</v>
      </c>
      <c r="C177" s="965"/>
      <c r="D177" s="207"/>
      <c r="E177" s="207"/>
    </row>
    <row r="178" spans="1:9" ht="12.75" customHeight="1">
      <c r="A178" s="204"/>
      <c r="B178" s="963"/>
      <c r="C178" s="965"/>
      <c r="D178" s="207"/>
      <c r="E178" s="207"/>
    </row>
    <row r="179" spans="1:9" ht="12.75" customHeight="1">
      <c r="A179" s="204"/>
      <c r="B179" s="963"/>
      <c r="C179" s="965"/>
      <c r="D179" s="207"/>
      <c r="E179" s="207"/>
    </row>
    <row r="180" spans="1:9">
      <c r="A180" s="204"/>
      <c r="B180" s="207"/>
      <c r="C180" s="207"/>
      <c r="D180" s="207"/>
      <c r="E180" s="207"/>
    </row>
    <row r="181" spans="1:9">
      <c r="A181" s="204"/>
      <c r="B181" s="207"/>
      <c r="C181" s="207"/>
      <c r="D181" s="207"/>
      <c r="E181" s="207"/>
    </row>
    <row r="182" spans="1:9">
      <c r="A182" s="204"/>
      <c r="B182" s="971" t="str">
        <f>B95</f>
        <v>NGGT (TO)</v>
      </c>
      <c r="C182" s="972"/>
      <c r="D182" s="207"/>
      <c r="E182" s="971" t="str">
        <f>B96</f>
        <v>NGGT (SO)</v>
      </c>
      <c r="F182" s="994"/>
      <c r="G182" s="994"/>
      <c r="H182" s="994"/>
      <c r="I182" s="975"/>
    </row>
    <row r="183" spans="1:9" ht="12.45" customHeight="1">
      <c r="A183" s="204"/>
      <c r="B183" s="969" t="s">
        <v>219</v>
      </c>
      <c r="C183" s="970"/>
      <c r="D183" s="207"/>
      <c r="E183" s="966" t="s">
        <v>548</v>
      </c>
      <c r="F183" s="967" t="s">
        <v>548</v>
      </c>
      <c r="G183" s="967" t="s">
        <v>548</v>
      </c>
      <c r="H183" s="967" t="s">
        <v>548</v>
      </c>
      <c r="I183" s="968" t="s">
        <v>548</v>
      </c>
    </row>
    <row r="184" spans="1:9" ht="12.45" customHeight="1">
      <c r="A184" s="204"/>
      <c r="B184" s="966" t="s">
        <v>227</v>
      </c>
      <c r="C184" s="968"/>
      <c r="D184" s="207"/>
      <c r="E184" s="966" t="s">
        <v>549</v>
      </c>
      <c r="F184" s="967" t="s">
        <v>549</v>
      </c>
      <c r="G184" s="967" t="s">
        <v>549</v>
      </c>
      <c r="H184" s="967" t="s">
        <v>549</v>
      </c>
      <c r="I184" s="968" t="s">
        <v>549</v>
      </c>
    </row>
    <row r="185" spans="1:9" ht="12.45" customHeight="1">
      <c r="A185" s="204"/>
      <c r="B185" s="966"/>
      <c r="C185" s="968"/>
      <c r="D185" s="207"/>
      <c r="E185" s="966" t="s">
        <v>550</v>
      </c>
      <c r="F185" s="967" t="s">
        <v>550</v>
      </c>
      <c r="G185" s="967" t="s">
        <v>550</v>
      </c>
      <c r="H185" s="967" t="s">
        <v>550</v>
      </c>
      <c r="I185" s="968" t="s">
        <v>550</v>
      </c>
    </row>
    <row r="186" spans="1:9" ht="12.45" customHeight="1">
      <c r="A186" s="204"/>
      <c r="B186" s="966"/>
      <c r="C186" s="968"/>
      <c r="D186" s="207"/>
      <c r="E186" s="966" t="s">
        <v>551</v>
      </c>
      <c r="F186" s="967" t="s">
        <v>551</v>
      </c>
      <c r="G186" s="967" t="s">
        <v>551</v>
      </c>
      <c r="H186" s="967" t="s">
        <v>551</v>
      </c>
      <c r="I186" s="968" t="s">
        <v>551</v>
      </c>
    </row>
    <row r="187" spans="1:9" ht="12.45" customHeight="1">
      <c r="A187" s="204"/>
      <c r="B187" s="963"/>
      <c r="C187" s="965"/>
      <c r="D187" s="207"/>
      <c r="E187" s="966" t="s">
        <v>552</v>
      </c>
      <c r="F187" s="967" t="s">
        <v>552</v>
      </c>
      <c r="G187" s="967" t="s">
        <v>552</v>
      </c>
      <c r="H187" s="967" t="s">
        <v>552</v>
      </c>
      <c r="I187" s="968" t="s">
        <v>552</v>
      </c>
    </row>
    <row r="188" spans="1:9" ht="12.45" customHeight="1">
      <c r="A188" s="204"/>
      <c r="B188" s="963"/>
      <c r="C188" s="965"/>
      <c r="D188" s="207"/>
      <c r="E188" s="966" t="s">
        <v>553</v>
      </c>
      <c r="F188" s="967" t="s">
        <v>553</v>
      </c>
      <c r="G188" s="967" t="s">
        <v>553</v>
      </c>
      <c r="H188" s="967" t="s">
        <v>553</v>
      </c>
      <c r="I188" s="968" t="s">
        <v>553</v>
      </c>
    </row>
    <row r="189" spans="1:9" ht="12.45" customHeight="1">
      <c r="A189" s="204"/>
      <c r="B189" s="963"/>
      <c r="C189" s="965"/>
      <c r="D189" s="207"/>
      <c r="E189" s="966" t="s">
        <v>554</v>
      </c>
      <c r="F189" s="967" t="s">
        <v>554</v>
      </c>
      <c r="G189" s="967" t="s">
        <v>554</v>
      </c>
      <c r="H189" s="967" t="s">
        <v>554</v>
      </c>
      <c r="I189" s="968" t="s">
        <v>554</v>
      </c>
    </row>
    <row r="190" spans="1:9">
      <c r="A190" s="204"/>
      <c r="B190" s="207"/>
      <c r="C190" s="207"/>
      <c r="D190" s="207"/>
      <c r="E190" s="207"/>
    </row>
    <row r="191" spans="1:9">
      <c r="A191" s="204"/>
      <c r="B191" s="207"/>
      <c r="C191" s="207"/>
      <c r="D191" s="207"/>
      <c r="E191" s="207"/>
    </row>
    <row r="192" spans="1:9">
      <c r="A192" s="204"/>
      <c r="B192" s="971" t="str">
        <f>B97</f>
        <v>NGET (TO)</v>
      </c>
      <c r="C192" s="972"/>
      <c r="D192" s="207"/>
      <c r="E192" s="971" t="str">
        <f>B98</f>
        <v>NGESO</v>
      </c>
      <c r="F192" s="994"/>
      <c r="G192" s="994"/>
      <c r="H192" s="994"/>
      <c r="I192" s="975"/>
    </row>
    <row r="193" spans="1:9" ht="12.75" customHeight="1">
      <c r="A193" s="204"/>
      <c r="B193" s="969" t="s">
        <v>218</v>
      </c>
      <c r="C193" s="970"/>
      <c r="D193" s="207"/>
      <c r="E193" s="966" t="s">
        <v>555</v>
      </c>
      <c r="F193" s="967" t="s">
        <v>555</v>
      </c>
      <c r="G193" s="967" t="s">
        <v>555</v>
      </c>
      <c r="H193" s="967" t="s">
        <v>555</v>
      </c>
      <c r="I193" s="968" t="s">
        <v>555</v>
      </c>
    </row>
    <row r="194" spans="1:9" ht="12.75" customHeight="1">
      <c r="A194" s="204"/>
      <c r="B194" s="966" t="s">
        <v>219</v>
      </c>
      <c r="C194" s="968"/>
      <c r="D194" s="207"/>
      <c r="E194" s="966" t="s">
        <v>556</v>
      </c>
      <c r="F194" s="967" t="s">
        <v>556</v>
      </c>
      <c r="G194" s="967" t="s">
        <v>556</v>
      </c>
      <c r="H194" s="967" t="s">
        <v>556</v>
      </c>
      <c r="I194" s="968" t="s">
        <v>556</v>
      </c>
    </row>
    <row r="195" spans="1:9" ht="12.75" customHeight="1">
      <c r="A195" s="204"/>
      <c r="B195" s="966" t="s">
        <v>220</v>
      </c>
      <c r="C195" s="968"/>
      <c r="D195" s="207"/>
      <c r="E195" s="966" t="s">
        <v>557</v>
      </c>
      <c r="F195" s="967" t="s">
        <v>557</v>
      </c>
      <c r="G195" s="967" t="s">
        <v>557</v>
      </c>
      <c r="H195" s="967" t="s">
        <v>557</v>
      </c>
      <c r="I195" s="968" t="s">
        <v>557</v>
      </c>
    </row>
    <row r="196" spans="1:9" ht="12.75" customHeight="1">
      <c r="A196" s="204"/>
      <c r="B196" s="966" t="s">
        <v>221</v>
      </c>
      <c r="C196" s="968"/>
      <c r="D196" s="207"/>
      <c r="E196" s="966" t="s">
        <v>570</v>
      </c>
      <c r="F196" s="967"/>
      <c r="G196" s="967"/>
      <c r="H196" s="967"/>
      <c r="I196" s="968"/>
    </row>
    <row r="197" spans="1:9" ht="12.75" customHeight="1">
      <c r="A197" s="204"/>
      <c r="B197" s="963"/>
      <c r="C197" s="965"/>
      <c r="D197" s="207"/>
      <c r="E197" s="963"/>
      <c r="F197" s="964"/>
      <c r="G197" s="964"/>
      <c r="H197" s="964"/>
      <c r="I197" s="965"/>
    </row>
    <row r="198" spans="1:9" ht="12.75" customHeight="1">
      <c r="A198" s="204"/>
      <c r="B198" s="963"/>
      <c r="C198" s="965"/>
      <c r="D198" s="207"/>
      <c r="E198" s="963"/>
      <c r="F198" s="964"/>
      <c r="G198" s="964"/>
      <c r="H198" s="964"/>
      <c r="I198" s="965"/>
    </row>
    <row r="199" spans="1:9" ht="12.75" customHeight="1">
      <c r="A199" s="204"/>
      <c r="B199" s="963"/>
      <c r="C199" s="965"/>
      <c r="D199" s="207"/>
      <c r="E199" s="963"/>
      <c r="F199" s="964"/>
      <c r="G199" s="964"/>
      <c r="H199" s="964"/>
      <c r="I199" s="965"/>
    </row>
    <row r="200" spans="1:9" s="31" customFormat="1" ht="12.75" customHeight="1">
      <c r="A200" s="762"/>
      <c r="B200" s="762"/>
      <c r="C200" s="762"/>
      <c r="D200" s="763"/>
      <c r="E200" s="764"/>
      <c r="F200" s="764"/>
      <c r="G200" s="764"/>
      <c r="H200" s="764"/>
      <c r="I200" s="764"/>
    </row>
    <row r="201" spans="1:9" s="31" customFormat="1" ht="12.75" customHeight="1">
      <c r="A201" s="762"/>
      <c r="B201" s="762"/>
      <c r="C201" s="762"/>
      <c r="D201" s="763"/>
      <c r="E201" s="764"/>
      <c r="F201" s="764"/>
      <c r="G201" s="764"/>
      <c r="H201" s="764"/>
      <c r="I201" s="764"/>
    </row>
    <row r="202" spans="1:9">
      <c r="A202" s="204"/>
      <c r="B202" s="971" t="str">
        <f>B145</f>
        <v>SPT</v>
      </c>
      <c r="C202" s="972"/>
      <c r="D202" s="207"/>
      <c r="E202" s="971" t="str">
        <f>B100</f>
        <v>SHET</v>
      </c>
      <c r="F202" s="994"/>
      <c r="G202" s="994"/>
      <c r="H202" s="994"/>
      <c r="I202" s="975"/>
    </row>
    <row r="203" spans="1:9" ht="12.75" customHeight="1">
      <c r="A203" s="204"/>
      <c r="B203" s="969" t="s">
        <v>218</v>
      </c>
      <c r="C203" s="970"/>
      <c r="D203" s="207"/>
      <c r="E203" s="969" t="s">
        <v>218</v>
      </c>
      <c r="F203" s="997"/>
      <c r="G203" s="997"/>
      <c r="H203" s="997"/>
      <c r="I203" s="970"/>
    </row>
    <row r="204" spans="1:9" ht="12.75" customHeight="1">
      <c r="A204" s="204"/>
      <c r="B204" s="966" t="s">
        <v>219</v>
      </c>
      <c r="C204" s="968"/>
      <c r="D204" s="207"/>
      <c r="E204" s="966" t="s">
        <v>219</v>
      </c>
      <c r="F204" s="967"/>
      <c r="G204" s="967"/>
      <c r="H204" s="967"/>
      <c r="I204" s="968"/>
    </row>
    <row r="205" spans="1:9" ht="12.75" customHeight="1">
      <c r="A205" s="204"/>
      <c r="B205" s="966" t="s">
        <v>220</v>
      </c>
      <c r="C205" s="968"/>
      <c r="D205" s="207"/>
      <c r="E205" s="966" t="s">
        <v>220</v>
      </c>
      <c r="F205" s="967"/>
      <c r="G205" s="967"/>
      <c r="H205" s="967"/>
      <c r="I205" s="968"/>
    </row>
    <row r="206" spans="1:9" ht="12.75" customHeight="1">
      <c r="A206" s="204"/>
      <c r="B206" s="966" t="s">
        <v>221</v>
      </c>
      <c r="C206" s="968"/>
      <c r="D206" s="207"/>
      <c r="E206" s="966" t="s">
        <v>221</v>
      </c>
      <c r="F206" s="967"/>
      <c r="G206" s="967"/>
      <c r="H206" s="967"/>
      <c r="I206" s="968"/>
    </row>
    <row r="207" spans="1:9" ht="12.75" customHeight="1">
      <c r="A207" s="204"/>
      <c r="B207" s="963" t="s">
        <v>222</v>
      </c>
      <c r="C207" s="965"/>
      <c r="D207" s="207"/>
      <c r="E207" s="963" t="s">
        <v>222</v>
      </c>
      <c r="F207" s="964"/>
      <c r="G207" s="964"/>
      <c r="H207" s="964"/>
      <c r="I207" s="965"/>
    </row>
    <row r="208" spans="1:9" ht="12.75" customHeight="1">
      <c r="A208" s="204"/>
      <c r="B208" s="963"/>
      <c r="C208" s="965"/>
      <c r="D208" s="207"/>
      <c r="E208" s="963"/>
      <c r="F208" s="964"/>
      <c r="G208" s="964"/>
      <c r="H208" s="964"/>
      <c r="I208" s="965"/>
    </row>
    <row r="209" spans="1:14" ht="12.75" customHeight="1">
      <c r="A209" s="204"/>
      <c r="B209" s="963"/>
      <c r="C209" s="965"/>
      <c r="D209" s="207"/>
      <c r="E209" s="963"/>
      <c r="F209" s="964"/>
      <c r="G209" s="964"/>
      <c r="H209" s="964"/>
      <c r="I209" s="965"/>
    </row>
    <row r="210" spans="1:14">
      <c r="A210" s="204"/>
      <c r="D210" s="207"/>
      <c r="E210" s="207"/>
    </row>
    <row r="211" spans="1:14">
      <c r="A211" s="204"/>
      <c r="D211" s="207"/>
      <c r="E211" s="207"/>
    </row>
    <row r="212" spans="1:14" ht="12.75" customHeight="1">
      <c r="A212" s="204"/>
      <c r="B212" s="973" t="s">
        <v>240</v>
      </c>
      <c r="C212" s="973"/>
      <c r="D212" s="973"/>
      <c r="E212" s="286"/>
      <c r="F212" s="218"/>
      <c r="G212" s="218"/>
      <c r="H212" s="218"/>
      <c r="I212" s="218"/>
      <c r="J212" s="218"/>
      <c r="K212" s="218"/>
      <c r="L212" s="218"/>
      <c r="M212" s="218"/>
      <c r="N212" s="218"/>
    </row>
    <row r="213" spans="1:14">
      <c r="A213" s="204"/>
      <c r="B213" s="207"/>
      <c r="C213" s="207"/>
      <c r="D213" s="207"/>
      <c r="E213" s="207"/>
    </row>
    <row r="214" spans="1:14" ht="25.2">
      <c r="A214" s="204"/>
      <c r="B214" s="209" t="s">
        <v>129</v>
      </c>
      <c r="C214" s="208" t="s">
        <v>208</v>
      </c>
      <c r="D214" s="207"/>
      <c r="E214" s="207"/>
    </row>
    <row r="215" spans="1:14" ht="25.2">
      <c r="A215" s="204"/>
      <c r="B215" s="210" t="s">
        <v>130</v>
      </c>
      <c r="C215" s="291" t="s">
        <v>209</v>
      </c>
      <c r="D215" s="207"/>
      <c r="E215" s="207"/>
    </row>
    <row r="216" spans="1:14">
      <c r="B216" s="306"/>
      <c r="C216" s="42"/>
      <c r="D216" s="42"/>
      <c r="E216" s="42"/>
      <c r="F216" s="42"/>
      <c r="G216" s="42"/>
      <c r="H216" s="42"/>
      <c r="I216" s="42"/>
      <c r="J216" s="42"/>
    </row>
    <row r="217" spans="1:14">
      <c r="B217" s="205"/>
      <c r="I217" s="67"/>
    </row>
    <row r="218" spans="1:14">
      <c r="B218" s="778" t="s">
        <v>403</v>
      </c>
      <c r="I218" s="67"/>
    </row>
    <row r="219" spans="1:14">
      <c r="B219" s="780" t="s">
        <v>286</v>
      </c>
    </row>
    <row r="220" spans="1:14">
      <c r="B220" s="781" t="s">
        <v>285</v>
      </c>
    </row>
    <row r="221" spans="1:14">
      <c r="B221" s="784" t="s">
        <v>283</v>
      </c>
    </row>
    <row r="222" spans="1:14">
      <c r="B222" s="782"/>
    </row>
    <row r="223" spans="1:14">
      <c r="B223" s="214"/>
    </row>
    <row r="224" spans="1:14">
      <c r="B224" s="779" t="s">
        <v>281</v>
      </c>
    </row>
    <row r="225" spans="2:2">
      <c r="B225" s="783" t="s">
        <v>404</v>
      </c>
    </row>
    <row r="226" spans="2:2">
      <c r="B226" s="781" t="s">
        <v>405</v>
      </c>
    </row>
    <row r="227" spans="2:2">
      <c r="B227" s="781" t="s">
        <v>292</v>
      </c>
    </row>
    <row r="228" spans="2:2">
      <c r="B228" s="781" t="s">
        <v>406</v>
      </c>
    </row>
    <row r="229" spans="2:2">
      <c r="B229" s="781" t="s">
        <v>407</v>
      </c>
    </row>
    <row r="230" spans="2:2">
      <c r="B230" s="781" t="s">
        <v>284</v>
      </c>
    </row>
    <row r="231" spans="2:2">
      <c r="B231" s="781" t="s">
        <v>408</v>
      </c>
    </row>
    <row r="232" spans="2:2">
      <c r="B232" s="781" t="s">
        <v>633</v>
      </c>
    </row>
    <row r="233" spans="2:2">
      <c r="B233" s="782"/>
    </row>
    <row r="234" spans="2:2">
      <c r="B234" s="214"/>
    </row>
    <row r="235" spans="2:2">
      <c r="B235" s="779" t="s">
        <v>291</v>
      </c>
    </row>
    <row r="236" spans="2:2">
      <c r="B236" s="783" t="s">
        <v>409</v>
      </c>
    </row>
    <row r="237" spans="2:2">
      <c r="B237" s="781" t="s">
        <v>410</v>
      </c>
    </row>
    <row r="238" spans="2:2">
      <c r="B238" s="781" t="s">
        <v>411</v>
      </c>
    </row>
    <row r="239" spans="2:2">
      <c r="B239" s="781" t="s">
        <v>412</v>
      </c>
    </row>
    <row r="240" spans="2:2">
      <c r="B240" s="781" t="s">
        <v>413</v>
      </c>
    </row>
    <row r="241" spans="2:2">
      <c r="B241" s="782"/>
    </row>
    <row r="242" spans="2:2">
      <c r="B242" s="214"/>
    </row>
    <row r="243" spans="2:2">
      <c r="B243" s="779" t="s">
        <v>414</v>
      </c>
    </row>
    <row r="244" spans="2:2">
      <c r="B244" s="783" t="s">
        <v>415</v>
      </c>
    </row>
    <row r="245" spans="2:2">
      <c r="B245" s="781" t="s">
        <v>416</v>
      </c>
    </row>
    <row r="246" spans="2:2">
      <c r="B246" s="782"/>
    </row>
    <row r="247" spans="2:2">
      <c r="B247" s="214"/>
    </row>
    <row r="248" spans="2:2">
      <c r="B248" s="779" t="s">
        <v>417</v>
      </c>
    </row>
    <row r="249" spans="2:2">
      <c r="B249" s="783" t="s">
        <v>458</v>
      </c>
    </row>
    <row r="250" spans="2:2">
      <c r="B250" s="781" t="s">
        <v>457</v>
      </c>
    </row>
    <row r="251" spans="2:2">
      <c r="B251" s="782" t="s">
        <v>266</v>
      </c>
    </row>
    <row r="252" spans="2:2">
      <c r="B252" s="214"/>
    </row>
    <row r="253" spans="2:2">
      <c r="B253" s="779" t="s">
        <v>282</v>
      </c>
    </row>
    <row r="254" spans="2:2">
      <c r="B254" s="783" t="s">
        <v>418</v>
      </c>
    </row>
    <row r="255" spans="2:2">
      <c r="B255" s="781" t="s">
        <v>462</v>
      </c>
    </row>
    <row r="256" spans="2:2">
      <c r="B256" s="781"/>
    </row>
    <row r="257" spans="2:2">
      <c r="B257" s="782"/>
    </row>
    <row r="258" spans="2:2">
      <c r="B258" s="214"/>
    </row>
    <row r="259" spans="2:2">
      <c r="B259" s="779" t="s">
        <v>287</v>
      </c>
    </row>
    <row r="260" spans="2:2">
      <c r="B260" s="783" t="s">
        <v>288</v>
      </c>
    </row>
    <row r="261" spans="2:2">
      <c r="B261" s="781" t="s">
        <v>293</v>
      </c>
    </row>
    <row r="262" spans="2:2">
      <c r="B262" s="781"/>
    </row>
    <row r="263" spans="2:2">
      <c r="B263" s="782"/>
    </row>
    <row r="264" spans="2:2">
      <c r="B264" s="214"/>
    </row>
    <row r="265" spans="2:2">
      <c r="B265" s="779" t="s">
        <v>419</v>
      </c>
    </row>
    <row r="266" spans="2:2">
      <c r="B266" s="783" t="s">
        <v>286</v>
      </c>
    </row>
    <row r="267" spans="2:2">
      <c r="B267" s="781" t="s">
        <v>285</v>
      </c>
    </row>
    <row r="268" spans="2:2">
      <c r="B268" s="782"/>
    </row>
  </sheetData>
  <mergeCells count="7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113" priority="23">
      <formula>AND(#REF!="Actuals",#REF!="Forecast")</formula>
    </cfRule>
  </conditionalFormatting>
  <conditionalFormatting sqref="C47">
    <cfRule type="expression" dxfId="112" priority="21">
      <formula>AND(#REF!="Actuals",#REF!="Forecast")</formula>
    </cfRule>
  </conditionalFormatting>
  <conditionalFormatting sqref="C50:J50">
    <cfRule type="expression" dxfId="111" priority="20">
      <formula>AND(#REF!="Actuals",#REF!="Forecast")</formula>
    </cfRule>
  </conditionalFormatting>
  <conditionalFormatting sqref="B14:D30">
    <cfRule type="cellIs" dxfId="110" priority="17" operator="equal">
      <formula>"Forecast"</formula>
    </cfRule>
  </conditionalFormatting>
  <conditionalFormatting sqref="B23:C30">
    <cfRule type="expression" dxfId="109" priority="114">
      <formula>$D13="Forecast"</formula>
    </cfRule>
  </conditionalFormatting>
  <conditionalFormatting sqref="K71">
    <cfRule type="expression" dxfId="108" priority="8">
      <formula>AND(#REF!="Actuals",#REF!="Forecast")</formula>
    </cfRule>
  </conditionalFormatting>
  <conditionalFormatting sqref="K72:T72">
    <cfRule type="expression" dxfId="107" priority="7">
      <formula>AND(#REF!="Actuals",#REF!="Forecast")</formula>
    </cfRule>
  </conditionalFormatting>
  <conditionalFormatting sqref="C62:L62">
    <cfRule type="expression" dxfId="106" priority="6">
      <formula>AND(#REF!="Actuals",#REF!="Forecast")</formula>
    </cfRule>
  </conditionalFormatting>
  <conditionalFormatting sqref="C118:L118">
    <cfRule type="expression" dxfId="105" priority="4">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3"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11"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D26" sqref="D26"/>
      <selection pane="bottomLeft" activeCell="C38" sqref="C38"/>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872" t="s">
        <v>83</v>
      </c>
      <c r="B1" s="872"/>
      <c r="C1" s="872"/>
      <c r="D1" s="872"/>
      <c r="E1" s="872"/>
      <c r="F1" s="872"/>
      <c r="G1" s="872"/>
      <c r="H1" s="872"/>
      <c r="I1" s="32" t="s">
        <v>84</v>
      </c>
      <c r="J1" s="33"/>
      <c r="K1" s="33"/>
      <c r="L1" s="33"/>
      <c r="M1" s="33"/>
    </row>
    <row r="2" spans="1:14" s="31" customFormat="1" ht="21">
      <c r="A2" s="872" t="str">
        <f>'RFPR cover'!C5</f>
        <v>NGED-EMID</v>
      </c>
      <c r="B2" s="872"/>
      <c r="C2" s="872"/>
      <c r="D2" s="872"/>
      <c r="E2" s="872"/>
      <c r="F2" s="872"/>
      <c r="G2" s="872"/>
      <c r="H2" s="872"/>
      <c r="I2" s="33"/>
      <c r="J2" s="33"/>
      <c r="K2" s="33"/>
      <c r="L2" s="33"/>
      <c r="M2" s="33"/>
      <c r="N2" s="366"/>
    </row>
    <row r="3" spans="1:14" s="31" customFormat="1" ht="21">
      <c r="A3" s="872">
        <f>'RFPR cover'!C7</f>
        <v>2023</v>
      </c>
      <c r="B3" s="872"/>
      <c r="C3" s="872"/>
      <c r="D3" s="872"/>
      <c r="E3" s="872"/>
      <c r="F3" s="872"/>
      <c r="G3" s="872"/>
      <c r="H3" s="872"/>
      <c r="I3" s="33"/>
      <c r="J3" s="33"/>
      <c r="K3" s="33"/>
      <c r="L3" s="33"/>
      <c r="M3" s="33"/>
      <c r="N3" s="366"/>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7" t="s">
        <v>86</v>
      </c>
      <c r="C8" s="47" t="s">
        <v>87</v>
      </c>
      <c r="D8" s="1000" t="s">
        <v>88</v>
      </c>
      <c r="E8" s="1001"/>
      <c r="F8" s="1001"/>
      <c r="G8" s="1001"/>
      <c r="H8" s="1001"/>
      <c r="I8" s="546"/>
      <c r="J8" s="546"/>
      <c r="K8" s="546"/>
      <c r="L8" s="546"/>
      <c r="M8" s="546"/>
      <c r="N8" s="42"/>
    </row>
    <row r="9" spans="1:14">
      <c r="A9" s="24"/>
      <c r="B9" s="26" t="s">
        <v>89</v>
      </c>
      <c r="C9" s="942">
        <v>45138</v>
      </c>
      <c r="D9" s="998"/>
      <c r="E9" s="999"/>
      <c r="F9" s="999"/>
      <c r="G9" s="999"/>
      <c r="H9" s="999"/>
      <c r="I9" s="24"/>
      <c r="J9" s="24"/>
      <c r="K9" s="24"/>
      <c r="L9" s="24"/>
      <c r="M9" s="24"/>
    </row>
    <row r="10" spans="1:14">
      <c r="A10" s="24"/>
      <c r="B10" s="26" t="s">
        <v>90</v>
      </c>
      <c r="C10" s="46"/>
      <c r="D10" s="998"/>
      <c r="E10" s="999"/>
      <c r="F10" s="999"/>
      <c r="G10" s="999"/>
      <c r="H10" s="999"/>
      <c r="I10" s="24"/>
      <c r="J10" s="24"/>
      <c r="K10" s="24"/>
      <c r="L10" s="24"/>
      <c r="M10" s="24"/>
    </row>
    <row r="11" spans="1:14">
      <c r="A11" s="24"/>
      <c r="B11" s="26" t="s">
        <v>91</v>
      </c>
      <c r="C11" s="46"/>
      <c r="D11" s="998"/>
      <c r="E11" s="999"/>
      <c r="F11" s="999"/>
      <c r="G11" s="999"/>
      <c r="H11" s="999"/>
      <c r="I11" s="24"/>
      <c r="J11" s="24"/>
      <c r="K11" s="24"/>
      <c r="L11" s="24"/>
      <c r="M11" s="24"/>
    </row>
    <row r="12" spans="1:14">
      <c r="A12" s="24"/>
      <c r="B12" s="26" t="s">
        <v>92</v>
      </c>
      <c r="C12" s="46"/>
      <c r="D12" s="998"/>
      <c r="E12" s="999"/>
      <c r="F12" s="999"/>
      <c r="G12" s="999"/>
      <c r="H12" s="999"/>
      <c r="I12" s="24"/>
      <c r="J12" s="24"/>
      <c r="K12" s="24"/>
      <c r="L12" s="24"/>
      <c r="M12" s="24"/>
    </row>
    <row r="13" spans="1:14">
      <c r="A13" s="24"/>
      <c r="B13" s="26" t="s">
        <v>93</v>
      </c>
      <c r="C13" s="46"/>
      <c r="D13" s="998"/>
      <c r="E13" s="999"/>
      <c r="F13" s="999"/>
      <c r="G13" s="999"/>
      <c r="H13" s="999"/>
      <c r="I13" s="24"/>
      <c r="J13" s="24"/>
      <c r="K13" s="24"/>
      <c r="L13" s="24"/>
      <c r="M13" s="24"/>
    </row>
    <row r="14" spans="1:14">
      <c r="A14" s="24"/>
      <c r="B14" s="26" t="s">
        <v>94</v>
      </c>
      <c r="C14" s="46"/>
      <c r="D14" s="998"/>
      <c r="E14" s="999"/>
      <c r="F14" s="999"/>
      <c r="G14" s="999"/>
      <c r="H14" s="999"/>
      <c r="I14" s="24"/>
      <c r="J14" s="24"/>
      <c r="K14" s="24"/>
      <c r="L14" s="24"/>
      <c r="M14" s="24"/>
    </row>
    <row r="15" spans="1:14">
      <c r="A15" s="24"/>
      <c r="B15" s="26" t="s">
        <v>95</v>
      </c>
      <c r="C15" s="46"/>
      <c r="D15" s="998"/>
      <c r="E15" s="999"/>
      <c r="F15" s="999"/>
      <c r="G15" s="999"/>
      <c r="H15" s="999"/>
      <c r="I15" s="24"/>
      <c r="J15" s="24"/>
      <c r="K15" s="24"/>
      <c r="L15" s="24"/>
      <c r="M15" s="24"/>
    </row>
    <row r="16" spans="1:14">
      <c r="A16" s="24"/>
      <c r="B16" s="26" t="s">
        <v>96</v>
      </c>
      <c r="C16" s="46"/>
      <c r="D16" s="998"/>
      <c r="E16" s="999"/>
      <c r="F16" s="999"/>
      <c r="G16" s="999"/>
      <c r="H16" s="999"/>
      <c r="I16" s="24"/>
      <c r="J16" s="24"/>
      <c r="K16" s="24"/>
      <c r="L16" s="24"/>
      <c r="M16" s="24"/>
    </row>
    <row r="17" spans="1:13">
      <c r="A17" s="24"/>
      <c r="B17" s="26" t="s">
        <v>97</v>
      </c>
      <c r="C17" s="46"/>
      <c r="D17" s="998"/>
      <c r="E17" s="999"/>
      <c r="F17" s="999"/>
      <c r="G17" s="999"/>
      <c r="H17" s="999"/>
      <c r="I17" s="24"/>
      <c r="J17" s="24"/>
      <c r="K17" s="24"/>
      <c r="L17" s="24"/>
      <c r="M17" s="24"/>
    </row>
    <row r="18" spans="1:13">
      <c r="A18" s="24"/>
      <c r="B18" s="26" t="s">
        <v>98</v>
      </c>
      <c r="C18" s="46"/>
      <c r="D18" s="998"/>
      <c r="E18" s="999"/>
      <c r="F18" s="999"/>
      <c r="G18" s="999"/>
      <c r="H18" s="999"/>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259</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260</v>
      </c>
      <c r="C23" s="24"/>
      <c r="D23" s="24"/>
      <c r="E23" s="24"/>
      <c r="F23" s="24"/>
      <c r="G23" s="24"/>
      <c r="H23" s="24"/>
      <c r="I23" s="24"/>
      <c r="J23" s="24"/>
      <c r="K23" s="24"/>
      <c r="L23" s="24"/>
    </row>
    <row r="24" spans="1:13">
      <c r="B24" s="287" t="s">
        <v>99</v>
      </c>
    </row>
    <row r="25" spans="1:13">
      <c r="B25" s="287" t="s">
        <v>258</v>
      </c>
    </row>
    <row r="26" spans="1:13">
      <c r="B26" s="287" t="s">
        <v>100</v>
      </c>
    </row>
    <row r="27" spans="1:13">
      <c r="B27" s="287" t="s">
        <v>261</v>
      </c>
    </row>
    <row r="28" spans="1:13">
      <c r="B28" s="287" t="s">
        <v>277</v>
      </c>
      <c r="C28" t="s">
        <v>675</v>
      </c>
    </row>
    <row r="29" spans="1:13">
      <c r="B29" s="287" t="s">
        <v>237</v>
      </c>
    </row>
    <row r="30" spans="1:13">
      <c r="B30" s="287" t="s">
        <v>280</v>
      </c>
      <c r="C30" t="s">
        <v>675</v>
      </c>
    </row>
    <row r="31" spans="1:13">
      <c r="B31" s="287" t="s">
        <v>101</v>
      </c>
    </row>
    <row r="32" spans="1:13">
      <c r="B32" s="287" t="s">
        <v>257</v>
      </c>
    </row>
    <row r="33" spans="2:2">
      <c r="B33" s="287" t="s">
        <v>262</v>
      </c>
    </row>
    <row r="34" spans="2:2">
      <c r="B34" s="287" t="s">
        <v>255</v>
      </c>
    </row>
    <row r="35" spans="2:2">
      <c r="B35" s="287" t="s">
        <v>263</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8"/>
  <sheetViews>
    <sheetView showGridLines="0" zoomScale="60" zoomScaleNormal="60" workbookViewId="0">
      <pane ySplit="5" topLeftCell="A6" activePane="bottomLeft" state="frozen"/>
      <selection activeCell="D26" sqref="D26"/>
      <selection pane="bottomLeft" activeCell="C55" sqref="C55"/>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NGED-EMID</v>
      </c>
      <c r="B2" s="29"/>
      <c r="C2" s="29"/>
      <c r="D2" s="29"/>
    </row>
    <row r="3" spans="1:4" s="31" customFormat="1" ht="21">
      <c r="A3" s="29">
        <f>'RFPR cover'!C7</f>
        <v>2023</v>
      </c>
      <c r="B3" s="29"/>
      <c r="C3" s="29"/>
      <c r="D3" s="29"/>
    </row>
    <row r="4" spans="1:4" s="31" customFormat="1" ht="21">
      <c r="A4" s="809"/>
      <c r="B4" s="809"/>
      <c r="C4" s="809"/>
      <c r="D4" s="809"/>
    </row>
    <row r="5" spans="1:4" ht="27.6">
      <c r="A5" s="806" t="s">
        <v>441</v>
      </c>
      <c r="B5" s="807" t="s">
        <v>442</v>
      </c>
      <c r="C5" s="808" t="s">
        <v>443</v>
      </c>
    </row>
    <row r="6" spans="1:4">
      <c r="A6" s="336">
        <v>1.1000000000000001</v>
      </c>
      <c r="B6" s="817" t="s">
        <v>525</v>
      </c>
      <c r="C6" s="823" t="s">
        <v>526</v>
      </c>
    </row>
    <row r="7" spans="1:4">
      <c r="A7" s="336">
        <v>1.1000000000000001</v>
      </c>
      <c r="B7" s="817" t="s">
        <v>525</v>
      </c>
      <c r="C7" s="823" t="s">
        <v>527</v>
      </c>
    </row>
    <row r="8" spans="1:4">
      <c r="A8" s="336">
        <v>1.1000000000000001</v>
      </c>
      <c r="B8" s="815" t="s">
        <v>528</v>
      </c>
      <c r="C8" s="822" t="s">
        <v>529</v>
      </c>
    </row>
    <row r="9" spans="1:4" ht="25.2">
      <c r="A9" s="336">
        <v>1.1000000000000001</v>
      </c>
      <c r="B9" s="815" t="s">
        <v>531</v>
      </c>
      <c r="C9" s="822" t="s">
        <v>532</v>
      </c>
    </row>
    <row r="10" spans="1:4">
      <c r="A10" s="336">
        <v>1.1000000000000001</v>
      </c>
      <c r="B10" s="815" t="s">
        <v>531</v>
      </c>
      <c r="C10" s="822" t="s">
        <v>534</v>
      </c>
    </row>
    <row r="11" spans="1:4">
      <c r="A11" s="336">
        <v>1.1000000000000001</v>
      </c>
      <c r="B11" s="815" t="s">
        <v>536</v>
      </c>
      <c r="C11" s="822" t="s">
        <v>535</v>
      </c>
    </row>
    <row r="12" spans="1:4" ht="25.2">
      <c r="A12" s="336">
        <v>1.1000000000000001</v>
      </c>
      <c r="B12" s="815" t="s">
        <v>531</v>
      </c>
      <c r="C12" s="822" t="s">
        <v>537</v>
      </c>
    </row>
    <row r="13" spans="1:4" ht="50.4">
      <c r="A13" s="336">
        <v>1.1000000000000001</v>
      </c>
      <c r="B13" s="815" t="s">
        <v>531</v>
      </c>
      <c r="C13" s="822" t="s">
        <v>538</v>
      </c>
    </row>
    <row r="14" spans="1:4">
      <c r="A14" s="337">
        <v>1.1000000000000001</v>
      </c>
      <c r="B14" s="815" t="s">
        <v>539</v>
      </c>
      <c r="C14" s="822" t="s">
        <v>540</v>
      </c>
    </row>
    <row r="15" spans="1:4">
      <c r="A15" s="337">
        <v>1.1000000000000001</v>
      </c>
      <c r="B15" s="815" t="s">
        <v>528</v>
      </c>
      <c r="C15" s="822" t="s">
        <v>541</v>
      </c>
    </row>
    <row r="16" spans="1:4" ht="37.799999999999997">
      <c r="A16" s="337">
        <v>1.1000000000000001</v>
      </c>
      <c r="B16" s="815" t="s">
        <v>542</v>
      </c>
      <c r="C16" s="822" t="s">
        <v>543</v>
      </c>
    </row>
    <row r="17" spans="1:3">
      <c r="A17" s="337">
        <v>1.1000000000000001</v>
      </c>
      <c r="B17" s="815" t="s">
        <v>536</v>
      </c>
      <c r="C17" s="288" t="s">
        <v>544</v>
      </c>
    </row>
    <row r="18" spans="1:3">
      <c r="A18" s="337">
        <v>1.1000000000000001</v>
      </c>
      <c r="B18" s="815" t="s">
        <v>536</v>
      </c>
      <c r="C18" s="288" t="s">
        <v>545</v>
      </c>
    </row>
    <row r="19" spans="1:3">
      <c r="A19" s="337">
        <v>1.1000000000000001</v>
      </c>
      <c r="B19" s="815" t="s">
        <v>546</v>
      </c>
      <c r="C19" s="288" t="s">
        <v>547</v>
      </c>
    </row>
    <row r="20" spans="1:3" ht="25.2">
      <c r="A20" s="337">
        <v>1.1000000000000001</v>
      </c>
      <c r="B20" s="815" t="s">
        <v>546</v>
      </c>
      <c r="C20" s="288" t="s">
        <v>558</v>
      </c>
    </row>
    <row r="21" spans="1:3">
      <c r="A21" s="337">
        <v>1.1000000000000001</v>
      </c>
      <c r="B21" s="815" t="s">
        <v>559</v>
      </c>
      <c r="C21" s="288" t="s">
        <v>560</v>
      </c>
    </row>
    <row r="22" spans="1:3">
      <c r="A22" s="337">
        <v>1.1000000000000001</v>
      </c>
      <c r="B22" s="337" t="s">
        <v>539</v>
      </c>
      <c r="C22" s="288" t="s">
        <v>561</v>
      </c>
    </row>
    <row r="23" spans="1:3" ht="25.2">
      <c r="A23" s="337">
        <v>1.1000000000000001</v>
      </c>
      <c r="B23" s="815" t="s">
        <v>539</v>
      </c>
      <c r="C23" s="288" t="s">
        <v>562</v>
      </c>
    </row>
    <row r="24" spans="1:3" ht="25.2">
      <c r="A24" s="337">
        <v>1.1000000000000001</v>
      </c>
      <c r="B24" s="815" t="s">
        <v>542</v>
      </c>
      <c r="C24" s="288" t="s">
        <v>563</v>
      </c>
    </row>
    <row r="25" spans="1:3" ht="25.8" thickBot="1">
      <c r="A25" s="910">
        <v>1.1000000000000001</v>
      </c>
      <c r="B25" s="911" t="s">
        <v>546</v>
      </c>
      <c r="C25" s="912" t="s">
        <v>565</v>
      </c>
    </row>
    <row r="26" spans="1:3">
      <c r="A26" s="907">
        <v>1.1000000000000001</v>
      </c>
      <c r="B26" s="908" t="s">
        <v>539</v>
      </c>
      <c r="C26" s="909" t="s">
        <v>566</v>
      </c>
    </row>
    <row r="27" spans="1:3">
      <c r="A27" s="907">
        <v>1.1000000000000001</v>
      </c>
      <c r="B27" s="815" t="s">
        <v>546</v>
      </c>
      <c r="C27" s="288" t="s">
        <v>567</v>
      </c>
    </row>
    <row r="28" spans="1:3" ht="25.2">
      <c r="A28" s="337">
        <v>1.1000000000000001</v>
      </c>
      <c r="B28" s="815" t="s">
        <v>546</v>
      </c>
      <c r="C28" s="288" t="s">
        <v>568</v>
      </c>
    </row>
    <row r="29" spans="1:3">
      <c r="A29" s="913">
        <v>2</v>
      </c>
      <c r="B29" s="815" t="s">
        <v>546</v>
      </c>
      <c r="C29" s="288" t="s">
        <v>571</v>
      </c>
    </row>
    <row r="30" spans="1:3">
      <c r="A30" s="913">
        <v>2</v>
      </c>
      <c r="B30" s="815" t="s">
        <v>546</v>
      </c>
      <c r="C30" s="288" t="s">
        <v>572</v>
      </c>
    </row>
    <row r="31" spans="1:3">
      <c r="A31" s="913">
        <v>2</v>
      </c>
      <c r="B31" s="815" t="s">
        <v>546</v>
      </c>
      <c r="C31" s="288" t="s">
        <v>576</v>
      </c>
    </row>
    <row r="32" spans="1:3" ht="25.2">
      <c r="A32" s="913">
        <v>2</v>
      </c>
      <c r="B32" s="815" t="s">
        <v>261</v>
      </c>
      <c r="C32" s="836" t="s">
        <v>573</v>
      </c>
    </row>
    <row r="33" spans="1:3" ht="27.75" customHeight="1">
      <c r="A33" s="913">
        <v>2</v>
      </c>
      <c r="B33" s="815" t="s">
        <v>574</v>
      </c>
      <c r="C33" s="288" t="s">
        <v>575</v>
      </c>
    </row>
    <row r="34" spans="1:3">
      <c r="A34" s="337">
        <v>2.1</v>
      </c>
      <c r="B34" s="815" t="s">
        <v>257</v>
      </c>
      <c r="C34" s="288" t="s">
        <v>620</v>
      </c>
    </row>
    <row r="35" spans="1:3" ht="25.2">
      <c r="A35" s="337">
        <v>2.1</v>
      </c>
      <c r="B35" s="815" t="s">
        <v>261</v>
      </c>
      <c r="C35" s="288" t="s">
        <v>621</v>
      </c>
    </row>
    <row r="36" spans="1:3" ht="37.799999999999997">
      <c r="A36" s="338"/>
      <c r="B36" s="839" t="s">
        <v>634</v>
      </c>
      <c r="C36" s="948" t="s">
        <v>642</v>
      </c>
    </row>
    <row r="37" spans="1:3" ht="113.4">
      <c r="A37" s="338"/>
      <c r="B37" s="947" t="s">
        <v>546</v>
      </c>
      <c r="C37" s="949" t="s">
        <v>641</v>
      </c>
    </row>
    <row r="38" spans="1:3" ht="25.2">
      <c r="A38" s="338"/>
      <c r="B38" s="839" t="s">
        <v>255</v>
      </c>
      <c r="C38" s="944" t="s">
        <v>635</v>
      </c>
    </row>
    <row r="39" spans="1:3" ht="42" customHeight="1">
      <c r="A39" s="338"/>
      <c r="B39" s="839" t="s">
        <v>636</v>
      </c>
      <c r="C39" s="950" t="s">
        <v>637</v>
      </c>
    </row>
    <row r="40" spans="1:3" ht="35.4" customHeight="1">
      <c r="A40" s="337"/>
      <c r="B40" s="947" t="s">
        <v>634</v>
      </c>
      <c r="C40" s="949" t="s">
        <v>643</v>
      </c>
    </row>
    <row r="41" spans="1:3" ht="50.4">
      <c r="A41" s="338"/>
      <c r="B41" s="839" t="s">
        <v>638</v>
      </c>
      <c r="C41" s="948" t="s">
        <v>639</v>
      </c>
    </row>
    <row r="42" spans="1:3" ht="35.4" customHeight="1">
      <c r="A42" s="338"/>
      <c r="B42" s="839" t="s">
        <v>644</v>
      </c>
      <c r="C42" s="944" t="s">
        <v>645</v>
      </c>
    </row>
    <row r="43" spans="1:3" ht="25.2">
      <c r="A43" s="338" t="s">
        <v>648</v>
      </c>
    </row>
    <row r="44" spans="1:3" ht="113.4">
      <c r="A44" s="338"/>
      <c r="B44" s="815" t="s">
        <v>546</v>
      </c>
      <c r="C44" s="288" t="s">
        <v>647</v>
      </c>
    </row>
    <row r="45" spans="1:3" ht="100.8">
      <c r="A45" s="338"/>
      <c r="B45" s="815" t="s">
        <v>546</v>
      </c>
      <c r="C45" s="288" t="s">
        <v>654</v>
      </c>
    </row>
    <row r="46" spans="1:3" ht="50.4">
      <c r="A46" s="338"/>
      <c r="B46" s="839" t="s">
        <v>638</v>
      </c>
      <c r="C46" s="955" t="s">
        <v>664</v>
      </c>
    </row>
    <row r="47" spans="1:3" ht="37.799999999999997">
      <c r="A47" s="338"/>
      <c r="B47" s="947" t="s">
        <v>634</v>
      </c>
      <c r="C47" s="955" t="s">
        <v>666</v>
      </c>
    </row>
    <row r="48" spans="1:3" ht="25.2">
      <c r="A48" s="338"/>
      <c r="B48" s="947" t="s">
        <v>634</v>
      </c>
      <c r="C48" s="955" t="s">
        <v>652</v>
      </c>
    </row>
    <row r="49" spans="1:3" ht="37.799999999999997">
      <c r="A49" s="338"/>
      <c r="B49" s="815" t="s">
        <v>653</v>
      </c>
      <c r="C49" s="957" t="s">
        <v>665</v>
      </c>
    </row>
    <row r="50" spans="1:3" ht="25.2">
      <c r="A50" s="338"/>
      <c r="B50" s="839" t="s">
        <v>644</v>
      </c>
      <c r="C50" s="944" t="s">
        <v>661</v>
      </c>
    </row>
    <row r="51" spans="1:3" ht="25.2">
      <c r="A51" s="338"/>
      <c r="B51" s="815" t="s">
        <v>255</v>
      </c>
      <c r="C51" s="288" t="s">
        <v>649</v>
      </c>
    </row>
    <row r="52" spans="1:3" ht="37.799999999999997">
      <c r="A52" s="338"/>
      <c r="B52" s="947" t="s">
        <v>636</v>
      </c>
      <c r="C52" s="956" t="s">
        <v>650</v>
      </c>
    </row>
    <row r="53" spans="1:3">
      <c r="A53" s="338"/>
      <c r="B53" s="815"/>
      <c r="C53" s="288"/>
    </row>
    <row r="54" spans="1:3">
      <c r="A54" s="338"/>
      <c r="B54" s="815"/>
      <c r="C54" s="288"/>
    </row>
    <row r="55" spans="1:3">
      <c r="A55" s="338"/>
      <c r="B55" s="847"/>
      <c r="C55" s="848"/>
    </row>
    <row r="56" spans="1:3">
      <c r="A56" s="338"/>
      <c r="B56" s="815"/>
      <c r="C56" s="288"/>
    </row>
    <row r="57" spans="1:3">
      <c r="A57" s="338"/>
      <c r="B57" s="815"/>
      <c r="C57" s="288"/>
    </row>
    <row r="58" spans="1:3">
      <c r="A58" s="338"/>
      <c r="B58" s="815"/>
      <c r="C58" s="288"/>
    </row>
    <row r="59" spans="1:3">
      <c r="A59" s="338"/>
      <c r="B59" s="815"/>
      <c r="C59" s="288"/>
    </row>
    <row r="60" spans="1:3">
      <c r="A60" s="338"/>
      <c r="B60" s="815"/>
      <c r="C60" s="836"/>
    </row>
    <row r="61" spans="1:3">
      <c r="A61" s="339"/>
      <c r="B61" s="816"/>
      <c r="C61" s="289"/>
    </row>
    <row r="62" spans="1:3">
      <c r="A62" s="339"/>
      <c r="B62" s="816"/>
      <c r="C62" s="289"/>
    </row>
    <row r="63" spans="1:3">
      <c r="A63" s="339"/>
      <c r="B63" s="816"/>
      <c r="C63" s="289"/>
    </row>
    <row r="64" spans="1:3">
      <c r="A64" s="339"/>
      <c r="B64" s="816"/>
      <c r="C64" s="289"/>
    </row>
    <row r="65" spans="1:3">
      <c r="A65" s="339"/>
      <c r="B65" s="816"/>
      <c r="C65" s="289"/>
    </row>
    <row r="66" spans="1:3">
      <c r="A66" s="339"/>
      <c r="B66" s="816"/>
      <c r="C66" s="289"/>
    </row>
    <row r="67" spans="1:3">
      <c r="A67" s="339"/>
      <c r="B67" s="816"/>
      <c r="C67" s="289"/>
    </row>
    <row r="68" spans="1:3">
      <c r="A68" s="339"/>
      <c r="B68" s="816"/>
      <c r="C68"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N66"/>
  <sheetViews>
    <sheetView showGridLines="0" zoomScale="60" zoomScaleNormal="60" workbookViewId="0">
      <pane ySplit="6" topLeftCell="A7" activePane="bottomLeft" state="frozen"/>
      <selection activeCell="D26" sqref="D26"/>
      <selection pane="bottomLeft" activeCell="A85" sqref="A85"/>
    </sheetView>
  </sheetViews>
  <sheetFormatPr defaultRowHeight="12.6"/>
  <cols>
    <col min="1" max="1" width="8.36328125" customWidth="1"/>
    <col min="2" max="2" width="63.36328125" style="197" customWidth="1"/>
    <col min="3" max="3" width="13.36328125" style="42" customWidth="1"/>
    <col min="4" max="11" width="9.08984375" customWidth="1"/>
    <col min="12" max="12" width="3.6328125" customWidth="1"/>
    <col min="13" max="14" width="13.7265625" customWidth="1"/>
    <col min="15" max="15" width="5.08984375" customWidth="1"/>
  </cols>
  <sheetData>
    <row r="1" spans="1:40" s="31" customFormat="1" ht="21">
      <c r="A1" s="877" t="s">
        <v>239</v>
      </c>
      <c r="B1" s="886"/>
      <c r="C1" s="887"/>
      <c r="D1" s="887"/>
      <c r="E1" s="887"/>
      <c r="F1" s="887"/>
      <c r="G1" s="257"/>
      <c r="H1" s="257"/>
      <c r="I1" s="258"/>
      <c r="J1" s="258"/>
      <c r="K1" s="259"/>
      <c r="L1" s="259"/>
      <c r="M1" s="259"/>
      <c r="N1" s="259"/>
      <c r="O1" s="367" t="s">
        <v>84</v>
      </c>
    </row>
    <row r="2" spans="1:40" s="31" customFormat="1" ht="21">
      <c r="A2" s="880" t="str">
        <f>'RFPR cover'!C5</f>
        <v>NGED-EMID</v>
      </c>
      <c r="B2" s="888"/>
      <c r="C2" s="872"/>
      <c r="D2" s="872"/>
      <c r="E2" s="872"/>
      <c r="F2" s="872"/>
      <c r="G2" s="29"/>
      <c r="H2" s="29"/>
      <c r="I2" s="27"/>
      <c r="J2" s="27"/>
      <c r="K2" s="27"/>
      <c r="L2" s="27"/>
      <c r="M2" s="27"/>
      <c r="N2" s="27"/>
      <c r="O2" s="124"/>
    </row>
    <row r="3" spans="1:40" s="31" customFormat="1" ht="22.8">
      <c r="A3" s="883">
        <f>'RFPR cover'!C7</f>
        <v>2023</v>
      </c>
      <c r="B3" s="889" t="str">
        <f>IF('RFPR cover'!C5=Data!B98,"Not required to be completed for System Operator",(IF('RFPR cover'!C5=Data!B96,"Not required to be completed for System Operator","")))</f>
        <v/>
      </c>
      <c r="C3" s="890"/>
      <c r="D3" s="890"/>
      <c r="E3" s="890"/>
      <c r="F3" s="890"/>
      <c r="G3" s="261"/>
      <c r="H3" s="261"/>
      <c r="I3" s="256"/>
      <c r="J3" s="256"/>
      <c r="K3" s="256"/>
      <c r="L3" s="256"/>
      <c r="M3" s="256"/>
      <c r="N3" s="256"/>
      <c r="O3" s="262"/>
    </row>
    <row r="4" spans="1:40" ht="12.75" customHeight="1"/>
    <row r="5" spans="1:40">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2"/>
      <c r="M5" s="2"/>
    </row>
    <row r="6" spans="1:40"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2023</v>
      </c>
      <c r="N6" s="195" t="s">
        <v>109</v>
      </c>
    </row>
    <row r="7" spans="1:40">
      <c r="C7" s="173"/>
      <c r="D7" s="173"/>
      <c r="E7" s="173"/>
      <c r="F7" s="173"/>
      <c r="G7" s="173"/>
      <c r="H7" s="173"/>
      <c r="I7" s="173"/>
      <c r="J7" s="173"/>
      <c r="K7" s="173"/>
      <c r="L7" s="173"/>
      <c r="M7" s="173"/>
      <c r="N7" s="173"/>
      <c r="O7" s="173"/>
    </row>
    <row r="8" spans="1:40">
      <c r="B8" s="529" t="s">
        <v>108</v>
      </c>
      <c r="C8" s="424"/>
      <c r="D8" s="424"/>
      <c r="E8" s="424"/>
      <c r="F8" s="424"/>
      <c r="G8" s="424"/>
      <c r="H8" s="424"/>
      <c r="I8" s="424"/>
      <c r="J8" s="424"/>
      <c r="K8" s="424"/>
      <c r="L8" s="530"/>
      <c r="M8" s="218"/>
      <c r="N8" s="218"/>
      <c r="O8" s="218"/>
    </row>
    <row r="9" spans="1:40">
      <c r="B9" s="198"/>
      <c r="D9" s="42"/>
      <c r="E9" s="42"/>
      <c r="F9" s="42"/>
      <c r="G9" s="42"/>
      <c r="H9" s="42"/>
      <c r="I9" s="42"/>
      <c r="J9" s="42"/>
      <c r="K9" s="42"/>
      <c r="L9" s="49"/>
    </row>
    <row r="10" spans="1:40">
      <c r="B10" s="253" t="s">
        <v>215</v>
      </c>
      <c r="C10" s="255"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4"/>
      <c r="M10" s="507">
        <f>AVERAGE(D48:INDEX(D48:K48,0,MATCH('RFPR cover'!$C$7,$D$6:$K$6,0)))/AVERAGE($D$65:INDEX($D$65:$K$65,0,MATCH('RFPR cover'!$C$7,$D$6:$K$6,0)))</f>
        <v>6.3999999999999987E-2</v>
      </c>
      <c r="N10" s="507">
        <f>AVERAGE(D48:K48)/AVERAGE($D$65:$K$65)</f>
        <v>6.3999999999999987E-2</v>
      </c>
      <c r="AB10" s="174"/>
      <c r="AC10" s="174"/>
      <c r="AD10" s="174"/>
      <c r="AE10" s="174"/>
      <c r="AF10" s="174"/>
      <c r="AG10" s="174"/>
      <c r="AH10" s="174"/>
      <c r="AI10" s="174"/>
      <c r="AJ10" s="174"/>
      <c r="AK10" s="174"/>
      <c r="AL10" s="174"/>
      <c r="AM10" s="174"/>
      <c r="AN10" s="174"/>
    </row>
    <row r="11" spans="1:40">
      <c r="B11" s="253" t="str">
        <f t="shared" ref="B11:B18" si="2">B49</f>
        <v>Totex outperformance</v>
      </c>
      <c r="C11" s="255" t="s">
        <v>7</v>
      </c>
      <c r="D11" s="176">
        <f t="shared" si="1"/>
        <v>-5.4843612323838649E-3</v>
      </c>
      <c r="E11" s="177">
        <f t="shared" si="1"/>
        <v>-2.0427321435146566E-3</v>
      </c>
      <c r="F11" s="177">
        <f t="shared" si="1"/>
        <v>-3.0442487087621786E-2</v>
      </c>
      <c r="G11" s="177">
        <f t="shared" si="1"/>
        <v>2.1562647640592732E-2</v>
      </c>
      <c r="H11" s="177">
        <f t="shared" si="1"/>
        <v>8.2294767533450126E-3</v>
      </c>
      <c r="I11" s="177">
        <f t="shared" si="1"/>
        <v>5.723263680120343E-3</v>
      </c>
      <c r="J11" s="926">
        <f t="shared" si="1"/>
        <v>2.348117487970125E-2</v>
      </c>
      <c r="K11" s="178">
        <f t="shared" si="1"/>
        <v>2.8950372585109544E-3</v>
      </c>
      <c r="L11" s="174"/>
      <c r="M11" s="178">
        <f>AVERAGE(D49:INDEX(D49:K49,0,MATCH('RFPR cover'!$C$7,$D$6:$K$6,0)))/AVERAGE($D$65:INDEX($D$65:$K$65,0,MATCH('RFPR cover'!$C$7,$D$6:$K$6,0)))</f>
        <v>3.2388549249839508E-3</v>
      </c>
      <c r="N11" s="178">
        <f t="shared" ref="N11:N19" si="3">AVERAGE(D49:K49)/AVERAGE($D$65:$K$65)</f>
        <v>3.2388549249839508E-3</v>
      </c>
      <c r="P11" s="174"/>
      <c r="AB11" s="174"/>
      <c r="AC11" s="174"/>
      <c r="AD11" s="174"/>
      <c r="AE11" s="174"/>
      <c r="AF11" s="174"/>
      <c r="AG11" s="174"/>
      <c r="AH11" s="174"/>
      <c r="AI11" s="174"/>
      <c r="AJ11" s="174"/>
      <c r="AK11" s="174"/>
      <c r="AL11" s="174"/>
      <c r="AM11" s="174"/>
      <c r="AN11" s="174"/>
    </row>
    <row r="12" spans="1:40">
      <c r="B12" s="253" t="str">
        <f t="shared" si="2"/>
        <v>IQI Reward</v>
      </c>
      <c r="C12" s="255" t="s">
        <v>7</v>
      </c>
      <c r="D12" s="176">
        <f t="shared" si="1"/>
        <v>8.4734890007773216E-3</v>
      </c>
      <c r="E12" s="177">
        <f t="shared" si="1"/>
        <v>8.0384786908531472E-3</v>
      </c>
      <c r="F12" s="177">
        <f t="shared" si="1"/>
        <v>7.116752144663562E-3</v>
      </c>
      <c r="G12" s="177">
        <f t="shared" si="1"/>
        <v>7.1687744619256975E-3</v>
      </c>
      <c r="H12" s="177">
        <f t="shared" si="1"/>
        <v>7.0093467984937118E-3</v>
      </c>
      <c r="I12" s="177">
        <f t="shared" si="1"/>
        <v>7.1880532971093361E-3</v>
      </c>
      <c r="J12" s="926">
        <f t="shared" si="1"/>
        <v>7.3993736198152771E-3</v>
      </c>
      <c r="K12" s="178">
        <f t="shared" si="1"/>
        <v>7.0121019124948442E-3</v>
      </c>
      <c r="L12" s="174"/>
      <c r="M12" s="178">
        <f>AVERAGE(D50:INDEX(D50:K50,0,MATCH('RFPR cover'!$C$7,$D$6:$K$6,0)))/AVERAGE($D$65:INDEX($D$65:$K$65,0,MATCH('RFPR cover'!$C$7,$D$6:$K$6,0)))</f>
        <v>7.4115554244068224E-3</v>
      </c>
      <c r="N12" s="178">
        <f t="shared" si="3"/>
        <v>7.4115554244068224E-3</v>
      </c>
      <c r="AB12" s="174"/>
      <c r="AC12" s="174"/>
      <c r="AD12" s="174"/>
      <c r="AE12" s="174"/>
      <c r="AF12" s="174"/>
      <c r="AG12" s="174"/>
      <c r="AH12" s="174"/>
      <c r="AI12" s="174"/>
      <c r="AJ12" s="174"/>
      <c r="AK12" s="174"/>
      <c r="AL12" s="174"/>
      <c r="AM12" s="174"/>
      <c r="AN12" s="174"/>
    </row>
    <row r="13" spans="1:40">
      <c r="B13" s="253" t="str">
        <f t="shared" si="2"/>
        <v>Broad measure of customer service</v>
      </c>
      <c r="C13" s="255" t="s">
        <v>7</v>
      </c>
      <c r="D13" s="176">
        <f t="shared" si="1"/>
        <v>6.6894906013111547E-3</v>
      </c>
      <c r="E13" s="177">
        <f t="shared" si="1"/>
        <v>6.3544830053464977E-3</v>
      </c>
      <c r="F13" s="177">
        <f t="shared" si="1"/>
        <v>6.314066647978565E-3</v>
      </c>
      <c r="G13" s="177">
        <f t="shared" si="1"/>
        <v>6.3957407609382842E-3</v>
      </c>
      <c r="H13" s="177">
        <f t="shared" si="1"/>
        <v>5.1016582777948594E-3</v>
      </c>
      <c r="I13" s="177">
        <f t="shared" si="1"/>
        <v>5.0309642270046362E-3</v>
      </c>
      <c r="J13" s="926">
        <f t="shared" si="1"/>
        <v>4.2425518243954397E-3</v>
      </c>
      <c r="K13" s="178">
        <f t="shared" si="1"/>
        <v>4.4360820248969344E-3</v>
      </c>
      <c r="L13" s="174"/>
      <c r="M13" s="178">
        <f>AVERAGE(D51:INDEX(D51:K51,0,MATCH('RFPR cover'!$C$7,$D$6:$K$6,0)))/AVERAGE($D$65:INDEX($D$65:$K$65,0,MATCH('RFPR cover'!$C$7,$D$6:$K$6,0)))</f>
        <v>5.5389146250300067E-3</v>
      </c>
      <c r="N13" s="178">
        <f t="shared" si="3"/>
        <v>5.5389146250300067E-3</v>
      </c>
      <c r="AB13" s="174"/>
      <c r="AC13" s="174"/>
      <c r="AD13" s="174"/>
      <c r="AE13" s="174"/>
      <c r="AF13" s="174"/>
      <c r="AG13" s="174"/>
      <c r="AH13" s="174"/>
      <c r="AI13" s="174"/>
      <c r="AJ13" s="174"/>
      <c r="AK13" s="174"/>
      <c r="AL13" s="174"/>
      <c r="AM13" s="174"/>
      <c r="AN13" s="174"/>
    </row>
    <row r="14" spans="1:40">
      <c r="B14" s="253" t="str">
        <f t="shared" si="2"/>
        <v>Interruptions-related quality of service</v>
      </c>
      <c r="C14" s="255" t="s">
        <v>7</v>
      </c>
      <c r="D14" s="176">
        <f t="shared" si="1"/>
        <v>2.058156664970956E-2</v>
      </c>
      <c r="E14" s="177">
        <f t="shared" si="1"/>
        <v>1.9975304127251944E-2</v>
      </c>
      <c r="F14" s="177">
        <f t="shared" si="1"/>
        <v>1.624769063497478E-2</v>
      </c>
      <c r="G14" s="177">
        <f t="shared" si="1"/>
        <v>1.9095588150750374E-2</v>
      </c>
      <c r="H14" s="177">
        <f t="shared" si="1"/>
        <v>1.9130135055035555E-2</v>
      </c>
      <c r="I14" s="177">
        <f t="shared" si="1"/>
        <v>1.6822883716210237E-2</v>
      </c>
      <c r="J14" s="926">
        <f t="shared" si="1"/>
        <v>1.6185526668597464E-2</v>
      </c>
      <c r="K14" s="178">
        <f t="shared" si="1"/>
        <v>1.6753157911204995E-2</v>
      </c>
      <c r="L14" s="174"/>
      <c r="M14" s="178">
        <f>AVERAGE(D52:INDEX(D52:K52,0,MATCH('RFPR cover'!$C$7,$D$6:$K$6,0)))/AVERAGE($D$65:INDEX($D$65:$K$65,0,MATCH('RFPR cover'!$C$7,$D$6:$K$6,0)))</f>
        <v>1.8051627519922821E-2</v>
      </c>
      <c r="N14" s="178">
        <f t="shared" si="3"/>
        <v>1.8051627519922821E-2</v>
      </c>
      <c r="AB14" s="174"/>
      <c r="AC14" s="174"/>
      <c r="AD14" s="174"/>
      <c r="AE14" s="174"/>
      <c r="AF14" s="174"/>
      <c r="AG14" s="174"/>
      <c r="AH14" s="174"/>
      <c r="AI14" s="174"/>
      <c r="AJ14" s="174"/>
      <c r="AK14" s="174"/>
      <c r="AL14" s="174"/>
      <c r="AM14" s="174"/>
      <c r="AN14" s="174"/>
    </row>
    <row r="15" spans="1:40">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926">
        <f t="shared" si="1"/>
        <v>0</v>
      </c>
      <c r="K15" s="178">
        <f t="shared" si="1"/>
        <v>0</v>
      </c>
      <c r="L15" s="174"/>
      <c r="M15" s="178">
        <f>AVERAGE(D53:INDEX(D53:K53,0,MATCH('RFPR cover'!$C$7,$D$6:$K$6,0)))/AVERAGE($D$65:INDEX($D$65:$K$65,0,MATCH('RFPR cover'!$C$7,$D$6:$K$6,0)))</f>
        <v>0</v>
      </c>
      <c r="N15" s="178">
        <f t="shared" si="3"/>
        <v>0</v>
      </c>
      <c r="AB15" s="174"/>
      <c r="AC15" s="174"/>
      <c r="AD15" s="174"/>
      <c r="AE15" s="174"/>
      <c r="AF15" s="174"/>
      <c r="AG15" s="174"/>
      <c r="AH15" s="174"/>
      <c r="AI15" s="174"/>
      <c r="AJ15" s="174"/>
      <c r="AK15" s="174"/>
      <c r="AL15" s="174"/>
      <c r="AM15" s="174"/>
      <c r="AN15" s="174"/>
    </row>
    <row r="16" spans="1:40">
      <c r="B16" s="253" t="str">
        <f t="shared" si="2"/>
        <v>Time to Connect Incentive</v>
      </c>
      <c r="C16" s="255" t="s">
        <v>7</v>
      </c>
      <c r="D16" s="176">
        <f t="shared" si="1"/>
        <v>1.857757200223784E-3</v>
      </c>
      <c r="E16" s="177">
        <f t="shared" si="1"/>
        <v>1.5357954478210035E-3</v>
      </c>
      <c r="F16" s="177">
        <f t="shared" si="1"/>
        <v>1.8355738270280147E-3</v>
      </c>
      <c r="G16" s="177">
        <f t="shared" si="1"/>
        <v>1.8181598092328177E-3</v>
      </c>
      <c r="H16" s="177">
        <f t="shared" si="1"/>
        <v>1.7829820483645205E-3</v>
      </c>
      <c r="I16" s="177">
        <f t="shared" si="1"/>
        <v>1.4913881538669209E-3</v>
      </c>
      <c r="J16" s="926">
        <f t="shared" si="1"/>
        <v>1.32695920232294E-3</v>
      </c>
      <c r="K16" s="178">
        <f t="shared" si="1"/>
        <v>1.4083300676775671E-3</v>
      </c>
      <c r="L16" s="174"/>
      <c r="M16" s="178">
        <f>AVERAGE(D54:INDEX(D54:K54,0,MATCH('RFPR cover'!$C$7,$D$6:$K$6,0)))/AVERAGE($D$65:INDEX($D$65:$K$65,0,MATCH('RFPR cover'!$C$7,$D$6:$K$6,0)))</f>
        <v>1.6265896265826542E-3</v>
      </c>
      <c r="N16" s="178">
        <f t="shared" si="3"/>
        <v>1.6265896265826542E-3</v>
      </c>
      <c r="AB16" s="174"/>
      <c r="AC16" s="174"/>
      <c r="AD16" s="174"/>
      <c r="AE16" s="174"/>
      <c r="AF16" s="174"/>
      <c r="AG16" s="174"/>
      <c r="AH16" s="174"/>
      <c r="AI16" s="174"/>
      <c r="AJ16" s="174"/>
      <c r="AK16" s="174"/>
      <c r="AL16" s="174"/>
      <c r="AM16" s="174"/>
      <c r="AN16" s="174"/>
    </row>
    <row r="17" spans="2:40">
      <c r="B17" s="253" t="str">
        <f t="shared" si="2"/>
        <v>Losses discretionary reward scheme</v>
      </c>
      <c r="C17" s="255" t="s">
        <v>7</v>
      </c>
      <c r="D17" s="176">
        <f t="shared" si="1"/>
        <v>0</v>
      </c>
      <c r="E17" s="177">
        <f t="shared" si="1"/>
        <v>4.6725857607606889E-5</v>
      </c>
      <c r="F17" s="177">
        <f t="shared" si="1"/>
        <v>0</v>
      </c>
      <c r="G17" s="177">
        <f t="shared" si="1"/>
        <v>0</v>
      </c>
      <c r="H17" s="177">
        <f t="shared" si="1"/>
        <v>0</v>
      </c>
      <c r="I17" s="177">
        <f t="shared" si="1"/>
        <v>0</v>
      </c>
      <c r="J17" s="926">
        <f t="shared" si="1"/>
        <v>0</v>
      </c>
      <c r="K17" s="178">
        <f t="shared" si="1"/>
        <v>0</v>
      </c>
      <c r="L17" s="174"/>
      <c r="M17" s="178">
        <f>AVERAGE(D55:INDEX(D55:K55,0,MATCH('RFPR cover'!$C$7,$D$6:$K$6,0)))/AVERAGE($D$65:INDEX($D$65:$K$65,0,MATCH('RFPR cover'!$C$7,$D$6:$K$6,0)))</f>
        <v>5.6361510504681395E-6</v>
      </c>
      <c r="N17" s="178">
        <f t="shared" si="3"/>
        <v>5.6361510504681395E-6</v>
      </c>
      <c r="AB17" s="174"/>
      <c r="AC17" s="174"/>
      <c r="AD17" s="174"/>
      <c r="AE17" s="174"/>
      <c r="AF17" s="174"/>
      <c r="AG17" s="174"/>
      <c r="AH17" s="174"/>
      <c r="AI17" s="174"/>
      <c r="AJ17" s="174"/>
      <c r="AK17" s="174"/>
      <c r="AL17" s="174"/>
      <c r="AM17" s="174"/>
      <c r="AN17" s="174"/>
    </row>
    <row r="18" spans="2:40">
      <c r="B18" s="253" t="str">
        <f t="shared" si="2"/>
        <v xml:space="preserve">Network Innovation </v>
      </c>
      <c r="C18" s="255" t="s">
        <v>7</v>
      </c>
      <c r="D18" s="176">
        <f t="shared" si="1"/>
        <v>-7.9699084211868799E-5</v>
      </c>
      <c r="E18" s="177">
        <f t="shared" si="1"/>
        <v>1.8317123568569937E-3</v>
      </c>
      <c r="F18" s="177">
        <f t="shared" si="1"/>
        <v>2.8368004876385295E-4</v>
      </c>
      <c r="G18" s="177">
        <f t="shared" si="1"/>
        <v>-2.983312691605319E-4</v>
      </c>
      <c r="H18" s="177">
        <f t="shared" si="1"/>
        <v>-3.7409541309643929E-4</v>
      </c>
      <c r="I18" s="177">
        <f t="shared" si="1"/>
        <v>-6.228565352839197E-4</v>
      </c>
      <c r="J18" s="926">
        <f t="shared" si="1"/>
        <v>-3.0778312245820856E-4</v>
      </c>
      <c r="K18" s="178">
        <f t="shared" si="1"/>
        <v>-2.5933895614794632E-4</v>
      </c>
      <c r="L18" s="174"/>
      <c r="M18" s="178">
        <f>AVERAGE(D56:INDEX(D56:K56,0,MATCH('RFPR cover'!$C$7,$D$6:$K$6,0)))/AVERAGE($D$65:INDEX($D$65:$K$65,0,MATCH('RFPR cover'!$C$7,$D$6:$K$6,0)))</f>
        <v>8.8772771926617648E-6</v>
      </c>
      <c r="N18" s="178">
        <f t="shared" si="3"/>
        <v>8.8772771926617648E-6</v>
      </c>
      <c r="AB18" s="174"/>
      <c r="AC18" s="174"/>
      <c r="AD18" s="174"/>
      <c r="AE18" s="174"/>
      <c r="AF18" s="174"/>
      <c r="AG18" s="174"/>
      <c r="AH18" s="174"/>
      <c r="AI18" s="174"/>
      <c r="AJ18" s="174"/>
      <c r="AK18" s="174"/>
      <c r="AL18" s="174"/>
      <c r="AM18" s="174"/>
      <c r="AN18" s="174"/>
    </row>
    <row r="19" spans="2:40">
      <c r="B19" s="253" t="str">
        <f>B57</f>
        <v>Penalties and fines</v>
      </c>
      <c r="C19" s="255" t="s">
        <v>7</v>
      </c>
      <c r="D19" s="186">
        <f t="shared" si="1"/>
        <v>-4.2602517486619032E-7</v>
      </c>
      <c r="E19" s="187">
        <f t="shared" si="1"/>
        <v>-1.5979027752817243E-7</v>
      </c>
      <c r="F19" s="187">
        <f t="shared" si="1"/>
        <v>-6.1263999155363903E-8</v>
      </c>
      <c r="G19" s="187">
        <f t="shared" si="1"/>
        <v>0</v>
      </c>
      <c r="H19" s="187">
        <f t="shared" si="1"/>
        <v>-1.3153996714122235E-5</v>
      </c>
      <c r="I19" s="187">
        <f t="shared" si="1"/>
        <v>-2.9171901352530199E-6</v>
      </c>
      <c r="J19" s="927">
        <f t="shared" si="1"/>
        <v>-3.2101484976667827E-3</v>
      </c>
      <c r="K19" s="188">
        <f t="shared" si="1"/>
        <v>-9.029724164425563E-6</v>
      </c>
      <c r="L19" s="174"/>
      <c r="M19" s="188">
        <f>AVERAGE(D57:INDEX(D57:K57,0,MATCH('RFPR cover'!$C$7,$D$6:$K$6,0)))/AVERAGE($D$65:INDEX($D$65:$K$65,0,MATCH('RFPR cover'!$C$7,$D$6:$K$6,0)))</f>
        <v>-4.1991426621766425E-4</v>
      </c>
      <c r="N19" s="188">
        <f t="shared" si="3"/>
        <v>-4.1991426621766425E-4</v>
      </c>
      <c r="AB19" s="174"/>
      <c r="AC19" s="174"/>
      <c r="AD19" s="174"/>
      <c r="AE19" s="174"/>
      <c r="AF19" s="174"/>
      <c r="AG19" s="174"/>
      <c r="AH19" s="174"/>
      <c r="AI19" s="174"/>
      <c r="AJ19" s="174"/>
      <c r="AK19" s="174"/>
      <c r="AL19" s="174"/>
      <c r="AM19" s="174"/>
      <c r="AN19" s="174"/>
    </row>
    <row r="20" spans="2:40">
      <c r="B20" s="254" t="str">
        <f>B58</f>
        <v>RoRE - Operational performance</v>
      </c>
      <c r="C20" s="255" t="s">
        <v>7</v>
      </c>
      <c r="D20" s="189">
        <f t="shared" ref="D20:K20" si="4">SUM(D10:D19)</f>
        <v>9.6037817110251236E-2</v>
      </c>
      <c r="E20" s="190">
        <f t="shared" si="4"/>
        <v>9.9739607551945011E-2</v>
      </c>
      <c r="F20" s="190">
        <f t="shared" si="4"/>
        <v>6.5355214951787824E-2</v>
      </c>
      <c r="G20" s="190">
        <f t="shared" si="4"/>
        <v>0.11974257955427939</v>
      </c>
      <c r="H20" s="190">
        <f t="shared" si="4"/>
        <v>0.10486634952322312</v>
      </c>
      <c r="I20" s="190">
        <f t="shared" si="4"/>
        <v>9.9630779348892293E-2</v>
      </c>
      <c r="J20" s="190">
        <f t="shared" si="4"/>
        <v>0.11311765457470739</v>
      </c>
      <c r="K20" s="191">
        <f t="shared" si="4"/>
        <v>9.6236340494472924E-2</v>
      </c>
      <c r="L20" s="175"/>
      <c r="M20" s="191">
        <f>SUM(M10:M19)</f>
        <v>9.9462141282951708E-2</v>
      </c>
      <c r="N20" s="191">
        <f>SUM(N10:N19)</f>
        <v>9.9462141282951708E-2</v>
      </c>
      <c r="AB20" s="174"/>
      <c r="AC20" s="174"/>
      <c r="AD20" s="174"/>
      <c r="AE20" s="174"/>
      <c r="AF20" s="174"/>
      <c r="AG20" s="174"/>
      <c r="AH20" s="174"/>
      <c r="AI20" s="174"/>
      <c r="AJ20" s="174"/>
      <c r="AK20" s="174"/>
      <c r="AL20" s="174"/>
      <c r="AM20" s="174"/>
      <c r="AN20" s="174"/>
    </row>
    <row r="21" spans="2:40">
      <c r="B21" s="253" t="str">
        <f>B59</f>
        <v>Debt performance - at notional gearing</v>
      </c>
      <c r="C21" s="255" t="s">
        <v>7</v>
      </c>
      <c r="D21" s="176">
        <f>(D59)/D$65</f>
        <v>-1.698045947266107E-2</v>
      </c>
      <c r="E21" s="177">
        <f t="shared" ref="E21:K21" si="5">(E59)/E$65</f>
        <v>-4.1869358183584003E-3</v>
      </c>
      <c r="F21" s="177">
        <f t="shared" si="5"/>
        <v>8.6778615240046628E-3</v>
      </c>
      <c r="G21" s="177">
        <f t="shared" si="5"/>
        <v>3.3708363040011745E-5</v>
      </c>
      <c r="H21" s="177">
        <f t="shared" si="5"/>
        <v>-1.0246179812192753E-2</v>
      </c>
      <c r="I21" s="177">
        <f t="shared" si="5"/>
        <v>-3.2094424293012791E-2</v>
      </c>
      <c r="J21" s="177">
        <f t="shared" si="5"/>
        <v>1.0212889546967708E-2</v>
      </c>
      <c r="K21" s="178">
        <f t="shared" si="5"/>
        <v>9.6725253517834453E-2</v>
      </c>
      <c r="L21" s="174"/>
      <c r="M21" s="178">
        <f>AVERAGE(D59:INDEX(D59:K59,0,MATCH('RFPR cover'!$C$7,$D$6:$K$6,0)))/AVERAGE($D$65:INDEX($D$65:$K$65,0,MATCH('RFPR cover'!$C$7,$D$6:$K$6,0)))</f>
        <v>7.4174923557268693E-3</v>
      </c>
      <c r="N21" s="178">
        <f>AVERAGE(D59:K59)/AVERAGE($D$65:$K$65)</f>
        <v>7.4174923557268693E-3</v>
      </c>
      <c r="AB21" s="174"/>
      <c r="AC21" s="174"/>
      <c r="AD21" s="174"/>
      <c r="AE21" s="174"/>
      <c r="AF21" s="174"/>
      <c r="AG21" s="174"/>
      <c r="AH21" s="174"/>
      <c r="AI21" s="174"/>
      <c r="AJ21" s="174"/>
      <c r="AK21" s="174"/>
      <c r="AL21" s="174"/>
      <c r="AM21" s="174"/>
      <c r="AN21" s="174"/>
    </row>
    <row r="22" spans="2:40">
      <c r="B22" s="253" t="str">
        <f>B61</f>
        <v>Tax performance - at notional gearing</v>
      </c>
      <c r="C22" s="255" t="s">
        <v>7</v>
      </c>
      <c r="D22" s="176">
        <f>(D61)/D$65</f>
        <v>-8.6937618953592637E-3</v>
      </c>
      <c r="E22" s="177">
        <f t="shared" ref="E22:K22" si="6">(E61)/E$65</f>
        <v>4.4772504782101758E-3</v>
      </c>
      <c r="F22" s="177">
        <f t="shared" si="6"/>
        <v>-1.3320125846777867E-3</v>
      </c>
      <c r="G22" s="177">
        <f t="shared" si="6"/>
        <v>-2.8262928726563909E-3</v>
      </c>
      <c r="H22" s="177">
        <f t="shared" si="6"/>
        <v>-9.2252033107293428E-3</v>
      </c>
      <c r="I22" s="177">
        <f t="shared" si="6"/>
        <v>-1.1797394368456655E-2</v>
      </c>
      <c r="J22" s="177">
        <f t="shared" si="6"/>
        <v>4.799485218671279E-3</v>
      </c>
      <c r="K22" s="178">
        <f t="shared" si="6"/>
        <v>1.6297550203674908E-2</v>
      </c>
      <c r="L22" s="174"/>
      <c r="M22" s="178">
        <f>AVERAGE(D61:INDEX(D61:K61,0,MATCH('RFPR cover'!$C$7,$D$6:$K$6,0)))/AVERAGE($D$65:INDEX($D$65:$K$65,0,MATCH('RFPR cover'!$C$7,$D$6:$K$6,0)))</f>
        <v>-8.5541429200102219E-4</v>
      </c>
      <c r="N22" s="178">
        <f>AVERAGE(D61:K61)/AVERAGE($D$65:$K$65)</f>
        <v>-8.5541429200102219E-4</v>
      </c>
      <c r="AB22" s="174"/>
      <c r="AC22" s="174"/>
      <c r="AD22" s="174"/>
      <c r="AE22" s="174"/>
      <c r="AF22" s="174"/>
      <c r="AG22" s="174"/>
      <c r="AH22" s="174"/>
      <c r="AI22" s="174"/>
      <c r="AJ22" s="174"/>
      <c r="AK22" s="174"/>
      <c r="AL22" s="174"/>
      <c r="AM22" s="174"/>
      <c r="AN22" s="174"/>
    </row>
    <row r="23" spans="2:40">
      <c r="B23" s="254" t="str">
        <f>B63</f>
        <v>RoRE - including financing and tax</v>
      </c>
      <c r="C23" s="255" t="s">
        <v>7</v>
      </c>
      <c r="D23" s="192">
        <f>SUM(D20:D22)</f>
        <v>7.0363595742230903E-2</v>
      </c>
      <c r="E23" s="193">
        <f t="shared" ref="E23:K23" si="7">SUM(E20:E22)</f>
        <v>0.1000299222117968</v>
      </c>
      <c r="F23" s="193">
        <f t="shared" si="7"/>
        <v>7.2701063891114706E-2</v>
      </c>
      <c r="G23" s="193">
        <f t="shared" si="7"/>
        <v>0.11694999504466301</v>
      </c>
      <c r="H23" s="193">
        <f t="shared" si="7"/>
        <v>8.5394966400301017E-2</v>
      </c>
      <c r="I23" s="193">
        <f t="shared" si="7"/>
        <v>5.5738960687422845E-2</v>
      </c>
      <c r="J23" s="193">
        <f t="shared" si="7"/>
        <v>0.12813002934034637</v>
      </c>
      <c r="K23" s="194">
        <f t="shared" si="7"/>
        <v>0.2092591442159823</v>
      </c>
      <c r="L23" s="175"/>
      <c r="M23" s="194">
        <f>SUM(M20:M22)</f>
        <v>0.10602421934667756</v>
      </c>
      <c r="N23" s="194">
        <f>SUM(N20:N22)</f>
        <v>0.10602421934667756</v>
      </c>
      <c r="AB23" s="174"/>
      <c r="AC23" s="174"/>
      <c r="AD23" s="174"/>
      <c r="AE23" s="174"/>
      <c r="AF23" s="174"/>
      <c r="AG23" s="174"/>
      <c r="AH23" s="174"/>
      <c r="AI23" s="174"/>
      <c r="AJ23" s="174"/>
      <c r="AK23" s="174"/>
      <c r="AL23" s="174"/>
      <c r="AM23" s="174"/>
      <c r="AN23" s="174"/>
    </row>
    <row r="24" spans="2:40">
      <c r="AB24" s="174"/>
      <c r="AC24" s="174"/>
      <c r="AD24" s="174"/>
      <c r="AE24" s="174"/>
      <c r="AF24" s="174"/>
      <c r="AG24" s="174"/>
      <c r="AH24" s="174"/>
      <c r="AI24" s="174"/>
      <c r="AJ24" s="174"/>
      <c r="AK24" s="174"/>
      <c r="AL24" s="174"/>
      <c r="AM24" s="174"/>
      <c r="AN24" s="174"/>
    </row>
    <row r="25" spans="2:40">
      <c r="AB25" s="174"/>
      <c r="AC25" s="174"/>
      <c r="AD25" s="174"/>
      <c r="AE25" s="174"/>
      <c r="AF25" s="174"/>
      <c r="AG25" s="174"/>
      <c r="AH25" s="174"/>
      <c r="AI25" s="174"/>
      <c r="AJ25" s="174"/>
      <c r="AK25" s="174"/>
      <c r="AL25" s="174"/>
      <c r="AM25" s="174"/>
      <c r="AN25" s="174"/>
    </row>
    <row r="26" spans="2:40" s="31" customFormat="1">
      <c r="B26" s="470"/>
      <c r="C26" s="366"/>
      <c r="Q26"/>
      <c r="R26"/>
      <c r="S26"/>
      <c r="T26"/>
      <c r="U26"/>
      <c r="V26"/>
      <c r="W26"/>
      <c r="X26"/>
      <c r="Y26"/>
      <c r="Z26"/>
      <c r="AA26"/>
      <c r="AB26" s="174"/>
      <c r="AC26" s="174"/>
      <c r="AD26" s="174"/>
      <c r="AE26" s="174"/>
      <c r="AF26" s="174"/>
      <c r="AG26" s="174"/>
      <c r="AH26" s="174"/>
      <c r="AI26" s="174"/>
      <c r="AJ26" s="174"/>
      <c r="AK26" s="174"/>
      <c r="AL26" s="174"/>
      <c r="AM26" s="174"/>
      <c r="AN26" s="174"/>
    </row>
    <row r="27" spans="2:40">
      <c r="B27" s="529" t="s">
        <v>216</v>
      </c>
      <c r="C27" s="424"/>
      <c r="D27" s="218"/>
      <c r="E27" s="218"/>
      <c r="F27" s="218"/>
      <c r="G27" s="218"/>
      <c r="H27" s="218"/>
      <c r="I27" s="218"/>
      <c r="J27" s="218"/>
      <c r="K27" s="218"/>
      <c r="L27" s="530"/>
      <c r="M27" s="218"/>
      <c r="N27" s="218"/>
      <c r="O27" s="218"/>
      <c r="AB27" s="174"/>
      <c r="AC27" s="174"/>
      <c r="AD27" s="174"/>
      <c r="AE27" s="174"/>
      <c r="AF27" s="174"/>
      <c r="AG27" s="174"/>
      <c r="AH27" s="174"/>
      <c r="AI27" s="174"/>
      <c r="AJ27" s="174"/>
      <c r="AK27" s="174"/>
      <c r="AL27" s="174"/>
      <c r="AM27" s="174"/>
      <c r="AN27" s="174"/>
    </row>
    <row r="28" spans="2:40">
      <c r="B28" s="198"/>
      <c r="L28" s="49"/>
      <c r="AB28" s="174"/>
      <c r="AC28" s="174"/>
      <c r="AD28" s="174"/>
      <c r="AE28" s="174"/>
      <c r="AF28" s="174"/>
      <c r="AG28" s="174"/>
      <c r="AH28" s="174"/>
      <c r="AI28" s="174"/>
      <c r="AJ28" s="174"/>
      <c r="AK28" s="174"/>
      <c r="AL28" s="174"/>
      <c r="AM28" s="174"/>
      <c r="AN28" s="174"/>
    </row>
    <row r="29" spans="2:40">
      <c r="B29" s="253" t="s">
        <v>215</v>
      </c>
      <c r="C29" s="255" t="s">
        <v>7</v>
      </c>
      <c r="D29" s="176">
        <f t="shared" ref="D29:K38" si="8">D48/D$66</f>
        <v>6.090027980490232E-2</v>
      </c>
      <c r="E29" s="177">
        <f t="shared" si="8"/>
        <v>6.213837725383306E-2</v>
      </c>
      <c r="F29" s="177">
        <f t="shared" si="8"/>
        <v>6.1116405812576102E-2</v>
      </c>
      <c r="G29" s="177">
        <f t="shared" si="8"/>
        <v>5.7120370732831938E-2</v>
      </c>
      <c r="H29" s="177">
        <f t="shared" si="8"/>
        <v>5.5080406225887009E-2</v>
      </c>
      <c r="I29" s="177">
        <f t="shared" si="8"/>
        <v>5.5815508252851968E-2</v>
      </c>
      <c r="J29" s="177">
        <f t="shared" si="8"/>
        <v>5.1406227248296861E-2</v>
      </c>
      <c r="K29" s="178">
        <f t="shared" si="8"/>
        <v>4.690379319281749E-2</v>
      </c>
      <c r="L29" s="174"/>
      <c r="M29" s="507">
        <f>AVERAGE(D48:INDEX(D48:K48,0,MATCH('RFPR cover'!$C$7,$D$6:$K$6,0)))/AVERAGE($D$66:INDEX($D$66:$K$66,0,MATCH('RFPR cover'!$C$7,$D$6:$K$6,0)))</f>
        <v>5.56722437672569E-2</v>
      </c>
      <c r="N29" s="507">
        <f>AVERAGE(D48:K48)/AVERAGE($D$66:$K$66)</f>
        <v>5.56722437672569E-2</v>
      </c>
      <c r="P29" s="323"/>
      <c r="AB29" s="174"/>
      <c r="AC29" s="174"/>
      <c r="AD29" s="174"/>
      <c r="AE29" s="174"/>
      <c r="AF29" s="174"/>
      <c r="AG29" s="174"/>
      <c r="AH29" s="174"/>
      <c r="AI29" s="174"/>
      <c r="AJ29" s="174"/>
      <c r="AK29" s="174"/>
      <c r="AL29" s="174"/>
      <c r="AM29" s="174"/>
      <c r="AN29" s="174"/>
    </row>
    <row r="30" spans="2:40">
      <c r="B30" s="253" t="str">
        <f t="shared" ref="B30:B37" si="9">B49</f>
        <v>Totex outperformance</v>
      </c>
      <c r="C30" s="255" t="s">
        <v>7</v>
      </c>
      <c r="D30" s="176">
        <f t="shared" si="8"/>
        <v>-5.2187364625521301E-3</v>
      </c>
      <c r="E30" s="177">
        <f t="shared" si="8"/>
        <v>-1.9833134462850749E-3</v>
      </c>
      <c r="F30" s="177">
        <f t="shared" si="8"/>
        <v>-2.907086554361251E-2</v>
      </c>
      <c r="G30" s="177">
        <f t="shared" si="8"/>
        <v>1.9244787925188762E-2</v>
      </c>
      <c r="H30" s="177">
        <f t="shared" si="8"/>
        <v>7.0825456656365172E-3</v>
      </c>
      <c r="I30" s="177">
        <f t="shared" si="8"/>
        <v>4.9913573620469524E-3</v>
      </c>
      <c r="J30" s="177">
        <f t="shared" si="8"/>
        <v>1.8860603311295659E-2</v>
      </c>
      <c r="K30" s="178">
        <f t="shared" si="8"/>
        <v>2.1216910759171734E-3</v>
      </c>
      <c r="L30" s="174"/>
      <c r="M30" s="178">
        <f>AVERAGE(D49:INDEX(D49:K49,0,MATCH('RFPR cover'!$C$7,$D$6:$K$6,0)))/AVERAGE($D$66:INDEX($D$66:$K$66,0,MATCH('RFPR cover'!$C$7,$D$6:$K$6,0)))</f>
        <v>2.817411264226361E-3</v>
      </c>
      <c r="N30" s="178">
        <f t="shared" ref="N30:N38" si="10">AVERAGE(D49:K49)/AVERAGE($D$66:$K$66)</f>
        <v>2.817411264226361E-3</v>
      </c>
      <c r="AB30" s="174"/>
      <c r="AC30" s="174"/>
      <c r="AD30" s="174"/>
      <c r="AE30" s="174"/>
      <c r="AF30" s="174"/>
      <c r="AG30" s="174"/>
      <c r="AH30" s="174"/>
      <c r="AI30" s="174"/>
      <c r="AJ30" s="174"/>
      <c r="AK30" s="174"/>
      <c r="AL30" s="174"/>
      <c r="AM30" s="174"/>
      <c r="AN30" s="174"/>
    </row>
    <row r="31" spans="2:40">
      <c r="B31" s="253" t="str">
        <f t="shared" si="9"/>
        <v>IQI Reward</v>
      </c>
      <c r="C31" s="255" t="s">
        <v>7</v>
      </c>
      <c r="D31" s="176">
        <f t="shared" si="8"/>
        <v>8.0630914229859532E-3</v>
      </c>
      <c r="E31" s="177">
        <f t="shared" si="8"/>
        <v>7.8046565849864205E-3</v>
      </c>
      <c r="F31" s="177">
        <f t="shared" si="8"/>
        <v>6.7960986271996798E-3</v>
      </c>
      <c r="G31" s="177">
        <f t="shared" si="8"/>
        <v>6.3981727338320877E-3</v>
      </c>
      <c r="H31" s="177">
        <f t="shared" si="8"/>
        <v>6.0324635787367843E-3</v>
      </c>
      <c r="I31" s="177">
        <f t="shared" si="8"/>
        <v>6.2688257519804055E-3</v>
      </c>
      <c r="J31" s="177">
        <f t="shared" si="8"/>
        <v>5.9433419030512046E-3</v>
      </c>
      <c r="K31" s="178">
        <f t="shared" si="8"/>
        <v>5.1389715304784086E-3</v>
      </c>
      <c r="L31" s="174"/>
      <c r="M31" s="178">
        <f>AVERAGE(D50:INDEX(D50:K50,0,MATCH('RFPR cover'!$C$7,$D$6:$K$6,0)))/AVERAGE($D$66:INDEX($D$66:$K$66,0,MATCH('RFPR cover'!$C$7,$D$6:$K$6,0)))</f>
        <v>6.4471550044079987E-3</v>
      </c>
      <c r="N31" s="178">
        <f t="shared" si="10"/>
        <v>6.4471550044079987E-3</v>
      </c>
      <c r="AB31" s="174"/>
      <c r="AC31" s="174"/>
      <c r="AD31" s="174"/>
      <c r="AE31" s="174"/>
      <c r="AF31" s="174"/>
      <c r="AG31" s="174"/>
      <c r="AH31" s="174"/>
      <c r="AI31" s="174"/>
      <c r="AJ31" s="174"/>
      <c r="AK31" s="174"/>
      <c r="AL31" s="174"/>
      <c r="AM31" s="174"/>
      <c r="AN31" s="174"/>
    </row>
    <row r="32" spans="2:40">
      <c r="B32" s="253" t="str">
        <f t="shared" si="9"/>
        <v>Broad measure of customer service</v>
      </c>
      <c r="C32" s="255" t="s">
        <v>7</v>
      </c>
      <c r="D32" s="176">
        <f t="shared" si="8"/>
        <v>6.3654976464392748E-3</v>
      </c>
      <c r="E32" s="177">
        <f t="shared" si="8"/>
        <v>6.1696447224889308E-3</v>
      </c>
      <c r="F32" s="177">
        <f t="shared" si="8"/>
        <v>6.0295790560235939E-3</v>
      </c>
      <c r="G32" s="177">
        <f t="shared" si="8"/>
        <v>5.7082356777481162E-3</v>
      </c>
      <c r="H32" s="177">
        <f t="shared" si="8"/>
        <v>4.3906470369781247E-3</v>
      </c>
      <c r="I32" s="177">
        <f t="shared" si="8"/>
        <v>4.3875910208153171E-3</v>
      </c>
      <c r="J32" s="177">
        <f t="shared" si="8"/>
        <v>3.4077122374616938E-3</v>
      </c>
      <c r="K32" s="178">
        <f t="shared" si="8"/>
        <v>3.2510792794084508E-3</v>
      </c>
      <c r="L32" s="174"/>
      <c r="M32" s="178">
        <f>AVERAGE(D51:INDEX(D51:K51,0,MATCH('RFPR cover'!$C$7,$D$6:$K$6,0)))/AVERAGE($D$66:INDEX($D$66:$K$66,0,MATCH('RFPR cover'!$C$7,$D$6:$K$6,0)))</f>
        <v>4.8181844564171086E-3</v>
      </c>
      <c r="N32" s="178">
        <f t="shared" si="10"/>
        <v>4.8181844564171086E-3</v>
      </c>
      <c r="AB32" s="174"/>
      <c r="AC32" s="174"/>
      <c r="AD32" s="174"/>
      <c r="AE32" s="174"/>
      <c r="AF32" s="174"/>
      <c r="AG32" s="174"/>
      <c r="AH32" s="174"/>
      <c r="AI32" s="174"/>
      <c r="AJ32" s="174"/>
      <c r="AK32" s="174"/>
      <c r="AL32" s="174"/>
      <c r="AM32" s="174"/>
      <c r="AN32" s="174"/>
    </row>
    <row r="33" spans="2:40">
      <c r="B33" s="253" t="str">
        <f t="shared" si="9"/>
        <v>Interruptions-related quality of service</v>
      </c>
      <c r="C33" s="255" t="s">
        <v>7</v>
      </c>
      <c r="D33" s="176">
        <f t="shared" si="8"/>
        <v>1.958473699672747E-2</v>
      </c>
      <c r="E33" s="177">
        <f t="shared" si="8"/>
        <v>1.9394265369050468E-2</v>
      </c>
      <c r="F33" s="177">
        <f t="shared" si="8"/>
        <v>1.5515632099442355E-2</v>
      </c>
      <c r="G33" s="177">
        <f t="shared" si="8"/>
        <v>1.7042923039567719E-2</v>
      </c>
      <c r="H33" s="177">
        <f t="shared" si="8"/>
        <v>1.6463993906053749E-2</v>
      </c>
      <c r="I33" s="177">
        <f t="shared" si="8"/>
        <v>1.4671528201545337E-2</v>
      </c>
      <c r="J33" s="177">
        <f t="shared" si="8"/>
        <v>1.3000575969676414E-2</v>
      </c>
      <c r="K33" s="178">
        <f t="shared" si="8"/>
        <v>1.2277916468652707E-2</v>
      </c>
      <c r="L33" s="174"/>
      <c r="M33" s="178">
        <f>AVERAGE(D52:INDEX(D52:K52,0,MATCH('RFPR cover'!$C$7,$D$6:$K$6,0)))/AVERAGE($D$66:INDEX($D$66:$K$66,0,MATCH('RFPR cover'!$C$7,$D$6:$K$6,0)))</f>
        <v>1.5702728245076042E-2</v>
      </c>
      <c r="N33" s="178">
        <f t="shared" si="10"/>
        <v>1.5702728245076042E-2</v>
      </c>
      <c r="AB33" s="174"/>
      <c r="AC33" s="174"/>
      <c r="AD33" s="174"/>
      <c r="AE33" s="174"/>
      <c r="AF33" s="174"/>
      <c r="AG33" s="174"/>
      <c r="AH33" s="174"/>
      <c r="AI33" s="174"/>
      <c r="AJ33" s="174"/>
      <c r="AK33" s="174"/>
      <c r="AL33" s="174"/>
      <c r="AM33" s="174"/>
      <c r="AN33" s="174"/>
    </row>
    <row r="34" spans="2:40">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c r="AB34" s="174"/>
      <c r="AC34" s="174"/>
      <c r="AD34" s="174"/>
      <c r="AE34" s="174"/>
      <c r="AF34" s="174"/>
      <c r="AG34" s="174"/>
      <c r="AH34" s="174"/>
      <c r="AI34" s="174"/>
      <c r="AJ34" s="174"/>
      <c r="AK34" s="174"/>
      <c r="AL34" s="174"/>
      <c r="AM34" s="174"/>
      <c r="AN34" s="174"/>
    </row>
    <row r="35" spans="2:40">
      <c r="B35" s="253" t="str">
        <f t="shared" si="9"/>
        <v>Time to Connect Incentive</v>
      </c>
      <c r="C35" s="255" t="s">
        <v>7</v>
      </c>
      <c r="D35" s="176">
        <f t="shared" si="8"/>
        <v>1.7677802078625061E-3</v>
      </c>
      <c r="E35" s="177">
        <f t="shared" si="8"/>
        <v>1.4911224518972031E-3</v>
      </c>
      <c r="F35" s="177">
        <f t="shared" si="8"/>
        <v>1.7528699204935546E-3</v>
      </c>
      <c r="G35" s="177">
        <f t="shared" si="8"/>
        <v>1.622718161795524E-3</v>
      </c>
      <c r="H35" s="177">
        <f t="shared" si="8"/>
        <v>1.5344902424590924E-3</v>
      </c>
      <c r="I35" s="177">
        <f t="shared" si="8"/>
        <v>1.3006654345369497E-3</v>
      </c>
      <c r="J35" s="177">
        <f t="shared" si="8"/>
        <v>1.0658432234973718E-3</v>
      </c>
      <c r="K35" s="178">
        <f t="shared" si="8"/>
        <v>1.0321253475246133E-3</v>
      </c>
      <c r="L35" s="174"/>
      <c r="M35" s="178">
        <f>AVERAGE(D54:INDEX(D54:K54,0,MATCH('RFPR cover'!$C$7,$D$6:$K$6,0)))/AVERAGE($D$66:INDEX($D$66:$K$66,0,MATCH('RFPR cover'!$C$7,$D$6:$K$6,0)))</f>
        <v>1.4149358468812645E-3</v>
      </c>
      <c r="N35" s="178">
        <f t="shared" si="10"/>
        <v>1.4149358468812645E-3</v>
      </c>
      <c r="AB35" s="174"/>
      <c r="AC35" s="174"/>
      <c r="AD35" s="174"/>
      <c r="AE35" s="174"/>
      <c r="AF35" s="174"/>
      <c r="AG35" s="174"/>
      <c r="AH35" s="174"/>
      <c r="AI35" s="174"/>
      <c r="AJ35" s="174"/>
      <c r="AK35" s="174"/>
      <c r="AL35" s="174"/>
      <c r="AM35" s="174"/>
      <c r="AN35" s="174"/>
    </row>
    <row r="36" spans="2:40">
      <c r="B36" s="253" t="str">
        <f t="shared" si="9"/>
        <v>Losses discretionary reward scheme</v>
      </c>
      <c r="C36" s="255" t="s">
        <v>7</v>
      </c>
      <c r="D36" s="176">
        <f t="shared" si="8"/>
        <v>0</v>
      </c>
      <c r="E36" s="177">
        <f t="shared" si="8"/>
        <v>4.5366702617661906E-5</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4.902768362355366E-6</v>
      </c>
      <c r="N36" s="178">
        <f t="shared" si="10"/>
        <v>4.902768362355366E-6</v>
      </c>
      <c r="AB36" s="174"/>
      <c r="AC36" s="174"/>
      <c r="AD36" s="174"/>
      <c r="AE36" s="174"/>
      <c r="AF36" s="174"/>
      <c r="AG36" s="174"/>
      <c r="AH36" s="174"/>
      <c r="AI36" s="174"/>
      <c r="AJ36" s="174"/>
      <c r="AK36" s="174"/>
      <c r="AL36" s="174"/>
      <c r="AM36" s="174"/>
      <c r="AN36" s="174"/>
    </row>
    <row r="37" spans="2:40">
      <c r="B37" s="253" t="str">
        <f t="shared" si="9"/>
        <v xml:space="preserve">Network Innovation </v>
      </c>
      <c r="C37" s="255" t="s">
        <v>7</v>
      </c>
      <c r="D37" s="176">
        <f t="shared" si="8"/>
        <v>-7.583900826089505E-5</v>
      </c>
      <c r="E37" s="177">
        <f t="shared" si="8"/>
        <v>1.7784317726701182E-3</v>
      </c>
      <c r="F37" s="177">
        <f t="shared" si="8"/>
        <v>2.7089851533098458E-4</v>
      </c>
      <c r="G37" s="177">
        <f t="shared" si="8"/>
        <v>-2.6626238586946644E-4</v>
      </c>
      <c r="H37" s="177">
        <f t="shared" si="8"/>
        <v>-3.2195823938426389E-4</v>
      </c>
      <c r="I37" s="177">
        <f t="shared" si="8"/>
        <v>-5.4320397008566254E-4</v>
      </c>
      <c r="J37" s="177">
        <f t="shared" si="8"/>
        <v>-2.4721826775432891E-4</v>
      </c>
      <c r="K37" s="178">
        <f t="shared" si="8"/>
        <v>-1.9006219946881932E-4</v>
      </c>
      <c r="L37" s="174"/>
      <c r="M37" s="178">
        <f>AVERAGE(D56:INDEX(D56:K56,0,MATCH('RFPR cover'!$C$7,$D$6:$K$6,0)))/AVERAGE($D$66:INDEX($D$66:$K$66,0,MATCH('RFPR cover'!$C$7,$D$6:$K$6,0)))</f>
        <v>7.7221553103027485E-6</v>
      </c>
      <c r="N37" s="178">
        <f t="shared" si="10"/>
        <v>7.7221553103027485E-6</v>
      </c>
      <c r="AB37" s="174"/>
      <c r="AC37" s="174"/>
      <c r="AD37" s="174"/>
      <c r="AE37" s="174"/>
      <c r="AF37" s="174"/>
      <c r="AG37" s="174"/>
      <c r="AH37" s="174"/>
      <c r="AI37" s="174"/>
      <c r="AJ37" s="174"/>
      <c r="AK37" s="174"/>
      <c r="AL37" s="174"/>
      <c r="AM37" s="174"/>
      <c r="AN37" s="174"/>
    </row>
    <row r="38" spans="2:40">
      <c r="B38" s="253" t="str">
        <f>B57</f>
        <v>Penalties and fines</v>
      </c>
      <c r="C38" s="255" t="s">
        <v>7</v>
      </c>
      <c r="D38" s="186">
        <f t="shared" si="8"/>
        <v>-4.0539144302005356E-7</v>
      </c>
      <c r="E38" s="187">
        <f t="shared" si="8"/>
        <v>-1.5514232103969157E-7</v>
      </c>
      <c r="F38" s="187">
        <f t="shared" si="8"/>
        <v>-5.8503678657508428E-8</v>
      </c>
      <c r="G38" s="187">
        <f t="shared" si="8"/>
        <v>0</v>
      </c>
      <c r="H38" s="187">
        <f t="shared" si="8"/>
        <v>-1.1320741914184932E-5</v>
      </c>
      <c r="I38" s="187">
        <f t="shared" si="8"/>
        <v>-2.5441320323336451E-6</v>
      </c>
      <c r="J38" s="187">
        <f t="shared" si="8"/>
        <v>-2.5784628620599596E-3</v>
      </c>
      <c r="K38" s="188">
        <f t="shared" si="8"/>
        <v>-6.6176299186938016E-6</v>
      </c>
      <c r="L38" s="174"/>
      <c r="M38" s="188">
        <f>AVERAGE(D57:INDEX(D57:K57,0,MATCH('RFPR cover'!$C$7,$D$6:$K$6,0)))/AVERAGE($D$66:INDEX($D$66:$K$66,0,MATCH('RFPR cover'!$C$7,$D$6:$K$6,0)))</f>
        <v>-3.6527452172216592E-4</v>
      </c>
      <c r="N38" s="188">
        <f t="shared" si="10"/>
        <v>-3.6527452172216592E-4</v>
      </c>
      <c r="AB38" s="174"/>
      <c r="AC38" s="174"/>
      <c r="AD38" s="174"/>
      <c r="AE38" s="174"/>
      <c r="AF38" s="174"/>
      <c r="AG38" s="174"/>
      <c r="AH38" s="174"/>
      <c r="AI38" s="174"/>
      <c r="AJ38" s="174"/>
      <c r="AK38" s="174"/>
      <c r="AL38" s="174"/>
      <c r="AM38" s="174"/>
      <c r="AN38" s="174"/>
    </row>
    <row r="39" spans="2:40">
      <c r="B39" s="254" t="str">
        <f>B58</f>
        <v>RoRE - Operational performance</v>
      </c>
      <c r="C39" s="255" t="s">
        <v>7</v>
      </c>
      <c r="D39" s="189">
        <f t="shared" ref="D39:K39" si="11">SUM(D29:D38)</f>
        <v>9.138640521666147E-2</v>
      </c>
      <c r="E39" s="190">
        <f t="shared" si="11"/>
        <v>9.683839626893774E-2</v>
      </c>
      <c r="F39" s="190">
        <f t="shared" si="11"/>
        <v>6.24105599837751E-2</v>
      </c>
      <c r="G39" s="190">
        <f t="shared" si="11"/>
        <v>0.10687094588509467</v>
      </c>
      <c r="H39" s="190">
        <f t="shared" si="11"/>
        <v>9.0251267674452851E-2</v>
      </c>
      <c r="I39" s="190">
        <f t="shared" si="11"/>
        <v>8.6889727921658944E-2</v>
      </c>
      <c r="J39" s="190">
        <f t="shared" si="11"/>
        <v>9.0858622763464916E-2</v>
      </c>
      <c r="K39" s="191">
        <f t="shared" si="11"/>
        <v>7.0528897065411336E-2</v>
      </c>
      <c r="L39" s="175"/>
      <c r="M39" s="191">
        <f>SUM(M29:M38)</f>
        <v>8.6520008986216188E-2</v>
      </c>
      <c r="N39" s="191">
        <f>SUM(N29:N38)</f>
        <v>8.6520008986216188E-2</v>
      </c>
      <c r="AB39" s="174"/>
      <c r="AC39" s="174"/>
      <c r="AD39" s="174"/>
      <c r="AE39" s="174"/>
      <c r="AF39" s="174"/>
      <c r="AG39" s="174"/>
      <c r="AH39" s="174"/>
      <c r="AI39" s="174"/>
      <c r="AJ39" s="174"/>
      <c r="AK39" s="174"/>
      <c r="AL39" s="174"/>
      <c r="AM39" s="174"/>
      <c r="AN39" s="174"/>
    </row>
    <row r="40" spans="2:40">
      <c r="B40" s="253" t="s">
        <v>448</v>
      </c>
      <c r="C40" s="255" t="s">
        <v>7</v>
      </c>
      <c r="D40" s="176">
        <f>(D59+D60)/D$66</f>
        <v>-1.4727167094381256E-2</v>
      </c>
      <c r="E40" s="177">
        <f t="shared" ref="E40:K40" si="12">(E59+E60)/E$66</f>
        <v>-3.4457353841574603E-3</v>
      </c>
      <c r="F40" s="177">
        <f t="shared" si="12"/>
        <v>8.8865365934993144E-3</v>
      </c>
      <c r="G40" s="177">
        <f t="shared" si="12"/>
        <v>1.6911766999177463E-3</v>
      </c>
      <c r="H40" s="177">
        <f t="shared" si="12"/>
        <v>-6.2656224470487524E-3</v>
      </c>
      <c r="I40" s="177">
        <f t="shared" si="12"/>
        <v>-2.4651007917562057E-2</v>
      </c>
      <c r="J40" s="177">
        <f t="shared" si="12"/>
        <v>8.3324547439847553E-3</v>
      </c>
      <c r="K40" s="178">
        <f t="shared" si="12"/>
        <v>5.7818271754119854E-2</v>
      </c>
      <c r="L40" s="174"/>
      <c r="M40" s="178">
        <f>(AVERAGE(D59:INDEX(D59:K59,0,MATCH('RFPR cover'!$C$7,$D$6:$K$6,0)))+AVERAGE(D60:INDEX(D60:K60,0,MATCH('RFPR cover'!$C$7,$D$6:$K$6,0))))/AVERAGE($D$66:INDEX($D$66:$K$66,0,MATCH('RFPR cover'!$C$7,$D$6:$K$6,0)))</f>
        <v>5.6396772956286197E-3</v>
      </c>
      <c r="N40" s="178">
        <f>(AVERAGE(D59:K59)+AVERAGE(D60:K60))/AVERAGE($D$66:$K$66)</f>
        <v>5.6396772956286197E-3</v>
      </c>
      <c r="AB40" s="174"/>
      <c r="AC40" s="174"/>
      <c r="AD40" s="174"/>
      <c r="AE40" s="174"/>
      <c r="AF40" s="174"/>
      <c r="AG40" s="174"/>
      <c r="AH40" s="174"/>
      <c r="AI40" s="174"/>
      <c r="AJ40" s="174"/>
      <c r="AK40" s="174"/>
      <c r="AL40" s="174"/>
      <c r="AM40" s="174"/>
      <c r="AN40" s="174"/>
    </row>
    <row r="41" spans="2:40">
      <c r="B41" s="253" t="s">
        <v>449</v>
      </c>
      <c r="C41" s="255" t="s">
        <v>7</v>
      </c>
      <c r="D41" s="176">
        <f>(D61+D62)/D$66</f>
        <v>-8.2726958122590188E-3</v>
      </c>
      <c r="E41" s="177">
        <f t="shared" ref="E41:K41" si="13">(E61+E62)/E$66</f>
        <v>4.3470168636707551E-3</v>
      </c>
      <c r="F41" s="177">
        <f t="shared" si="13"/>
        <v>-1.2719972136347834E-3</v>
      </c>
      <c r="G41" s="177">
        <f t="shared" si="13"/>
        <v>-2.5224827607139596E-3</v>
      </c>
      <c r="H41" s="177">
        <f t="shared" si="13"/>
        <v>-7.9394991542401563E-3</v>
      </c>
      <c r="I41" s="177">
        <f t="shared" si="13"/>
        <v>-1.0288711917730337E-2</v>
      </c>
      <c r="J41" s="177">
        <f t="shared" si="13"/>
        <v>3.8550535597790254E-3</v>
      </c>
      <c r="K41" s="178">
        <f t="shared" si="13"/>
        <v>1.194401444223013E-2</v>
      </c>
      <c r="L41" s="174"/>
      <c r="M41" s="178">
        <f>(AVERAGE(D61:INDEX(D61:K61,0,MATCH('RFPR cover'!$C$7,$D$6:$K$6,0)))+AVERAGE(D62:INDEX(D62:K62,0,MATCH('RFPR cover'!$C$7,$D$6:$K$6,0))))/AVERAGE($D$66:INDEX($D$66:$K$66,0,MATCH('RFPR cover'!$C$7,$D$6:$K$6,0)))</f>
        <v>-7.4410676541056828E-4</v>
      </c>
      <c r="N41" s="178">
        <f>(AVERAGE(D61:K61)+AVERAGE(D62:K62))/AVERAGE($D$66:$K$66)</f>
        <v>-7.4410676541056828E-4</v>
      </c>
      <c r="AB41" s="174"/>
      <c r="AC41" s="174"/>
      <c r="AD41" s="174"/>
      <c r="AE41" s="174"/>
      <c r="AF41" s="174"/>
      <c r="AG41" s="174"/>
      <c r="AH41" s="174"/>
      <c r="AI41" s="174"/>
      <c r="AJ41" s="174"/>
      <c r="AK41" s="174"/>
      <c r="AL41" s="174"/>
      <c r="AM41" s="174"/>
      <c r="AN41" s="174"/>
    </row>
    <row r="42" spans="2:40">
      <c r="B42" s="254" t="str">
        <f>B63</f>
        <v>RoRE - including financing and tax</v>
      </c>
      <c r="C42" s="255" t="s">
        <v>7</v>
      </c>
      <c r="D42" s="192">
        <f>SUM(D39:D41)</f>
        <v>6.8386542310021198E-2</v>
      </c>
      <c r="E42" s="193">
        <f t="shared" ref="E42:K42" si="14">SUM(E39:E41)</f>
        <v>9.7739677748451034E-2</v>
      </c>
      <c r="F42" s="193">
        <f t="shared" si="14"/>
        <v>7.0025099363639626E-2</v>
      </c>
      <c r="G42" s="193">
        <f t="shared" si="14"/>
        <v>0.10603963982429847</v>
      </c>
      <c r="H42" s="193">
        <f t="shared" si="14"/>
        <v>7.6046146073163942E-2</v>
      </c>
      <c r="I42" s="193">
        <f t="shared" si="14"/>
        <v>5.1950008086366552E-2</v>
      </c>
      <c r="J42" s="193">
        <f t="shared" si="14"/>
        <v>0.10304613106722869</v>
      </c>
      <c r="K42" s="194">
        <f t="shared" si="14"/>
        <v>0.14029118326176132</v>
      </c>
      <c r="L42" s="175"/>
      <c r="M42" s="194">
        <f>SUM(M39:M41)</f>
        <v>9.1415579516434239E-2</v>
      </c>
      <c r="N42" s="194">
        <f>SUM(N39:N41)</f>
        <v>9.1415579516434239E-2</v>
      </c>
      <c r="AB42" s="174"/>
      <c r="AC42" s="174"/>
      <c r="AD42" s="174"/>
      <c r="AE42" s="174"/>
      <c r="AF42" s="174"/>
      <c r="AG42" s="174"/>
      <c r="AH42" s="174"/>
      <c r="AI42" s="174"/>
      <c r="AJ42" s="174"/>
      <c r="AK42" s="174"/>
      <c r="AL42" s="174"/>
      <c r="AM42" s="174"/>
      <c r="AN42" s="174"/>
    </row>
    <row r="43" spans="2:40" s="31" customFormat="1">
      <c r="B43" s="471"/>
      <c r="C43" s="472"/>
      <c r="D43" s="473"/>
      <c r="E43" s="473"/>
      <c r="F43" s="473"/>
      <c r="G43" s="473"/>
      <c r="H43" s="473"/>
      <c r="I43" s="473"/>
      <c r="J43" s="473"/>
      <c r="K43" s="473"/>
      <c r="L43" s="474"/>
      <c r="M43" s="473"/>
      <c r="N43" s="473"/>
      <c r="Q43"/>
      <c r="R43"/>
      <c r="S43"/>
      <c r="T43"/>
      <c r="U43"/>
      <c r="V43"/>
      <c r="W43"/>
      <c r="X43"/>
      <c r="Y43"/>
      <c r="Z43"/>
      <c r="AA43"/>
      <c r="AB43" s="517"/>
      <c r="AC43" s="517"/>
      <c r="AD43" s="517"/>
      <c r="AE43" s="517"/>
      <c r="AF43" s="517"/>
      <c r="AG43" s="517"/>
      <c r="AH43" s="517"/>
      <c r="AI43" s="517"/>
      <c r="AJ43" s="517"/>
      <c r="AK43" s="517"/>
      <c r="AL43" s="517"/>
      <c r="AM43" s="517"/>
      <c r="AN43" s="517"/>
    </row>
    <row r="44" spans="2:40" s="31" customFormat="1">
      <c r="B44" s="471"/>
      <c r="C44" s="472"/>
      <c r="D44" s="473"/>
      <c r="E44" s="473"/>
      <c r="F44" s="473"/>
      <c r="G44" s="473"/>
      <c r="H44" s="473"/>
      <c r="I44" s="473"/>
      <c r="J44" s="473"/>
      <c r="K44" s="473"/>
      <c r="L44" s="474"/>
      <c r="M44" s="473"/>
      <c r="N44" s="473"/>
      <c r="Q44"/>
      <c r="R44"/>
      <c r="S44"/>
      <c r="T44"/>
      <c r="U44"/>
      <c r="V44"/>
      <c r="W44"/>
      <c r="X44"/>
      <c r="Y44"/>
      <c r="Z44"/>
      <c r="AA44"/>
      <c r="AB44" s="517"/>
      <c r="AC44" s="517"/>
      <c r="AD44" s="517"/>
      <c r="AE44" s="517"/>
      <c r="AF44" s="517"/>
      <c r="AG44" s="517"/>
      <c r="AH44" s="517"/>
      <c r="AI44" s="517"/>
      <c r="AJ44" s="517"/>
      <c r="AK44" s="517"/>
      <c r="AL44" s="517"/>
      <c r="AM44" s="517"/>
      <c r="AN44" s="517"/>
    </row>
    <row r="45" spans="2:40" s="31" customFormat="1">
      <c r="B45" s="523" t="s">
        <v>384</v>
      </c>
      <c r="C45" s="524"/>
      <c r="D45" s="525"/>
      <c r="E45" s="525"/>
      <c r="F45" s="525"/>
      <c r="G45" s="525"/>
      <c r="H45" s="525"/>
      <c r="I45" s="525"/>
      <c r="J45" s="525"/>
      <c r="K45" s="525"/>
      <c r="L45" s="526"/>
      <c r="M45" s="525"/>
      <c r="N45" s="525"/>
      <c r="O45" s="218"/>
      <c r="Q45"/>
      <c r="R45"/>
      <c r="S45"/>
      <c r="T45"/>
      <c r="U45"/>
      <c r="V45"/>
      <c r="W45"/>
      <c r="X45"/>
      <c r="Y45"/>
      <c r="Z45"/>
      <c r="AA45"/>
      <c r="AB45" s="517"/>
      <c r="AC45" s="517"/>
      <c r="AD45" s="517"/>
      <c r="AE45" s="517"/>
      <c r="AF45" s="517"/>
      <c r="AG45" s="517"/>
      <c r="AH45" s="517"/>
      <c r="AI45" s="517"/>
      <c r="AJ45" s="517"/>
      <c r="AK45" s="517"/>
      <c r="AL45" s="517"/>
      <c r="AM45" s="517"/>
      <c r="AN45" s="517"/>
    </row>
    <row r="46" spans="2:40"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Q46"/>
      <c r="R46"/>
      <c r="S46"/>
      <c r="T46"/>
      <c r="U46"/>
      <c r="V46"/>
      <c r="W46"/>
      <c r="X46"/>
      <c r="Y46"/>
      <c r="Z46"/>
      <c r="AA46"/>
      <c r="AB46" s="517"/>
      <c r="AC46" s="517"/>
      <c r="AD46" s="517"/>
      <c r="AE46" s="517"/>
      <c r="AF46" s="517"/>
      <c r="AG46" s="517"/>
      <c r="AH46" s="517"/>
      <c r="AI46" s="517"/>
      <c r="AJ46" s="517"/>
      <c r="AK46" s="517"/>
      <c r="AL46" s="517"/>
      <c r="AM46" s="517"/>
      <c r="AN46" s="517"/>
    </row>
    <row r="47" spans="2:40">
      <c r="AB47" s="517"/>
      <c r="AC47" s="517"/>
      <c r="AD47" s="517"/>
      <c r="AE47" s="517"/>
      <c r="AF47" s="517"/>
      <c r="AG47" s="517"/>
      <c r="AH47" s="517"/>
      <c r="AI47" s="517"/>
      <c r="AJ47" s="517"/>
      <c r="AK47" s="517"/>
      <c r="AL47" s="517"/>
      <c r="AM47" s="517"/>
      <c r="AN47" s="517"/>
    </row>
    <row r="48" spans="2:40">
      <c r="B48" s="248" t="s">
        <v>228</v>
      </c>
      <c r="C48" s="343" t="str">
        <f>'RFPR cover'!$C$14</f>
        <v>£m 12/13</v>
      </c>
      <c r="D48" s="179">
        <f>'R9 - RAV'!D50</f>
        <v>43.070773721324549</v>
      </c>
      <c r="E48" s="180">
        <f>'R9 - RAV'!E50</f>
        <v>44.377997669162568</v>
      </c>
      <c r="F48" s="180">
        <f>'R9 - RAV'!F50</f>
        <v>45.186959401297962</v>
      </c>
      <c r="G48" s="180">
        <f>'R9 - RAV'!G50</f>
        <v>45.619752223540068</v>
      </c>
      <c r="H48" s="180">
        <f>'R9 - RAV'!H50</f>
        <v>46.132764521760414</v>
      </c>
      <c r="I48" s="180">
        <f>'R9 - RAV'!I50</f>
        <v>46.781012422369415</v>
      </c>
      <c r="J48" s="180">
        <f>'R9 - RAV'!J50</f>
        <v>47.747642481114802</v>
      </c>
      <c r="K48" s="181">
        <f>'R9 - RAV'!K50</f>
        <v>48.993748184694503</v>
      </c>
      <c r="M48" s="96">
        <f>SUM(D48:INDEX(D48:K48,0,MATCH('RFPR cover'!$C$7,$D$6:$K$6,0)))</f>
        <v>367.91065062526422</v>
      </c>
      <c r="N48" s="96">
        <f>SUM(D48:K48)</f>
        <v>367.91065062526422</v>
      </c>
      <c r="AB48" s="517"/>
      <c r="AC48" s="517"/>
      <c r="AD48" s="517"/>
      <c r="AE48" s="517"/>
      <c r="AF48" s="517"/>
      <c r="AG48" s="517"/>
      <c r="AH48" s="517"/>
      <c r="AI48" s="517"/>
      <c r="AJ48" s="517"/>
      <c r="AK48" s="517"/>
      <c r="AL48" s="517"/>
      <c r="AM48" s="517"/>
      <c r="AN48" s="517"/>
    </row>
    <row r="49" spans="2:40">
      <c r="B49" s="248" t="s">
        <v>102</v>
      </c>
      <c r="C49" s="343" t="str">
        <f>'RFPR cover'!$C$14</f>
        <v>£m 12/13</v>
      </c>
      <c r="D49" s="252">
        <f>'R4 - Totex'!D35+'R4 - Totex'!D63</f>
        <v>-3.6908700257189078</v>
      </c>
      <c r="E49" s="252">
        <f>'R4 - Totex'!E35+'R4 - Totex'!E63</f>
        <v>-1.4164431609940138</v>
      </c>
      <c r="F49" s="252">
        <f>'R4 - Totex'!F35+'R4 - Totex'!F63</f>
        <v>-21.493803564107857</v>
      </c>
      <c r="G49" s="252">
        <f>'R4 - Totex'!G35+'R4 - Totex'!G63</f>
        <v>15.370041291364707</v>
      </c>
      <c r="H49" s="252">
        <f>'R4 - Totex'!H35+'R4 - Totex'!H63</f>
        <v>5.9320080187401079</v>
      </c>
      <c r="I49" s="252">
        <f>'R4 - Totex'!I35+'R4 - Totex'!I63</f>
        <v>4.1834385830657101</v>
      </c>
      <c r="J49" s="252">
        <f>'R4 - Totex'!J35+'R4 - Totex'!J63</f>
        <v>17.518292862382957</v>
      </c>
      <c r="K49" s="252">
        <f>'R4 - Totex'!K35+'R4 - Totex'!K63</f>
        <v>2.2162301004499065</v>
      </c>
      <c r="M49" s="96">
        <f>SUM(D49:INDEX(D49:K49,0,MATCH('RFPR cover'!$C$7,$D$6:$K$6,0)))</f>
        <v>18.618894105182608</v>
      </c>
      <c r="N49" s="96">
        <f>SUM(D49:K49)</f>
        <v>18.618894105182608</v>
      </c>
      <c r="AB49" s="517"/>
      <c r="AC49" s="517"/>
      <c r="AD49" s="517"/>
      <c r="AE49" s="517"/>
      <c r="AF49" s="517"/>
      <c r="AG49" s="517"/>
      <c r="AH49" s="517"/>
      <c r="AI49" s="517"/>
      <c r="AJ49" s="517"/>
      <c r="AK49" s="517"/>
      <c r="AL49" s="517"/>
      <c r="AM49" s="517"/>
      <c r="AN49" s="517"/>
    </row>
    <row r="50" spans="2:40">
      <c r="B50" s="250" t="s">
        <v>110</v>
      </c>
      <c r="C50" s="343" t="str">
        <f>'RFPR cover'!$C$14</f>
        <v>£m 12/13</v>
      </c>
      <c r="D50" s="243">
        <f>'R4 - Totex'!D79</f>
        <v>5.7024957403533199</v>
      </c>
      <c r="E50" s="182">
        <f>'R4 - Totex'!E79</f>
        <v>5.5739310719733419</v>
      </c>
      <c r="F50" s="182">
        <f>'R4 - Totex'!F79</f>
        <v>5.0247560973439462</v>
      </c>
      <c r="G50" s="182">
        <f>'R4 - Totex'!G79</f>
        <v>5.1099642921795638</v>
      </c>
      <c r="H50" s="182">
        <f>'R4 - Totex'!H79</f>
        <v>5.0525085204104005</v>
      </c>
      <c r="I50" s="182">
        <f>'R4 - Totex'!I79</f>
        <v>5.2541314153863325</v>
      </c>
      <c r="J50" s="182">
        <f>'R4 - Totex'!J79</f>
        <v>5.5203538466114397</v>
      </c>
      <c r="K50" s="183">
        <f>'R4 - Totex'!K79</f>
        <v>5.3679555522841733</v>
      </c>
      <c r="M50" s="96">
        <f>SUM(D50:INDEX(D50:K50,0,MATCH('RFPR cover'!$C$7,$D$6:$K$6,0)))</f>
        <v>42.606096536542516</v>
      </c>
      <c r="N50" s="96">
        <f t="shared" ref="N50:N57" si="15">SUM(D50:K50)</f>
        <v>42.606096536542516</v>
      </c>
      <c r="AB50" s="517"/>
      <c r="AC50" s="517"/>
      <c r="AD50" s="517"/>
      <c r="AE50" s="517"/>
      <c r="AF50" s="517"/>
      <c r="AG50" s="517"/>
      <c r="AH50" s="517"/>
      <c r="AI50" s="517"/>
      <c r="AJ50" s="517"/>
      <c r="AK50" s="517"/>
      <c r="AL50" s="517"/>
      <c r="AM50" s="517"/>
      <c r="AN50" s="517"/>
    </row>
    <row r="51" spans="2:40">
      <c r="B51" s="251" t="str">
        <f>'R5 - Output Incentives'!B39</f>
        <v>Broad measure of customer service</v>
      </c>
      <c r="C51" s="343" t="str">
        <f>'RFPR cover'!$C$14</f>
        <v>£m 12/13</v>
      </c>
      <c r="D51" s="243">
        <f>'R5 - Output Incentives'!D39</f>
        <v>4.5018990000000008</v>
      </c>
      <c r="E51" s="182">
        <f>'R5 - Output Incentives'!E39</f>
        <v>4.4062380000000001</v>
      </c>
      <c r="F51" s="182">
        <f>'R5 - Output Incentives'!F39</f>
        <v>4.4580230199890138</v>
      </c>
      <c r="G51" s="182">
        <f>'R5 - Output Incentives'!G39</f>
        <v>4.558939200000002</v>
      </c>
      <c r="H51" s="182">
        <f>'R5 - Output Incentives'!H39</f>
        <v>3.6774000000000004</v>
      </c>
      <c r="I51" s="182">
        <f>'R5 - Output Incentives'!I39</f>
        <v>3.6774000000000004</v>
      </c>
      <c r="J51" s="182">
        <f>'R5 - Output Incentives'!J39</f>
        <v>3.1651851206067936</v>
      </c>
      <c r="K51" s="183">
        <f>'R5 - Output Incentives'!K39</f>
        <v>3.3959419633507828</v>
      </c>
      <c r="M51" s="96">
        <f>SUM(D51:INDEX(D51:K51,0,MATCH('RFPR cover'!$C$7,$D$6:$K$6,0)))</f>
        <v>31.841026303946588</v>
      </c>
      <c r="N51" s="96">
        <f t="shared" si="15"/>
        <v>31.841026303946588</v>
      </c>
      <c r="AB51" s="517"/>
      <c r="AC51" s="517"/>
      <c r="AD51" s="517"/>
      <c r="AE51" s="517"/>
      <c r="AF51" s="517"/>
      <c r="AG51" s="517"/>
      <c r="AH51" s="517"/>
      <c r="AI51" s="517"/>
      <c r="AJ51" s="517"/>
      <c r="AK51" s="517"/>
      <c r="AL51" s="517"/>
      <c r="AM51" s="517"/>
      <c r="AN51" s="517"/>
    </row>
    <row r="52" spans="2:40">
      <c r="B52" s="251" t="str">
        <f>'R5 - Output Incentives'!B40</f>
        <v>Interruptions-related quality of service</v>
      </c>
      <c r="C52" s="343" t="str">
        <f>'RFPR cover'!$C$14</f>
        <v>£m 12/13</v>
      </c>
      <c r="D52" s="243">
        <f>'R5 - Output Incentives'!D40</f>
        <v>13.851000000000003</v>
      </c>
      <c r="E52" s="182">
        <f>'R5 - Output Incentives'!E40</f>
        <v>13.851000000000003</v>
      </c>
      <c r="F52" s="182">
        <f>'R5 - Output Incentives'!F40</f>
        <v>11.471620891991474</v>
      </c>
      <c r="G52" s="182">
        <f>'R5 - Output Incentives'!G40</f>
        <v>13.611499999999996</v>
      </c>
      <c r="H52" s="182">
        <f>'R5 - Output Incentives'!H40</f>
        <v>13.789468996303587</v>
      </c>
      <c r="I52" s="182">
        <f>'R5 - Output Incentives'!I40</f>
        <v>12.296742689189177</v>
      </c>
      <c r="J52" s="182">
        <f>'R5 - Output Incentives'!J40</f>
        <v>12.075324074074075</v>
      </c>
      <c r="K52" s="183">
        <f>'R5 - Output Incentives'!K40</f>
        <v>12.825000000000001</v>
      </c>
      <c r="M52" s="96">
        <f>SUM(D52:INDEX(D52:K52,0,MATCH('RFPR cover'!$C$7,$D$6:$K$6,0)))</f>
        <v>103.7716566515583</v>
      </c>
      <c r="N52" s="96">
        <f t="shared" si="15"/>
        <v>103.7716566515583</v>
      </c>
      <c r="AB52" s="517"/>
      <c r="AC52" s="517"/>
      <c r="AD52" s="517"/>
      <c r="AE52" s="517"/>
      <c r="AF52" s="517"/>
      <c r="AG52" s="517"/>
      <c r="AH52" s="517"/>
      <c r="AI52" s="517"/>
      <c r="AJ52" s="517"/>
      <c r="AK52" s="517"/>
      <c r="AL52" s="517"/>
      <c r="AM52" s="517"/>
      <c r="AN52" s="517"/>
    </row>
    <row r="53" spans="2:40">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c r="AB53" s="517"/>
      <c r="AC53" s="517"/>
      <c r="AD53" s="517"/>
      <c r="AE53" s="517"/>
      <c r="AF53" s="517"/>
      <c r="AG53" s="517"/>
      <c r="AH53" s="517"/>
      <c r="AI53" s="517"/>
      <c r="AJ53" s="517"/>
      <c r="AK53" s="517"/>
      <c r="AL53" s="517"/>
      <c r="AM53" s="517"/>
      <c r="AN53" s="517"/>
    </row>
    <row r="54" spans="2:40">
      <c r="B54" s="251" t="str">
        <f>'R5 - Output Incentives'!B42</f>
        <v>Time to Connect Incentive</v>
      </c>
      <c r="C54" s="343" t="str">
        <f>'RFPR cover'!$C$14</f>
        <v>£m 12/13</v>
      </c>
      <c r="D54" s="243">
        <f>'R5 - Output Incentives'!D42</f>
        <v>1.2502350000000004</v>
      </c>
      <c r="E54" s="182">
        <f>'R5 - Output Incentives'!E42</f>
        <v>1.0649301063079839</v>
      </c>
      <c r="F54" s="182">
        <f>'R5 - Output Incentives'!F42</f>
        <v>1.2960000000000003</v>
      </c>
      <c r="G54" s="182">
        <f>'R5 - Output Incentives'!G42</f>
        <v>1.2960000000000003</v>
      </c>
      <c r="H54" s="182">
        <f>'R5 - Output Incentives'!H42</f>
        <v>1.285217046620726</v>
      </c>
      <c r="I54" s="182">
        <f>'R5 - Output Incentives'!I42</f>
        <v>1.0901351211347345</v>
      </c>
      <c r="J54" s="182">
        <f>'R5 - Output Incentives'!J42</f>
        <v>0.98998708718032846</v>
      </c>
      <c r="K54" s="183">
        <f>'R5 - Output Incentives'!K42</f>
        <v>1.0781151358863825</v>
      </c>
      <c r="M54" s="96">
        <f>SUM(D54:INDEX(D54:K54,0,MATCH('RFPR cover'!$C$7,$D$6:$K$6,0)))</f>
        <v>9.3506194971301575</v>
      </c>
      <c r="N54" s="96">
        <f t="shared" si="15"/>
        <v>9.3506194971301575</v>
      </c>
      <c r="AB54" s="517"/>
      <c r="AC54" s="517"/>
      <c r="AD54" s="517"/>
      <c r="AE54" s="517"/>
      <c r="AF54" s="517"/>
      <c r="AG54" s="517"/>
      <c r="AH54" s="517"/>
      <c r="AI54" s="517"/>
      <c r="AJ54" s="517"/>
      <c r="AK54" s="517"/>
      <c r="AL54" s="517"/>
      <c r="AM54" s="517"/>
      <c r="AN54" s="517"/>
    </row>
    <row r="55" spans="2:40">
      <c r="B55" s="251" t="str">
        <f>'R5 - Output Incentives'!B43</f>
        <v>Losses discretionary reward scheme</v>
      </c>
      <c r="C55" s="343" t="str">
        <f>'RFPR cover'!$C$14</f>
        <v>£m 12/13</v>
      </c>
      <c r="D55" s="243">
        <f>'R5 - Output Incentives'!D43</f>
        <v>0</v>
      </c>
      <c r="E55" s="182">
        <f>'R5 - Output Incentives'!E43</f>
        <v>3.2400000000000005E-2</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3.2400000000000005E-2</v>
      </c>
      <c r="N55" s="96">
        <f t="shared" si="15"/>
        <v>3.2400000000000005E-2</v>
      </c>
      <c r="AB55" s="517"/>
      <c r="AC55" s="517"/>
      <c r="AD55" s="517"/>
      <c r="AE55" s="517"/>
      <c r="AF55" s="517"/>
      <c r="AG55" s="517"/>
      <c r="AH55" s="517"/>
      <c r="AI55" s="517"/>
      <c r="AJ55" s="517"/>
      <c r="AK55" s="517"/>
      <c r="AL55" s="517"/>
      <c r="AM55" s="517"/>
      <c r="AN55" s="517"/>
    </row>
    <row r="56" spans="2:40">
      <c r="B56" s="248" t="s">
        <v>490</v>
      </c>
      <c r="C56" s="343" t="str">
        <f>'RFPR cover'!$C$14</f>
        <v>£m 12/13</v>
      </c>
      <c r="D56" s="243">
        <f>-'R6 - Innovation'!D28</f>
        <v>-5.3635956591971734E-2</v>
      </c>
      <c r="E56" s="182">
        <f>-'R6 - Innovation'!E28</f>
        <v>1.270120729737124</v>
      </c>
      <c r="F56" s="182">
        <f>-'R6 - Innovation'!F28</f>
        <v>0.20029123197578827</v>
      </c>
      <c r="G56" s="182">
        <f>-'R6 - Innovation'!G28</f>
        <v>-0.21265310280683916</v>
      </c>
      <c r="H56" s="182">
        <f>-'R6 - Innovation'!H28</f>
        <v>-0.26965711876638626</v>
      </c>
      <c r="I56" s="182">
        <f>-'R6 - Innovation'!I28</f>
        <v>-0.45527905178860972</v>
      </c>
      <c r="J56" s="182">
        <f>-'R6 - Innovation'!J28</f>
        <v>-0.22962372645087059</v>
      </c>
      <c r="K56" s="183">
        <f>-'R6 - Innovation'!K28</f>
        <v>-0.19853105487490644</v>
      </c>
      <c r="M56" s="96">
        <f>SUM(D56:INDEX(D56:K56,0,MATCH('RFPR cover'!$C$7,$D$6:$K$6,0)))</f>
        <v>5.1031950433328283E-2</v>
      </c>
      <c r="N56" s="96">
        <f t="shared" si="15"/>
        <v>5.1031950433328283E-2</v>
      </c>
      <c r="AB56" s="517"/>
      <c r="AC56" s="517"/>
      <c r="AD56" s="517"/>
      <c r="AE56" s="517"/>
      <c r="AF56" s="517"/>
      <c r="AG56" s="517"/>
      <c r="AH56" s="517"/>
      <c r="AI56" s="517"/>
      <c r="AJ56" s="517"/>
      <c r="AK56" s="517"/>
      <c r="AL56" s="517"/>
      <c r="AM56" s="517"/>
      <c r="AN56" s="517"/>
    </row>
    <row r="57" spans="2:40">
      <c r="B57" s="248" t="s">
        <v>35</v>
      </c>
      <c r="C57" s="343" t="str">
        <f>'RFPR cover'!$C$14</f>
        <v>£m 12/13</v>
      </c>
      <c r="D57" s="244">
        <f>-'R13 - Other Activities '!D8</f>
        <v>-2.8670677978514695E-4</v>
      </c>
      <c r="E57" s="244">
        <f>-'R13 - Other Activities '!E8</f>
        <v>-1.1079957130781367E-4</v>
      </c>
      <c r="F57" s="244">
        <f>-'R13 - Other Activities '!F8</f>
        <v>-4.3255216290540327E-5</v>
      </c>
      <c r="G57" s="244">
        <f>-'R13 - Other Activities '!G8</f>
        <v>0</v>
      </c>
      <c r="H57" s="244">
        <f>-'R13 - Other Activities '!H8</f>
        <v>-9.4817223895720514E-3</v>
      </c>
      <c r="I57" s="244">
        <f>-'R13 - Other Activities '!I8</f>
        <v>-2.1323298118075787E-3</v>
      </c>
      <c r="J57" s="244">
        <f>-'R13 - Other Activities '!J8</f>
        <v>-2.394953480904396</v>
      </c>
      <c r="K57" s="244">
        <f>-'R13 - Other Activities '!K8</f>
        <v>-6.9125004982674536E-3</v>
      </c>
      <c r="M57" s="96">
        <f>SUM(D57:INDEX(D57:K57,0,MATCH('RFPR cover'!$C$7,$D$6:$K$6,0)))</f>
        <v>-2.4139207951714265</v>
      </c>
      <c r="N57" s="96">
        <f t="shared" si="15"/>
        <v>-2.4139207951714265</v>
      </c>
      <c r="AB57" s="517"/>
      <c r="AC57" s="517"/>
      <c r="AD57" s="517"/>
      <c r="AE57" s="517"/>
      <c r="AF57" s="517"/>
      <c r="AG57" s="517"/>
      <c r="AH57" s="517"/>
      <c r="AI57" s="517"/>
      <c r="AJ57" s="517"/>
      <c r="AK57" s="517"/>
      <c r="AL57" s="517"/>
      <c r="AM57" s="517"/>
      <c r="AN57" s="517"/>
    </row>
    <row r="58" spans="2:40">
      <c r="B58" s="249" t="s">
        <v>103</v>
      </c>
      <c r="C58" s="343" t="str">
        <f>'RFPR cover'!$C$14</f>
        <v>£m 12/13</v>
      </c>
      <c r="D58" s="245">
        <f t="shared" ref="D58:K58" si="16">SUM(D48:D57)</f>
        <v>64.631610772587209</v>
      </c>
      <c r="E58" s="144">
        <f t="shared" si="16"/>
        <v>69.160063616615702</v>
      </c>
      <c r="F58" s="144">
        <f t="shared" si="16"/>
        <v>46.143803823274034</v>
      </c>
      <c r="G58" s="144">
        <f t="shared" si="16"/>
        <v>85.353543904277501</v>
      </c>
      <c r="H58" s="144">
        <f t="shared" si="16"/>
        <v>75.590228262679275</v>
      </c>
      <c r="I58" s="144">
        <f t="shared" si="16"/>
        <v>72.825448849544955</v>
      </c>
      <c r="J58" s="144">
        <f t="shared" si="16"/>
        <v>84.392208264615135</v>
      </c>
      <c r="K58" s="145">
        <f t="shared" si="16"/>
        <v>73.671547381292569</v>
      </c>
      <c r="M58" s="143">
        <f>SUM(M48:M57)</f>
        <v>571.7684548748864</v>
      </c>
      <c r="N58" s="145">
        <f>SUM(N48:N57)</f>
        <v>571.7684548748864</v>
      </c>
      <c r="AB58" s="517"/>
      <c r="AC58" s="517"/>
      <c r="AD58" s="517"/>
      <c r="AE58" s="517"/>
      <c r="AF58" s="517"/>
      <c r="AG58" s="517"/>
      <c r="AH58" s="517"/>
      <c r="AI58" s="517"/>
      <c r="AJ58" s="517"/>
      <c r="AK58" s="517"/>
      <c r="AL58" s="517"/>
      <c r="AM58" s="517"/>
      <c r="AN58" s="517"/>
    </row>
    <row r="59" spans="2:40">
      <c r="B59" s="248" t="s">
        <v>429</v>
      </c>
      <c r="C59" s="343" t="str">
        <f>'RFPR cover'!$C$14</f>
        <v>£m 12/13</v>
      </c>
      <c r="D59" s="243">
        <f>'R7 - Financing'!D88+'R10 - Tax'!D89</f>
        <v>-11.427523869236046</v>
      </c>
      <c r="E59" s="243">
        <f>'R7 - Financing'!E88+'R10 - Tax'!E89</f>
        <v>-2.9032473123131615</v>
      </c>
      <c r="F59" s="243">
        <f>'R7 - Financing'!F88+'R10 - Tax'!F89</f>
        <v>6.1269715058638177</v>
      </c>
      <c r="G59" s="243">
        <f>'R7 - Financing'!G88+'R10 - Tax'!G89</f>
        <v>2.402761202728862E-2</v>
      </c>
      <c r="H59" s="243">
        <f>'R7 - Financing'!H88+'R10 - Tax'!H89</f>
        <v>-7.3856968831797447</v>
      </c>
      <c r="I59" s="243">
        <f>'R7 - Financing'!I88+'R10 - Tax'!I89</f>
        <v>-23.459525961566033</v>
      </c>
      <c r="J59" s="243">
        <f>'R7 - Financing'!J88+'R10 - Tax'!J89</f>
        <v>7.6193968560582599</v>
      </c>
      <c r="K59" s="243">
        <f>'R7 - Financing'!K88+'R10 - Tax'!K89</f>
        <v>74.045823655523705</v>
      </c>
      <c r="M59" s="96">
        <f>SUM(D59:INDEX(D59:K59,0,MATCH('RFPR cover'!$C$7,$D$6:$K$6,0)))</f>
        <v>42.640225603178081</v>
      </c>
      <c r="N59" s="96">
        <f>SUM(D59:K59)</f>
        <v>42.640225603178081</v>
      </c>
      <c r="AB59" s="517"/>
      <c r="AC59" s="517"/>
      <c r="AD59" s="517"/>
      <c r="AE59" s="517"/>
      <c r="AF59" s="517"/>
      <c r="AG59" s="517"/>
      <c r="AH59" s="517"/>
      <c r="AI59" s="517"/>
      <c r="AJ59" s="517"/>
      <c r="AK59" s="517"/>
      <c r="AL59" s="517"/>
      <c r="AM59" s="517"/>
      <c r="AN59" s="517"/>
    </row>
    <row r="60" spans="2:40">
      <c r="B60" s="248" t="s">
        <v>424</v>
      </c>
      <c r="C60" s="343" t="str">
        <f>'RFPR cover'!$C$14</f>
        <v>£m 12/13</v>
      </c>
      <c r="D60" s="243">
        <f>'R7 - Financing'!D90+'R10 - Tax'!D90</f>
        <v>1.0119644742663794</v>
      </c>
      <c r="E60" s="243">
        <f>'R7 - Financing'!E90+'R10 - Tax'!E90</f>
        <v>0.44237138338378013</v>
      </c>
      <c r="F60" s="243">
        <f>'R7 - Financing'!F90+'R10 - Tax'!F90</f>
        <v>0.44336853507446961</v>
      </c>
      <c r="G60" s="243">
        <f>'R7 - Financing'!G90+'R10 - Tax'!G90</f>
        <v>1.3266474803548847</v>
      </c>
      <c r="H60" s="243">
        <f>'R7 - Financing'!H90+'R10 - Tax'!H90</f>
        <v>2.1379054317777992</v>
      </c>
      <c r="I60" s="243">
        <f>'R7 - Financing'!I90+'R10 - Tax'!I90</f>
        <v>2.7986174844588136</v>
      </c>
      <c r="J60" s="243">
        <f>'R7 - Financing'!J90+'R10 - Tax'!J90</f>
        <v>0.12003650449893488</v>
      </c>
      <c r="K60" s="243">
        <f>'R7 - Financing'!K90+'R10 - Tax'!K90</f>
        <v>-13.651265903009831</v>
      </c>
      <c r="M60" s="96">
        <f>SUM(D60:INDEX(D60:K60,0,MATCH('RFPR cover'!$C$7,$D$6:$K$6,0)))</f>
        <v>-5.3703546091947683</v>
      </c>
      <c r="N60" s="96">
        <f>SUM(D60:K60)</f>
        <v>-5.3703546091947683</v>
      </c>
      <c r="AB60" s="517"/>
      <c r="AC60" s="517"/>
      <c r="AD60" s="517"/>
      <c r="AE60" s="517"/>
      <c r="AF60" s="517"/>
      <c r="AG60" s="517"/>
      <c r="AH60" s="517"/>
      <c r="AI60" s="517"/>
      <c r="AJ60" s="517"/>
      <c r="AK60" s="517"/>
      <c r="AL60" s="517"/>
      <c r="AM60" s="517"/>
      <c r="AN60" s="517"/>
    </row>
    <row r="61" spans="2:40">
      <c r="B61" s="248" t="s">
        <v>430</v>
      </c>
      <c r="C61" s="343" t="str">
        <f>'RFPR cover'!$C$14</f>
        <v>£m 12/13</v>
      </c>
      <c r="D61" s="243">
        <f>'R10 - Tax'!D82-'R10 - Tax'!D89</f>
        <v>-5.8507351778451948</v>
      </c>
      <c r="E61" s="243">
        <f>'R10 - Tax'!E82-'R10 - Tax'!E89</f>
        <v>3.1045533013479396</v>
      </c>
      <c r="F61" s="243">
        <f>'R10 - Tax'!F82-'R10 - Tax'!F89</f>
        <v>-0.94046247790395476</v>
      </c>
      <c r="G61" s="243">
        <f>'R10 - Tax'!G82-'R10 - Tax'!G89</f>
        <v>-2.0146059462772161</v>
      </c>
      <c r="H61" s="243">
        <f>'R10 - Tax'!H82-'R10 - Tax'!H89</f>
        <v>-6.6497520624881465</v>
      </c>
      <c r="I61" s="243">
        <f>'R10 - Tax'!I82-'R10 - Tax'!I89</f>
        <v>-8.6233445703494027</v>
      </c>
      <c r="J61" s="243">
        <f>'R10 - Tax'!J82-'R10 - Tax'!J89</f>
        <v>3.5806891299142398</v>
      </c>
      <c r="K61" s="243">
        <f>'R10 - Tax'!K82-'R10 - Tax'!K89</f>
        <v>12.476219854785391</v>
      </c>
      <c r="M61" s="96">
        <f>SUM(D61:INDEX(D61:K61,0,MATCH('RFPR cover'!$C$7,$D$6:$K$6,0)))</f>
        <v>-4.9174379488163424</v>
      </c>
      <c r="N61" s="96">
        <f>SUM(D61:K61)</f>
        <v>-4.9174379488163424</v>
      </c>
      <c r="AB61" s="517"/>
      <c r="AC61" s="517"/>
      <c r="AD61" s="517"/>
      <c r="AE61" s="517"/>
      <c r="AF61" s="517"/>
      <c r="AG61" s="517"/>
      <c r="AH61" s="517"/>
      <c r="AI61" s="517"/>
      <c r="AJ61" s="517"/>
      <c r="AK61" s="517"/>
      <c r="AL61" s="517"/>
      <c r="AM61" s="517"/>
      <c r="AN61" s="517"/>
    </row>
    <row r="62" spans="2:40">
      <c r="B62" s="248" t="s">
        <v>425</v>
      </c>
      <c r="C62" s="343" t="str">
        <f>'RFPR cover'!$C$14</f>
        <v>£m 12/13</v>
      </c>
      <c r="D62" s="243">
        <f>'R10 - Tax'!D84-'R10 - Tax'!D90</f>
        <v>-1.3322676295501878E-15</v>
      </c>
      <c r="E62" s="243">
        <f>'R10 - Tax'!E84-'R10 - Tax'!E90</f>
        <v>2.2204460492503131E-16</v>
      </c>
      <c r="F62" s="243">
        <f>'R10 - Tax'!F84-'R10 - Tax'!F90</f>
        <v>-1.7763568394002505E-15</v>
      </c>
      <c r="G62" s="243">
        <f>'R10 - Tax'!G84-'R10 - Tax'!G90</f>
        <v>2.1094237467877974E-15</v>
      </c>
      <c r="H62" s="243">
        <f>'R10 - Tax'!H84-'R10 - Tax'!H90</f>
        <v>0</v>
      </c>
      <c r="I62" s="243">
        <f>'R10 - Tax'!I84-'R10 - Tax'!I90</f>
        <v>2.6645352591003757E-15</v>
      </c>
      <c r="J62" s="243">
        <f>'R10 - Tax'!J84-'R10 - Tax'!J90</f>
        <v>8.8817841970012523E-16</v>
      </c>
      <c r="K62" s="243">
        <f>'R10 - Tax'!K84-'R10 - Tax'!K90</f>
        <v>0</v>
      </c>
      <c r="M62" s="96">
        <f>SUM(D62:INDEX(D62:K62,0,MATCH('RFPR cover'!$C$7,$D$6:$K$6,0)))</f>
        <v>2.7755575615628914E-15</v>
      </c>
      <c r="N62" s="96">
        <f>SUM(D62:K62)</f>
        <v>2.7755575615628914E-15</v>
      </c>
      <c r="AB62" s="517"/>
      <c r="AC62" s="517"/>
      <c r="AD62" s="517"/>
      <c r="AE62" s="517"/>
      <c r="AF62" s="517"/>
      <c r="AG62" s="517"/>
      <c r="AH62" s="517"/>
      <c r="AI62" s="517"/>
      <c r="AJ62" s="517"/>
      <c r="AK62" s="517"/>
      <c r="AL62" s="517"/>
      <c r="AM62" s="517"/>
      <c r="AN62" s="517"/>
    </row>
    <row r="63" spans="2:40">
      <c r="B63" s="249" t="s">
        <v>104</v>
      </c>
      <c r="C63" s="343" t="str">
        <f>'RFPR cover'!$C$14</f>
        <v>£m 12/13</v>
      </c>
      <c r="D63" s="246">
        <f>SUM(D58:D62)</f>
        <v>48.365316199772344</v>
      </c>
      <c r="E63" s="147">
        <f t="shared" ref="E63:K63" si="17">SUM(E58:E62)</f>
        <v>69.803740989034267</v>
      </c>
      <c r="F63" s="147">
        <f t="shared" si="17"/>
        <v>51.773681386308361</v>
      </c>
      <c r="G63" s="147">
        <f t="shared" si="17"/>
        <v>84.689613050382448</v>
      </c>
      <c r="H63" s="147">
        <f t="shared" si="17"/>
        <v>63.692684748789176</v>
      </c>
      <c r="I63" s="147">
        <f t="shared" si="17"/>
        <v>43.541195802088339</v>
      </c>
      <c r="J63" s="147">
        <f t="shared" si="17"/>
        <v>95.712330755086569</v>
      </c>
      <c r="K63" s="148">
        <f t="shared" si="17"/>
        <v>146.54232498859184</v>
      </c>
      <c r="M63" s="146">
        <f>SUM(M58:M62)</f>
        <v>604.12088792005341</v>
      </c>
      <c r="N63" s="148">
        <f>SUM(N58:N62)</f>
        <v>604.12088792005341</v>
      </c>
      <c r="AB63" s="517"/>
      <c r="AC63" s="517"/>
      <c r="AD63" s="517"/>
      <c r="AE63" s="517"/>
      <c r="AF63" s="517"/>
      <c r="AG63" s="517"/>
      <c r="AH63" s="517"/>
      <c r="AI63" s="517"/>
      <c r="AJ63" s="517"/>
      <c r="AK63" s="517"/>
      <c r="AL63" s="517"/>
      <c r="AM63" s="517"/>
      <c r="AN63" s="517"/>
    </row>
    <row r="64" spans="2:40">
      <c r="B64" s="248"/>
      <c r="D64" s="421"/>
      <c r="AB64" s="517"/>
      <c r="AC64" s="517"/>
      <c r="AD64" s="517"/>
      <c r="AE64" s="517"/>
      <c r="AF64" s="517"/>
      <c r="AG64" s="517"/>
      <c r="AH64" s="517"/>
      <c r="AI64" s="517"/>
      <c r="AJ64" s="517"/>
      <c r="AK64" s="517"/>
      <c r="AL64" s="517"/>
      <c r="AM64" s="517"/>
      <c r="AN64" s="517"/>
    </row>
    <row r="65" spans="2:40">
      <c r="B65" s="248" t="s">
        <v>232</v>
      </c>
      <c r="C65" s="343" t="str">
        <f>'RFPR cover'!$C$14</f>
        <v>£m 12/13</v>
      </c>
      <c r="D65" s="242">
        <f>'R9 - RAV'!D46</f>
        <v>672.98083939569608</v>
      </c>
      <c r="E65" s="180">
        <f>'R9 - RAV'!E46</f>
        <v>693.40621358066505</v>
      </c>
      <c r="F65" s="180">
        <f>'R9 - RAV'!F46</f>
        <v>706.04624064528059</v>
      </c>
      <c r="G65" s="180">
        <f>'R9 - RAV'!G46</f>
        <v>712.80862849281357</v>
      </c>
      <c r="H65" s="180">
        <f>'R9 - RAV'!H46</f>
        <v>720.82444565250648</v>
      </c>
      <c r="I65" s="180">
        <f>'R9 - RAV'!I46</f>
        <v>730.9533190995221</v>
      </c>
      <c r="J65" s="180">
        <f>'R9 - RAV'!J46</f>
        <v>746.05691376741879</v>
      </c>
      <c r="K65" s="181">
        <f>'R9 - RAV'!K46</f>
        <v>765.52731538585158</v>
      </c>
      <c r="AB65" s="517"/>
      <c r="AC65" s="517"/>
      <c r="AD65" s="517"/>
      <c r="AE65" s="517"/>
      <c r="AF65" s="517"/>
      <c r="AG65" s="517"/>
      <c r="AH65" s="517"/>
      <c r="AI65" s="517"/>
      <c r="AJ65" s="517"/>
      <c r="AK65" s="517"/>
      <c r="AL65" s="517"/>
      <c r="AM65" s="517"/>
      <c r="AN65" s="517"/>
    </row>
    <row r="66" spans="2:40">
      <c r="B66" s="248" t="s">
        <v>107</v>
      </c>
      <c r="C66" s="343" t="str">
        <f>'RFPR cover'!$C$14</f>
        <v>£m 12/13</v>
      </c>
      <c r="D66" s="247">
        <f>'R8 - Net Debt'!D62</f>
        <v>707.23441434594952</v>
      </c>
      <c r="E66" s="184">
        <f>'R8 - Net Debt'!E62</f>
        <v>714.18018349401086</v>
      </c>
      <c r="F66" s="184">
        <f>'R8 - Net Debt'!F62</f>
        <v>739.35891354395892</v>
      </c>
      <c r="G66" s="184">
        <f>'R8 - Net Debt'!G62</f>
        <v>798.65994632486718</v>
      </c>
      <c r="H66" s="184">
        <f>'R8 - Net Debt'!H62</f>
        <v>837.55309161243383</v>
      </c>
      <c r="I66" s="184">
        <f>'R8 - Net Debt'!I62</f>
        <v>838.13645860653924</v>
      </c>
      <c r="J66" s="184">
        <f>'R8 - Net Debt'!J62</f>
        <v>928.82993047689035</v>
      </c>
      <c r="K66" s="185">
        <f>'R8 - Net Debt'!K62</f>
        <v>1044.5583363222968</v>
      </c>
      <c r="AB66" s="517"/>
      <c r="AC66" s="517"/>
      <c r="AD66" s="517"/>
      <c r="AE66" s="517"/>
      <c r="AF66" s="517"/>
      <c r="AG66" s="517"/>
      <c r="AH66" s="517"/>
      <c r="AI66" s="517"/>
      <c r="AJ66" s="517"/>
      <c r="AK66" s="517"/>
      <c r="AL66" s="517"/>
      <c r="AM66" s="517"/>
      <c r="AN66" s="517"/>
    </row>
  </sheetData>
  <conditionalFormatting sqref="D5:K6">
    <cfRule type="expression" dxfId="102"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showGridLines="0" zoomScale="60" zoomScaleNormal="60" workbookViewId="0">
      <pane ySplit="6" topLeftCell="A7" activePane="bottomLeft" state="frozen"/>
      <selection activeCell="D26" sqref="D26"/>
      <selection pane="bottomLeft" activeCell="J49" sqref="J49"/>
    </sheetView>
  </sheetViews>
  <sheetFormatPr defaultRowHeight="12.6"/>
  <cols>
    <col min="1" max="1" width="8.36328125" customWidth="1"/>
    <col min="2" max="2" width="64.36328125" style="214" customWidth="1"/>
    <col min="3" max="3" width="13.36328125" style="137" customWidth="1"/>
    <col min="4" max="11" width="11.08984375" customWidth="1"/>
    <col min="12" max="12" width="5" style="42" customWidth="1"/>
  </cols>
  <sheetData>
    <row r="1" spans="1:12" s="31" customFormat="1" ht="21">
      <c r="A1" s="891" t="s">
        <v>119</v>
      </c>
      <c r="B1" s="892"/>
      <c r="C1" s="276"/>
      <c r="D1" s="275"/>
      <c r="E1" s="275"/>
      <c r="F1" s="275"/>
      <c r="G1" s="275"/>
      <c r="H1" s="275"/>
      <c r="I1" s="275"/>
      <c r="J1" s="275"/>
      <c r="K1" s="275"/>
      <c r="L1" s="277"/>
    </row>
    <row r="2" spans="1:12" s="31" customFormat="1" ht="21">
      <c r="A2" s="880" t="str">
        <f>'RFPR cover'!C5</f>
        <v>NGED-EMID</v>
      </c>
      <c r="B2" s="893"/>
      <c r="C2" s="135"/>
      <c r="D2" s="29"/>
      <c r="E2" s="29"/>
      <c r="F2" s="29"/>
      <c r="G2" s="29"/>
      <c r="H2" s="29"/>
      <c r="I2" s="27"/>
      <c r="J2" s="27"/>
      <c r="K2" s="27"/>
      <c r="L2" s="124"/>
    </row>
    <row r="3" spans="1:12" s="31" customFormat="1" ht="21">
      <c r="A3" s="883">
        <f>'RFPR cover'!C7</f>
        <v>2023</v>
      </c>
      <c r="B3" s="894"/>
      <c r="C3" s="278"/>
      <c r="D3" s="261"/>
      <c r="E3" s="261"/>
      <c r="F3" s="261"/>
      <c r="G3" s="261"/>
      <c r="H3" s="261"/>
      <c r="I3" s="256"/>
      <c r="J3" s="256"/>
      <c r="K3" s="256"/>
      <c r="L3" s="262"/>
    </row>
    <row r="4" spans="1:12" s="35" customFormat="1" ht="12.75" customHeight="1">
      <c r="B4" s="226"/>
      <c r="C4" s="139"/>
      <c r="L4" s="58"/>
    </row>
    <row r="5" spans="1:12" s="2" customFormat="1">
      <c r="B5" s="130"/>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36"/>
      <c r="C7" s="153"/>
      <c r="D7" s="50"/>
      <c r="E7" s="50"/>
      <c r="F7" s="50"/>
      <c r="G7" s="50"/>
      <c r="H7" s="50"/>
      <c r="I7" s="50"/>
      <c r="J7" s="50"/>
      <c r="K7" s="50"/>
      <c r="L7" s="58"/>
    </row>
    <row r="8" spans="1:12" s="2" customFormat="1">
      <c r="B8" s="737" t="s">
        <v>155</v>
      </c>
      <c r="C8" s="151"/>
      <c r="D8" s="81"/>
      <c r="E8" s="81"/>
      <c r="F8" s="81"/>
      <c r="G8" s="81"/>
      <c r="H8" s="81"/>
      <c r="I8" s="81"/>
      <c r="J8" s="81"/>
      <c r="K8" s="81"/>
      <c r="L8" s="273"/>
    </row>
    <row r="9" spans="1:12" s="35" customFormat="1">
      <c r="A9" s="2"/>
      <c r="B9" s="738"/>
      <c r="C9" s="139"/>
      <c r="L9" s="58"/>
    </row>
    <row r="10" spans="1:12" s="2" customFormat="1">
      <c r="B10" s="739" t="s">
        <v>377</v>
      </c>
      <c r="C10" s="152" t="str">
        <f>'RFPR cover'!$C$14</f>
        <v>£m 12/13</v>
      </c>
      <c r="D10" s="593">
        <v>386</v>
      </c>
      <c r="E10" s="593">
        <v>398.9</v>
      </c>
      <c r="F10" s="593">
        <v>410.9</v>
      </c>
      <c r="G10" s="593">
        <v>415</v>
      </c>
      <c r="H10" s="593">
        <v>419.2</v>
      </c>
      <c r="I10" s="593">
        <v>423.3</v>
      </c>
      <c r="J10" s="593">
        <v>427.6</v>
      </c>
      <c r="K10" s="594">
        <v>431.9</v>
      </c>
      <c r="L10" s="58"/>
    </row>
    <row r="11" spans="1:12" s="2" customFormat="1">
      <c r="B11" s="739" t="s">
        <v>378</v>
      </c>
      <c r="C11" s="152" t="str">
        <f>'RFPR cover'!$C$14</f>
        <v>£m 12/13</v>
      </c>
      <c r="D11" s="593">
        <v>0</v>
      </c>
      <c r="E11" s="593">
        <v>5.9</v>
      </c>
      <c r="F11" s="593">
        <v>-0.8</v>
      </c>
      <c r="G11" s="593">
        <v>-13.5</v>
      </c>
      <c r="H11" s="593">
        <v>-11.1</v>
      </c>
      <c r="I11" s="593">
        <v>-17.399999999999999</v>
      </c>
      <c r="J11" s="593">
        <v>-17.7</v>
      </c>
      <c r="K11" s="594">
        <v>-37.9</v>
      </c>
      <c r="L11" s="58"/>
    </row>
    <row r="12" spans="1:12" s="2" customFormat="1">
      <c r="B12" s="739" t="s">
        <v>147</v>
      </c>
      <c r="C12" s="152" t="str">
        <f>'RFPR cover'!$C$14</f>
        <v>£m 12/13</v>
      </c>
      <c r="D12" s="593">
        <v>0</v>
      </c>
      <c r="E12" s="593">
        <v>0</v>
      </c>
      <c r="F12" s="593">
        <v>-8.5118543446491834</v>
      </c>
      <c r="G12" s="593">
        <v>-1.5940680100258058</v>
      </c>
      <c r="H12" s="593">
        <v>1.0296938332415961</v>
      </c>
      <c r="I12" s="593">
        <v>-0.42651291940514363</v>
      </c>
      <c r="J12" s="593">
        <v>-3.7841394984471552</v>
      </c>
      <c r="K12" s="594">
        <v>-5.2823777100929892</v>
      </c>
      <c r="L12" s="58"/>
    </row>
    <row r="13" spans="1:12" s="2" customFormat="1">
      <c r="B13" s="739" t="s">
        <v>367</v>
      </c>
      <c r="C13" s="153" t="s">
        <v>127</v>
      </c>
      <c r="D13" s="593">
        <v>1.0820000000000001</v>
      </c>
      <c r="E13" s="593">
        <v>1.087</v>
      </c>
      <c r="F13" s="593">
        <v>1.121</v>
      </c>
      <c r="G13" s="593">
        <v>1.159</v>
      </c>
      <c r="H13" s="593">
        <v>1.198</v>
      </c>
      <c r="I13" s="593">
        <v>1.2170000000000001</v>
      </c>
      <c r="J13" s="593">
        <v>1.238</v>
      </c>
      <c r="K13" s="594">
        <v>1.321</v>
      </c>
      <c r="L13" s="58"/>
    </row>
    <row r="14" spans="1:12" s="2" customFormat="1">
      <c r="B14" s="740" t="s">
        <v>196</v>
      </c>
      <c r="C14" s="267" t="s">
        <v>128</v>
      </c>
      <c r="D14" s="615">
        <f>SUM(D10:D12)*D13</f>
        <v>417.65200000000004</v>
      </c>
      <c r="E14" s="616">
        <f t="shared" ref="E14:K14" si="1">SUM(E10:E12)*E13</f>
        <v>440.01759999999996</v>
      </c>
      <c r="F14" s="616">
        <f t="shared" si="1"/>
        <v>450.18031127964821</v>
      </c>
      <c r="G14" s="616">
        <f t="shared" si="1"/>
        <v>463.49097517638012</v>
      </c>
      <c r="H14" s="616">
        <f t="shared" si="1"/>
        <v>490.13737321222339</v>
      </c>
      <c r="I14" s="616">
        <f t="shared" si="1"/>
        <v>493.46123377708403</v>
      </c>
      <c r="J14" s="616">
        <f t="shared" si="1"/>
        <v>502.77143530092246</v>
      </c>
      <c r="K14" s="617">
        <f t="shared" si="1"/>
        <v>513.49597904496716</v>
      </c>
      <c r="L14" s="58"/>
    </row>
    <row r="15" spans="1:12" s="2" customFormat="1">
      <c r="B15" s="214" t="s">
        <v>131</v>
      </c>
      <c r="C15" s="153" t="s">
        <v>128</v>
      </c>
      <c r="D15" s="597">
        <f>'R5 - Output Incentives'!D102</f>
        <v>29.162767154804989</v>
      </c>
      <c r="E15" s="598">
        <f>'R5 - Output Incentives'!E102</f>
        <v>31.766138666016118</v>
      </c>
      <c r="F15" s="599">
        <f>'R5 - Output Incentives'!F102</f>
        <v>28.245016105067137</v>
      </c>
      <c r="G15" s="599">
        <f>'R5 - Output Incentives'!G102</f>
        <v>28.631290454394698</v>
      </c>
      <c r="H15" s="599">
        <f>'R5 - Output Incentives'!H102</f>
        <v>26.185498250129932</v>
      </c>
      <c r="I15" s="599">
        <f>'R5 - Output Incentives'!I102</f>
        <v>30.223882561727248</v>
      </c>
      <c r="J15" s="599">
        <f>'R5 - Output Incentives'!J102</f>
        <v>29.686272078593952</v>
      </c>
      <c r="K15" s="600">
        <f>'R5 - Output Incentives'!K102</f>
        <v>28.286484227382889</v>
      </c>
      <c r="L15" s="58"/>
    </row>
    <row r="16" spans="1:12" s="2" customFormat="1">
      <c r="B16" s="741" t="s">
        <v>379</v>
      </c>
      <c r="C16" s="153" t="s">
        <v>128</v>
      </c>
      <c r="D16" s="593">
        <v>0</v>
      </c>
      <c r="E16" s="593">
        <v>0</v>
      </c>
      <c r="F16" s="593">
        <v>0.55494746527166616</v>
      </c>
      <c r="G16" s="593">
        <v>-1.880672094342432E-2</v>
      </c>
      <c r="H16" s="593">
        <v>-8.3295500876608894</v>
      </c>
      <c r="I16" s="593">
        <v>-18.982892156746956</v>
      </c>
      <c r="J16" s="593">
        <v>-31.082118431699893</v>
      </c>
      <c r="K16" s="596">
        <v>51.842010428418284</v>
      </c>
      <c r="L16" s="58"/>
    </row>
    <row r="17" spans="2:12" s="2" customFormat="1">
      <c r="B17" s="741" t="s">
        <v>134</v>
      </c>
      <c r="C17" s="153" t="s">
        <v>128</v>
      </c>
      <c r="D17" s="597">
        <f>'R6 - Innovation'!D12</f>
        <v>0.51183992700000003</v>
      </c>
      <c r="E17" s="598">
        <f>'R6 - Innovation'!E12</f>
        <v>1.5652139399999998</v>
      </c>
      <c r="F17" s="599">
        <f>'R6 - Innovation'!F12</f>
        <v>1.8563399999999999</v>
      </c>
      <c r="G17" s="599">
        <f>'R6 - Innovation'!G12</f>
        <v>1.2692700000000001</v>
      </c>
      <c r="H17" s="599">
        <f>'R6 - Innovation'!H12</f>
        <v>1.9027575000000003</v>
      </c>
      <c r="I17" s="599">
        <f>'R6 - Innovation'!I12</f>
        <v>1.4883416999999999</v>
      </c>
      <c r="J17" s="599">
        <f>'R6 - Innovation'!J12</f>
        <v>1.7461530000000001</v>
      </c>
      <c r="K17" s="600">
        <f>'R6 - Innovation'!K12</f>
        <v>1.5163200000000001</v>
      </c>
      <c r="L17" s="58"/>
    </row>
    <row r="18" spans="2:12" s="2" customFormat="1">
      <c r="B18" s="741" t="s">
        <v>133</v>
      </c>
      <c r="C18" s="153" t="s">
        <v>128</v>
      </c>
      <c r="D18" s="597">
        <f>'R6 - Innovation'!D17</f>
        <v>1.80788244</v>
      </c>
      <c r="E18" s="598">
        <f>'R6 - Innovation'!E17</f>
        <v>9.5952499999999996E-2</v>
      </c>
      <c r="F18" s="599">
        <f>'R6 - Innovation'!F17</f>
        <v>0.27769422999999999</v>
      </c>
      <c r="G18" s="599">
        <f>'R6 - Innovation'!G17</f>
        <v>0.75350304000000001</v>
      </c>
      <c r="H18" s="599">
        <f>'R6 - Innovation'!H17</f>
        <v>0.10352917</v>
      </c>
      <c r="I18" s="599">
        <f>'R6 - Innovation'!I17</f>
        <v>-0.27942369</v>
      </c>
      <c r="J18" s="599">
        <f>'R6 - Innovation'!J17</f>
        <v>6.1786149999999998E-2</v>
      </c>
      <c r="K18" s="600">
        <f>'R6 - Innovation'!K17</f>
        <v>-0.29018629000000001</v>
      </c>
      <c r="L18" s="58"/>
    </row>
    <row r="19" spans="2:12" s="2" customFormat="1">
      <c r="B19" s="914" t="s">
        <v>577</v>
      </c>
      <c r="C19" s="153" t="s">
        <v>128</v>
      </c>
      <c r="D19" s="593">
        <v>-12.630259182867572</v>
      </c>
      <c r="E19" s="593">
        <v>-59.670367065805735</v>
      </c>
      <c r="F19" s="593">
        <v>-13.119344342567985</v>
      </c>
      <c r="G19" s="593">
        <v>-3.2252851332263059</v>
      </c>
      <c r="H19" s="593">
        <v>0</v>
      </c>
      <c r="I19" s="593">
        <v>0</v>
      </c>
      <c r="J19" s="593">
        <v>0</v>
      </c>
      <c r="K19" s="596">
        <v>0</v>
      </c>
      <c r="L19" s="58"/>
    </row>
    <row r="20" spans="2:12" s="2" customFormat="1">
      <c r="B20" s="951" t="s">
        <v>646</v>
      </c>
      <c r="C20" s="153" t="s">
        <v>128</v>
      </c>
      <c r="D20" s="593">
        <v>0</v>
      </c>
      <c r="E20" s="593">
        <v>0</v>
      </c>
      <c r="F20" s="593">
        <v>0</v>
      </c>
      <c r="G20" s="593">
        <v>0</v>
      </c>
      <c r="H20" s="593">
        <v>0</v>
      </c>
      <c r="I20" s="593">
        <v>0</v>
      </c>
      <c r="J20" s="593">
        <v>-0.64399375278542337</v>
      </c>
      <c r="K20" s="596">
        <v>-0.6492293041790127</v>
      </c>
      <c r="L20" s="58"/>
    </row>
    <row r="21" spans="2:12" s="2" customFormat="1">
      <c r="B21" s="541" t="s">
        <v>243</v>
      </c>
      <c r="C21" s="153" t="s">
        <v>128</v>
      </c>
      <c r="D21" s="593">
        <v>0</v>
      </c>
      <c r="E21" s="593">
        <v>0</v>
      </c>
      <c r="F21" s="593">
        <v>0</v>
      </c>
      <c r="G21" s="593">
        <v>0</v>
      </c>
      <c r="H21" s="593">
        <v>0</v>
      </c>
      <c r="I21" s="593">
        <v>0</v>
      </c>
      <c r="J21" s="593">
        <v>0</v>
      </c>
      <c r="K21" s="596">
        <v>0</v>
      </c>
      <c r="L21" s="58"/>
    </row>
    <row r="22" spans="2:12" s="2" customFormat="1">
      <c r="B22" s="541" t="s">
        <v>243</v>
      </c>
      <c r="C22" s="153" t="s">
        <v>128</v>
      </c>
      <c r="D22" s="593">
        <v>0</v>
      </c>
      <c r="E22" s="593">
        <v>0</v>
      </c>
      <c r="F22" s="593">
        <v>0</v>
      </c>
      <c r="G22" s="593">
        <v>0</v>
      </c>
      <c r="H22" s="593">
        <v>0</v>
      </c>
      <c r="I22" s="593">
        <v>0</v>
      </c>
      <c r="J22" s="593">
        <v>0</v>
      </c>
      <c r="K22" s="596">
        <v>0</v>
      </c>
      <c r="L22" s="58"/>
    </row>
    <row r="23" spans="2:12" s="2" customFormat="1">
      <c r="B23" s="541" t="s">
        <v>243</v>
      </c>
      <c r="C23" s="153" t="s">
        <v>128</v>
      </c>
      <c r="D23" s="593">
        <v>0</v>
      </c>
      <c r="E23" s="593">
        <v>0</v>
      </c>
      <c r="F23" s="593">
        <v>0</v>
      </c>
      <c r="G23" s="593">
        <v>0</v>
      </c>
      <c r="H23" s="593">
        <v>0</v>
      </c>
      <c r="I23" s="593">
        <v>0</v>
      </c>
      <c r="J23" s="593">
        <v>0</v>
      </c>
      <c r="K23" s="596">
        <v>0</v>
      </c>
      <c r="L23" s="58"/>
    </row>
    <row r="24" spans="2:12" s="2" customFormat="1">
      <c r="B24" s="541" t="s">
        <v>243</v>
      </c>
      <c r="C24" s="153" t="s">
        <v>128</v>
      </c>
      <c r="D24" s="593">
        <v>0</v>
      </c>
      <c r="E24" s="593">
        <v>0</v>
      </c>
      <c r="F24" s="593">
        <v>0</v>
      </c>
      <c r="G24" s="593">
        <v>0</v>
      </c>
      <c r="H24" s="593">
        <v>0</v>
      </c>
      <c r="I24" s="593">
        <v>0</v>
      </c>
      <c r="J24" s="593">
        <v>0</v>
      </c>
      <c r="K24" s="596">
        <v>0</v>
      </c>
      <c r="L24" s="58"/>
    </row>
    <row r="25" spans="2:12" s="2" customFormat="1">
      <c r="B25" s="741" t="s">
        <v>135</v>
      </c>
      <c r="C25" s="153" t="s">
        <v>128</v>
      </c>
      <c r="D25" s="593">
        <v>0</v>
      </c>
      <c r="E25" s="593">
        <v>-61.339964342045171</v>
      </c>
      <c r="F25" s="593">
        <v>0.69239456965043011</v>
      </c>
      <c r="G25" s="593">
        <v>6.9577547031466196</v>
      </c>
      <c r="H25" s="593">
        <v>-1.2040844001186075</v>
      </c>
      <c r="I25" s="593">
        <v>-0.71250741101322446</v>
      </c>
      <c r="J25" s="593">
        <v>-9.5333295988088729</v>
      </c>
      <c r="K25" s="596">
        <v>-26.877989297739731</v>
      </c>
      <c r="L25" s="58"/>
    </row>
    <row r="26" spans="2:12" s="2" customFormat="1">
      <c r="B26" s="736" t="s">
        <v>148</v>
      </c>
      <c r="C26" s="153" t="s">
        <v>128</v>
      </c>
      <c r="D26" s="601">
        <f>SUM(D14:D24,-D25)</f>
        <v>436.50423033893748</v>
      </c>
      <c r="E26" s="602">
        <f t="shared" ref="E26:K26" si="2">SUM(E14:E24,-E25)</f>
        <v>475.11450238225547</v>
      </c>
      <c r="F26" s="602">
        <f t="shared" si="2"/>
        <v>467.30257016776852</v>
      </c>
      <c r="G26" s="602">
        <f t="shared" si="2"/>
        <v>483.94319211345845</v>
      </c>
      <c r="H26" s="602">
        <f t="shared" si="2"/>
        <v>511.20369244481105</v>
      </c>
      <c r="I26" s="602">
        <f t="shared" si="2"/>
        <v>506.62364960307758</v>
      </c>
      <c r="J26" s="602">
        <f t="shared" si="2"/>
        <v>512.07286394383993</v>
      </c>
      <c r="K26" s="603">
        <f t="shared" si="2"/>
        <v>621.07936740432899</v>
      </c>
      <c r="L26" s="58"/>
    </row>
    <row r="27" spans="2:12" s="2" customFormat="1">
      <c r="B27" s="226"/>
      <c r="C27" s="139"/>
      <c r="D27" s="55"/>
      <c r="E27" s="55"/>
      <c r="F27" s="55"/>
      <c r="G27" s="61"/>
      <c r="H27" s="61"/>
      <c r="I27" s="61"/>
      <c r="J27" s="61"/>
      <c r="K27" s="61"/>
      <c r="L27" s="58"/>
    </row>
    <row r="28" spans="2:12" s="2" customFormat="1">
      <c r="B28" s="226" t="s">
        <v>150</v>
      </c>
      <c r="C28" s="139"/>
      <c r="D28" s="601">
        <f>IF(ISBLANK(D33),0,D33-D26)</f>
        <v>0.66658231106259791</v>
      </c>
      <c r="E28" s="602">
        <f t="shared" ref="E28:K28" si="3">IF(ISBLANK(E33),0,E33-E26)</f>
        <v>6.7080563377444378</v>
      </c>
      <c r="F28" s="602">
        <f t="shared" si="3"/>
        <v>-1.1571212577684946</v>
      </c>
      <c r="G28" s="602">
        <f t="shared" si="3"/>
        <v>-0.67115808345846517</v>
      </c>
      <c r="H28" s="602">
        <f t="shared" si="3"/>
        <v>-9.1737146748110945</v>
      </c>
      <c r="I28" s="602">
        <f t="shared" si="3"/>
        <v>-26.007472786164385</v>
      </c>
      <c r="J28" s="602">
        <f t="shared" si="3"/>
        <v>16.778644426159985</v>
      </c>
      <c r="K28" s="603">
        <f t="shared" si="3"/>
        <v>1.999772205670979</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37" t="s">
        <v>193</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38" t="s">
        <v>149</v>
      </c>
      <c r="C33" s="139"/>
      <c r="D33" s="593">
        <v>437.17081265000007</v>
      </c>
      <c r="E33" s="593">
        <v>481.8225587199999</v>
      </c>
      <c r="F33" s="593">
        <v>466.14544891000003</v>
      </c>
      <c r="G33" s="593">
        <v>483.27203402999999</v>
      </c>
      <c r="H33" s="593">
        <v>502.02997776999996</v>
      </c>
      <c r="I33" s="593">
        <v>480.6161768169132</v>
      </c>
      <c r="J33" s="593">
        <v>528.85150836999992</v>
      </c>
      <c r="K33" s="624">
        <v>623.07913960999997</v>
      </c>
      <c r="L33" s="58"/>
    </row>
    <row r="34" spans="2:12" s="2" customFormat="1">
      <c r="B34" s="130"/>
      <c r="C34" s="137"/>
      <c r="L34" s="58"/>
    </row>
    <row r="35" spans="2:12" s="2" customFormat="1">
      <c r="B35" s="394" t="s">
        <v>136</v>
      </c>
      <c r="C35" s="137"/>
      <c r="L35" s="58"/>
    </row>
    <row r="36" spans="2:12" s="2" customFormat="1">
      <c r="B36" s="865" t="s">
        <v>137</v>
      </c>
      <c r="C36" s="153" t="s">
        <v>128</v>
      </c>
      <c r="D36" s="593">
        <v>0</v>
      </c>
      <c r="E36" s="593">
        <v>0</v>
      </c>
      <c r="F36" s="593">
        <v>0</v>
      </c>
      <c r="G36" s="593">
        <v>0</v>
      </c>
      <c r="H36" s="593">
        <v>0</v>
      </c>
      <c r="I36" s="593">
        <v>0</v>
      </c>
      <c r="J36" s="593">
        <v>0</v>
      </c>
      <c r="K36" s="604">
        <v>0</v>
      </c>
      <c r="L36" s="58"/>
    </row>
    <row r="37" spans="2:12" s="2" customFormat="1">
      <c r="B37" s="865" t="s">
        <v>138</v>
      </c>
      <c r="C37" s="153" t="s">
        <v>128</v>
      </c>
      <c r="D37" s="593">
        <v>4.0959000000000003</v>
      </c>
      <c r="E37" s="593">
        <v>3.5318000000000001</v>
      </c>
      <c r="F37" s="593">
        <v>3.1410999999999998</v>
      </c>
      <c r="G37" s="593">
        <v>2.9316999999999998</v>
      </c>
      <c r="H37" s="593">
        <v>2.6173306320000003</v>
      </c>
      <c r="I37" s="593">
        <v>2.4113542590000003</v>
      </c>
      <c r="J37" s="593">
        <v>2.198</v>
      </c>
      <c r="K37" s="605">
        <v>1.8769</v>
      </c>
      <c r="L37" s="58"/>
    </row>
    <row r="38" spans="2:12" s="2" customFormat="1">
      <c r="B38" s="865" t="s">
        <v>139</v>
      </c>
      <c r="C38" s="153" t="s">
        <v>128</v>
      </c>
      <c r="D38" s="593">
        <v>5.8376000000000001</v>
      </c>
      <c r="E38" s="593">
        <v>64.88388587451</v>
      </c>
      <c r="F38" s="593">
        <v>65.320799999999991</v>
      </c>
      <c r="G38" s="593">
        <v>61.652799999999999</v>
      </c>
      <c r="H38" s="593">
        <v>63.016924024000005</v>
      </c>
      <c r="I38" s="593">
        <v>66.073799999999991</v>
      </c>
      <c r="J38" s="593">
        <v>77.18889999999999</v>
      </c>
      <c r="K38" s="605">
        <v>77.573700000000002</v>
      </c>
      <c r="L38" s="58"/>
    </row>
    <row r="39" spans="2:12" s="2" customFormat="1">
      <c r="B39" s="865" t="s">
        <v>140</v>
      </c>
      <c r="C39" s="153" t="s">
        <v>128</v>
      </c>
      <c r="D39" s="593">
        <v>0</v>
      </c>
      <c r="E39" s="593">
        <v>0</v>
      </c>
      <c r="F39" s="593">
        <v>0</v>
      </c>
      <c r="G39" s="593">
        <v>0</v>
      </c>
      <c r="H39" s="593">
        <v>0</v>
      </c>
      <c r="I39" s="593">
        <v>0</v>
      </c>
      <c r="J39" s="593">
        <v>0</v>
      </c>
      <c r="K39" s="605">
        <v>0</v>
      </c>
      <c r="L39" s="58"/>
    </row>
    <row r="40" spans="2:12" s="2" customFormat="1">
      <c r="B40" s="865" t="s">
        <v>141</v>
      </c>
      <c r="C40" s="153" t="s">
        <v>128</v>
      </c>
      <c r="D40" s="593">
        <v>0</v>
      </c>
      <c r="E40" s="593">
        <v>0</v>
      </c>
      <c r="F40" s="593">
        <v>0</v>
      </c>
      <c r="G40" s="593">
        <v>0</v>
      </c>
      <c r="H40" s="593">
        <v>0</v>
      </c>
      <c r="I40" s="593">
        <v>0</v>
      </c>
      <c r="J40" s="593">
        <v>0</v>
      </c>
      <c r="K40" s="605">
        <v>0</v>
      </c>
      <c r="L40" s="58"/>
    </row>
    <row r="41" spans="2:12" s="2" customFormat="1">
      <c r="B41" s="865" t="s">
        <v>142</v>
      </c>
      <c r="C41" s="153" t="s">
        <v>128</v>
      </c>
      <c r="D41" s="593">
        <v>3.3812000000000002</v>
      </c>
      <c r="E41" s="593">
        <v>3.6525000000000003</v>
      </c>
      <c r="F41" s="593">
        <v>3.8551000000000002</v>
      </c>
      <c r="G41" s="593">
        <v>1.2702</v>
      </c>
      <c r="H41" s="593">
        <v>2.0873521180000001</v>
      </c>
      <c r="I41" s="593">
        <v>2.2244189799999998</v>
      </c>
      <c r="J41" s="593">
        <v>3.5699999999999994</v>
      </c>
      <c r="K41" s="605">
        <v>2.6670000000000003</v>
      </c>
      <c r="L41" s="58"/>
    </row>
    <row r="42" spans="2:12" s="2" customFormat="1">
      <c r="B42" s="865" t="s">
        <v>143</v>
      </c>
      <c r="C42" s="153" t="s">
        <v>128</v>
      </c>
      <c r="D42" s="593">
        <v>0</v>
      </c>
      <c r="E42" s="593">
        <v>0</v>
      </c>
      <c r="F42" s="593">
        <v>0</v>
      </c>
      <c r="G42" s="593">
        <v>0</v>
      </c>
      <c r="H42" s="593">
        <v>0</v>
      </c>
      <c r="I42" s="593">
        <v>0</v>
      </c>
      <c r="J42" s="593">
        <v>0</v>
      </c>
      <c r="K42" s="605">
        <v>0</v>
      </c>
      <c r="L42" s="58"/>
    </row>
    <row r="43" spans="2:12" s="2" customFormat="1">
      <c r="B43" s="866" t="s">
        <v>144</v>
      </c>
      <c r="C43" s="153" t="s">
        <v>128</v>
      </c>
      <c r="D43" s="593">
        <v>0</v>
      </c>
      <c r="E43" s="593">
        <v>0</v>
      </c>
      <c r="F43" s="593">
        <v>0</v>
      </c>
      <c r="G43" s="593">
        <v>0</v>
      </c>
      <c r="H43" s="593">
        <v>0</v>
      </c>
      <c r="I43" s="593">
        <v>0</v>
      </c>
      <c r="J43" s="593">
        <v>0</v>
      </c>
      <c r="K43" s="607">
        <v>0</v>
      </c>
      <c r="L43" s="58"/>
    </row>
    <row r="44" spans="2:12" s="2" customFormat="1">
      <c r="B44" s="864" t="s">
        <v>519</v>
      </c>
      <c r="C44" s="153" t="s">
        <v>128</v>
      </c>
      <c r="D44" s="593">
        <v>0</v>
      </c>
      <c r="E44" s="593">
        <v>0</v>
      </c>
      <c r="F44" s="593">
        <v>0</v>
      </c>
      <c r="G44" s="593">
        <v>0</v>
      </c>
      <c r="H44" s="593">
        <v>0</v>
      </c>
      <c r="I44" s="593">
        <v>0</v>
      </c>
      <c r="J44" s="593">
        <v>0</v>
      </c>
      <c r="K44" s="607">
        <v>0</v>
      </c>
      <c r="L44" s="58"/>
    </row>
    <row r="45" spans="2:12" s="2" customFormat="1">
      <c r="B45" s="394" t="s">
        <v>176</v>
      </c>
      <c r="C45" s="153" t="s">
        <v>128</v>
      </c>
      <c r="D45" s="608">
        <f>SUM(D36:D44)</f>
        <v>13.3147</v>
      </c>
      <c r="E45" s="609">
        <f t="shared" ref="E45:K45" si="4">SUM(E36:E44)</f>
        <v>72.068185874510007</v>
      </c>
      <c r="F45" s="609">
        <f t="shared" si="4"/>
        <v>72.316999999999979</v>
      </c>
      <c r="G45" s="609">
        <f t="shared" si="4"/>
        <v>65.854700000000008</v>
      </c>
      <c r="H45" s="609">
        <f t="shared" si="4"/>
        <v>67.721606774000008</v>
      </c>
      <c r="I45" s="609">
        <f t="shared" si="4"/>
        <v>70.709573238999994</v>
      </c>
      <c r="J45" s="609">
        <f t="shared" si="4"/>
        <v>82.956899999999976</v>
      </c>
      <c r="K45" s="610">
        <f t="shared" si="4"/>
        <v>82.11760000000001</v>
      </c>
      <c r="L45" s="58"/>
    </row>
    <row r="46" spans="2:12" s="2" customFormat="1">
      <c r="B46" s="130"/>
      <c r="C46" s="137"/>
      <c r="L46" s="58"/>
    </row>
    <row r="47" spans="2:12" s="2" customFormat="1">
      <c r="B47" s="394" t="s">
        <v>145</v>
      </c>
      <c r="C47" s="137"/>
      <c r="L47" s="54"/>
    </row>
    <row r="48" spans="2:12" s="2" customFormat="1">
      <c r="B48" s="541" t="s">
        <v>578</v>
      </c>
      <c r="C48" s="153" t="s">
        <v>128</v>
      </c>
      <c r="D48" s="593">
        <v>3.617490562</v>
      </c>
      <c r="E48" s="593">
        <v>4.1455401780000001</v>
      </c>
      <c r="F48" s="593">
        <v>3.5563128799999997</v>
      </c>
      <c r="G48" s="593">
        <v>3.38166593</v>
      </c>
      <c r="H48" s="593">
        <v>4.3370835600099991</v>
      </c>
      <c r="I48" s="593">
        <v>4.3119881900000001</v>
      </c>
      <c r="J48" s="593">
        <v>2.2284194400000006</v>
      </c>
      <c r="K48" s="593">
        <v>4.2030295041500008</v>
      </c>
      <c r="L48" s="58"/>
    </row>
    <row r="49" spans="2:12" s="2" customFormat="1">
      <c r="B49" s="541" t="s">
        <v>579</v>
      </c>
      <c r="C49" s="153" t="s">
        <v>128</v>
      </c>
      <c r="D49" s="593">
        <v>-0.90370800000000007</v>
      </c>
      <c r="E49" s="593">
        <v>-0.92386000000000001</v>
      </c>
      <c r="F49" s="593">
        <v>-0.71399999999999997</v>
      </c>
      <c r="G49" s="593">
        <v>-0.77001600000000003</v>
      </c>
      <c r="H49" s="593">
        <v>-0.86060784000000001</v>
      </c>
      <c r="I49" s="593">
        <v>-0.89767348000000002</v>
      </c>
      <c r="J49" s="593">
        <v>-0.92278302000000001</v>
      </c>
      <c r="K49" s="593">
        <v>-0.85129568</v>
      </c>
      <c r="L49" s="58"/>
    </row>
    <row r="50" spans="2:12" s="2" customFormat="1">
      <c r="B50" s="541" t="s">
        <v>580</v>
      </c>
      <c r="C50" s="153" t="s">
        <v>128</v>
      </c>
      <c r="D50" s="593">
        <v>-2.1958823700000001</v>
      </c>
      <c r="E50" s="593">
        <v>-1.5929524799999999</v>
      </c>
      <c r="F50" s="593">
        <v>-0.59269421</v>
      </c>
      <c r="G50" s="593">
        <v>-1.57499528</v>
      </c>
      <c r="H50" s="593">
        <v>-1.99352916</v>
      </c>
      <c r="I50" s="593">
        <v>-1.22169207</v>
      </c>
      <c r="J50" s="593">
        <v>-1.80447041</v>
      </c>
      <c r="K50" s="593">
        <v>-1.1068863200000001</v>
      </c>
      <c r="L50" s="58"/>
    </row>
    <row r="51" spans="2:12" s="2" customFormat="1">
      <c r="B51" s="541" t="s">
        <v>581</v>
      </c>
      <c r="C51" s="153" t="s">
        <v>128</v>
      </c>
      <c r="D51" s="593">
        <v>57.4251</v>
      </c>
      <c r="E51" s="593">
        <v>0</v>
      </c>
      <c r="F51" s="593">
        <v>0</v>
      </c>
      <c r="G51" s="593">
        <v>0</v>
      </c>
      <c r="H51" s="593">
        <v>0</v>
      </c>
      <c r="I51" s="593">
        <v>0</v>
      </c>
      <c r="J51" s="593">
        <v>0</v>
      </c>
      <c r="K51" s="593">
        <v>0</v>
      </c>
      <c r="L51" s="58"/>
    </row>
    <row r="52" spans="2:12" s="2" customFormat="1">
      <c r="B52" s="541" t="s">
        <v>582</v>
      </c>
      <c r="C52" s="153" t="s">
        <v>128</v>
      </c>
      <c r="D52" s="593">
        <v>-67.455500000000001</v>
      </c>
      <c r="E52" s="593">
        <v>-54.007485874509996</v>
      </c>
      <c r="F52" s="593">
        <v>-51.006599999999999</v>
      </c>
      <c r="G52" s="593">
        <v>-43.965329723330903</v>
      </c>
      <c r="H52" s="593">
        <v>-44.909300000000002</v>
      </c>
      <c r="I52" s="593">
        <v>-40.862699999999997</v>
      </c>
      <c r="J52" s="593">
        <v>-51.377899999999997</v>
      </c>
      <c r="K52" s="593">
        <v>-62.034799999999997</v>
      </c>
      <c r="L52" s="58"/>
    </row>
    <row r="53" spans="2:12" s="2" customFormat="1">
      <c r="B53" s="541" t="s">
        <v>583</v>
      </c>
      <c r="C53" s="153" t="s">
        <v>128</v>
      </c>
      <c r="D53" s="593">
        <v>10.0304</v>
      </c>
      <c r="E53" s="593">
        <v>0</v>
      </c>
      <c r="F53" s="593">
        <v>0</v>
      </c>
      <c r="G53" s="593">
        <v>0</v>
      </c>
      <c r="H53" s="593">
        <v>0</v>
      </c>
      <c r="I53" s="593">
        <v>0</v>
      </c>
      <c r="J53" s="593">
        <v>0</v>
      </c>
      <c r="K53" s="593">
        <v>0</v>
      </c>
      <c r="L53" s="58"/>
    </row>
    <row r="54" spans="2:12" s="2" customFormat="1">
      <c r="B54" s="541" t="s">
        <v>619</v>
      </c>
      <c r="C54" s="153" t="s">
        <v>128</v>
      </c>
      <c r="D54" s="593">
        <v>0</v>
      </c>
      <c r="E54" s="593">
        <v>0</v>
      </c>
      <c r="F54" s="593">
        <v>1.3528895400000001</v>
      </c>
      <c r="G54" s="593">
        <v>0</v>
      </c>
      <c r="H54" s="593">
        <v>0</v>
      </c>
      <c r="I54" s="593">
        <v>0</v>
      </c>
      <c r="J54" s="593">
        <v>0</v>
      </c>
      <c r="K54" s="593">
        <v>0</v>
      </c>
      <c r="L54" s="58"/>
    </row>
    <row r="55" spans="2:12" s="2" customFormat="1">
      <c r="B55" s="541" t="s">
        <v>154</v>
      </c>
      <c r="C55" s="153" t="s">
        <v>128</v>
      </c>
      <c r="D55" s="593">
        <v>0</v>
      </c>
      <c r="E55" s="593">
        <v>0</v>
      </c>
      <c r="F55" s="593">
        <v>-0.1</v>
      </c>
      <c r="G55" s="593">
        <v>0</v>
      </c>
      <c r="H55" s="593">
        <v>0</v>
      </c>
      <c r="I55" s="593">
        <v>-0.1</v>
      </c>
      <c r="J55" s="593">
        <v>0</v>
      </c>
      <c r="K55" s="593">
        <v>0</v>
      </c>
      <c r="L55" s="58"/>
    </row>
    <row r="56" spans="2:12" s="2" customFormat="1">
      <c r="B56" s="541" t="s">
        <v>672</v>
      </c>
      <c r="C56" s="153" t="s">
        <v>128</v>
      </c>
      <c r="D56" s="593">
        <v>0</v>
      </c>
      <c r="E56" s="593">
        <v>0</v>
      </c>
      <c r="F56" s="593">
        <v>0</v>
      </c>
      <c r="G56" s="593">
        <v>0</v>
      </c>
      <c r="H56" s="593">
        <v>0</v>
      </c>
      <c r="I56" s="593">
        <v>0</v>
      </c>
      <c r="J56" s="593">
        <v>19.3888</v>
      </c>
      <c r="K56" s="593">
        <v>20.345400000000001</v>
      </c>
      <c r="L56" s="58"/>
    </row>
    <row r="57" spans="2:12" s="2" customFormat="1">
      <c r="B57" s="541" t="s">
        <v>243</v>
      </c>
      <c r="C57" s="153" t="s">
        <v>128</v>
      </c>
      <c r="D57" s="593">
        <v>0</v>
      </c>
      <c r="E57" s="593">
        <v>0</v>
      </c>
      <c r="F57" s="593">
        <v>0</v>
      </c>
      <c r="G57" s="593">
        <v>0</v>
      </c>
      <c r="H57" s="593">
        <v>0</v>
      </c>
      <c r="I57" s="593">
        <v>0</v>
      </c>
      <c r="J57" s="593">
        <v>0</v>
      </c>
      <c r="K57" s="593">
        <v>0</v>
      </c>
      <c r="L57" s="58"/>
    </row>
    <row r="58" spans="2:12" s="2" customFormat="1">
      <c r="B58" s="541" t="s">
        <v>243</v>
      </c>
      <c r="C58" s="153" t="s">
        <v>128</v>
      </c>
      <c r="D58" s="593">
        <v>0</v>
      </c>
      <c r="E58" s="593">
        <v>0</v>
      </c>
      <c r="F58" s="593">
        <v>0</v>
      </c>
      <c r="G58" s="593">
        <v>0</v>
      </c>
      <c r="H58" s="593">
        <v>0</v>
      </c>
      <c r="I58" s="593">
        <v>0</v>
      </c>
      <c r="J58" s="593">
        <v>0</v>
      </c>
      <c r="K58" s="593">
        <v>0</v>
      </c>
      <c r="L58" s="58"/>
    </row>
    <row r="59" spans="2:12" s="2" customFormat="1">
      <c r="B59" s="541" t="s">
        <v>243</v>
      </c>
      <c r="C59" s="153" t="s">
        <v>128</v>
      </c>
      <c r="D59" s="593">
        <v>0</v>
      </c>
      <c r="E59" s="593">
        <v>0</v>
      </c>
      <c r="F59" s="593">
        <v>0</v>
      </c>
      <c r="G59" s="593">
        <v>0</v>
      </c>
      <c r="H59" s="593">
        <v>0</v>
      </c>
      <c r="I59" s="593">
        <v>0</v>
      </c>
      <c r="J59" s="593">
        <v>0</v>
      </c>
      <c r="K59" s="593">
        <v>0</v>
      </c>
      <c r="L59" s="58"/>
    </row>
    <row r="60" spans="2:12" s="2" customFormat="1">
      <c r="B60" s="541" t="s">
        <v>243</v>
      </c>
      <c r="C60" s="153" t="s">
        <v>128</v>
      </c>
      <c r="D60" s="593">
        <v>0</v>
      </c>
      <c r="E60" s="593">
        <v>0</v>
      </c>
      <c r="F60" s="593">
        <v>0</v>
      </c>
      <c r="G60" s="593">
        <v>0</v>
      </c>
      <c r="H60" s="593">
        <v>0</v>
      </c>
      <c r="I60" s="593">
        <v>0</v>
      </c>
      <c r="J60" s="593">
        <v>0</v>
      </c>
      <c r="K60" s="593">
        <v>0</v>
      </c>
      <c r="L60" s="58"/>
    </row>
    <row r="61" spans="2:12" s="2" customFormat="1">
      <c r="B61" s="541" t="s">
        <v>243</v>
      </c>
      <c r="C61" s="153" t="s">
        <v>128</v>
      </c>
      <c r="D61" s="593">
        <v>0</v>
      </c>
      <c r="E61" s="593">
        <v>0</v>
      </c>
      <c r="F61" s="593">
        <v>0</v>
      </c>
      <c r="G61" s="593">
        <v>0</v>
      </c>
      <c r="H61" s="593">
        <v>0</v>
      </c>
      <c r="I61" s="593">
        <v>0</v>
      </c>
      <c r="J61" s="593">
        <v>0</v>
      </c>
      <c r="K61" s="593">
        <v>0</v>
      </c>
      <c r="L61" s="58"/>
    </row>
    <row r="62" spans="2:12" s="2" customFormat="1">
      <c r="B62" s="541" t="s">
        <v>243</v>
      </c>
      <c r="C62" s="153" t="s">
        <v>128</v>
      </c>
      <c r="D62" s="593">
        <v>0</v>
      </c>
      <c r="E62" s="593">
        <v>0</v>
      </c>
      <c r="F62" s="593">
        <v>0</v>
      </c>
      <c r="G62" s="593">
        <v>0</v>
      </c>
      <c r="H62" s="593">
        <v>0</v>
      </c>
      <c r="I62" s="593">
        <v>0</v>
      </c>
      <c r="J62" s="593">
        <v>0</v>
      </c>
      <c r="K62" s="593">
        <v>0</v>
      </c>
      <c r="L62" s="58"/>
    </row>
    <row r="63" spans="2:12" s="2" customFormat="1">
      <c r="B63" s="742" t="s">
        <v>154</v>
      </c>
      <c r="C63" s="153" t="s">
        <v>128</v>
      </c>
      <c r="D63" s="593">
        <v>0</v>
      </c>
      <c r="E63" s="593">
        <v>0</v>
      </c>
      <c r="F63" s="593">
        <v>0</v>
      </c>
      <c r="G63" s="593">
        <v>0</v>
      </c>
      <c r="H63" s="593">
        <v>0</v>
      </c>
      <c r="I63" s="593">
        <v>0</v>
      </c>
      <c r="J63" s="593">
        <v>0</v>
      </c>
      <c r="K63" s="593">
        <v>0.3</v>
      </c>
      <c r="L63" s="58"/>
    </row>
    <row r="64" spans="2:12" s="2" customFormat="1">
      <c r="B64" s="738" t="s">
        <v>177</v>
      </c>
      <c r="C64" s="153" t="s">
        <v>128</v>
      </c>
      <c r="D64" s="601">
        <f t="shared" ref="D64:K64" si="5">SUM(D48:D63)</f>
        <v>0.51790019199999904</v>
      </c>
      <c r="E64" s="602">
        <f t="shared" si="5"/>
        <v>-52.378758176509997</v>
      </c>
      <c r="F64" s="602">
        <f t="shared" si="5"/>
        <v>-47.504091790000004</v>
      </c>
      <c r="G64" s="602">
        <f t="shared" si="5"/>
        <v>-42.928675073330901</v>
      </c>
      <c r="H64" s="602">
        <f t="shared" si="5"/>
        <v>-43.426353439990002</v>
      </c>
      <c r="I64" s="602">
        <f t="shared" si="5"/>
        <v>-38.770077359999995</v>
      </c>
      <c r="J64" s="602">
        <f t="shared" si="5"/>
        <v>-32.487933990000002</v>
      </c>
      <c r="K64" s="603">
        <f t="shared" si="5"/>
        <v>-39.144552495849993</v>
      </c>
      <c r="L64" s="58"/>
    </row>
    <row r="65" spans="1:13" s="2" customFormat="1">
      <c r="B65" s="226"/>
      <c r="C65" s="139"/>
      <c r="D65" s="56"/>
      <c r="E65" s="56"/>
      <c r="F65" s="56"/>
      <c r="G65" s="56"/>
      <c r="H65" s="56"/>
      <c r="I65" s="56"/>
      <c r="J65" s="56"/>
      <c r="K65" s="56"/>
      <c r="L65" s="58"/>
    </row>
    <row r="66" spans="1:13" s="2" customFormat="1">
      <c r="B66" s="738" t="s">
        <v>146</v>
      </c>
      <c r="C66" s="153" t="s">
        <v>128</v>
      </c>
      <c r="D66" s="612">
        <f t="shared" ref="D66:K66" si="6">D33+D45+D64</f>
        <v>451.0034128420001</v>
      </c>
      <c r="E66" s="613">
        <f t="shared" si="6"/>
        <v>501.51198641799988</v>
      </c>
      <c r="F66" s="613">
        <f t="shared" si="6"/>
        <v>490.95835712000002</v>
      </c>
      <c r="G66" s="613">
        <f t="shared" si="6"/>
        <v>506.19805895666906</v>
      </c>
      <c r="H66" s="613">
        <f t="shared" si="6"/>
        <v>526.32523110401007</v>
      </c>
      <c r="I66" s="613">
        <f t="shared" si="6"/>
        <v>512.55567269591324</v>
      </c>
      <c r="J66" s="613">
        <f t="shared" si="6"/>
        <v>579.32047437999995</v>
      </c>
      <c r="K66" s="614">
        <f t="shared" si="6"/>
        <v>666.05218711415</v>
      </c>
      <c r="L66" s="58"/>
      <c r="M66" s="324"/>
    </row>
    <row r="67" spans="1:13" s="2" customFormat="1">
      <c r="B67" s="738" t="s">
        <v>194</v>
      </c>
      <c r="C67" s="153" t="s">
        <v>128</v>
      </c>
      <c r="D67" s="593">
        <v>451</v>
      </c>
      <c r="E67" s="593">
        <v>501.5</v>
      </c>
      <c r="F67" s="593">
        <v>491</v>
      </c>
      <c r="G67" s="593">
        <v>506.2</v>
      </c>
      <c r="H67" s="593">
        <v>526.29999999999995</v>
      </c>
      <c r="I67" s="593">
        <v>512.6</v>
      </c>
      <c r="J67" s="593">
        <v>579.29999999999995</v>
      </c>
      <c r="K67" s="593">
        <v>666</v>
      </c>
      <c r="L67" s="58"/>
      <c r="M67" s="324"/>
    </row>
    <row r="68" spans="1:13"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3" s="2" customFormat="1">
      <c r="B69" s="130"/>
      <c r="C69" s="139"/>
      <c r="D69" s="48"/>
      <c r="E69" s="48"/>
      <c r="F69" s="48"/>
      <c r="G69" s="48"/>
      <c r="H69" s="48"/>
      <c r="I69" s="48"/>
      <c r="J69" s="48"/>
      <c r="K69" s="48"/>
      <c r="L69" s="58"/>
    </row>
    <row r="70" spans="1:13" s="2" customFormat="1">
      <c r="B70" s="130"/>
      <c r="C70" s="137"/>
      <c r="L70" s="54"/>
    </row>
    <row r="71" spans="1:13" s="2" customFormat="1">
      <c r="A71" s="81"/>
      <c r="B71" s="743"/>
      <c r="C71" s="151"/>
      <c r="D71" s="81"/>
      <c r="E71" s="81"/>
      <c r="F71" s="81"/>
      <c r="G71" s="81"/>
      <c r="H71" s="81"/>
      <c r="I71" s="81"/>
      <c r="J71" s="81"/>
      <c r="K71" s="81"/>
      <c r="L71" s="273"/>
    </row>
  </sheetData>
  <conditionalFormatting sqref="D6:K6">
    <cfRule type="expression" dxfId="101" priority="38">
      <formula>AND(D$5="Actuals",E$5="Forecast")</formula>
    </cfRule>
  </conditionalFormatting>
  <conditionalFormatting sqref="D5:K5">
    <cfRule type="expression" dxfId="100" priority="31">
      <formula>AND(D$5="Actuals",E$5="Forecast")</formula>
    </cfRule>
  </conditionalFormatting>
  <conditionalFormatting sqref="D45:I45 D64:I64 D28:H28 D68:K68 K33 D66:I66 K66 K64 K36:K45">
    <cfRule type="expression" dxfId="99" priority="30">
      <formula>D$5="Forecast"</formula>
    </cfRule>
  </conditionalFormatting>
  <conditionalFormatting sqref="I14:I15 I28:K28 I17:I18 I26:K26 K10:K25">
    <cfRule type="expression" dxfId="98" priority="29">
      <formula>I$5="Forecast"</formula>
    </cfRule>
  </conditionalFormatting>
  <conditionalFormatting sqref="H14:H15 H26 H17:H18">
    <cfRule type="expression" dxfId="97" priority="28">
      <formula>H$5="Forecast"</formula>
    </cfRule>
  </conditionalFormatting>
  <conditionalFormatting sqref="G14:G15 G26 G17:G18">
    <cfRule type="expression" dxfId="96" priority="27">
      <formula>G$5="Forecast"</formula>
    </cfRule>
  </conditionalFormatting>
  <conditionalFormatting sqref="J14:J15 J17:J18">
    <cfRule type="expression" dxfId="95" priority="18">
      <formula>J$5="Forecast"</formula>
    </cfRule>
  </conditionalFormatting>
  <conditionalFormatting sqref="J45 J64 J66">
    <cfRule type="expression" dxfId="94" priority="10">
      <formula>J$5="Forecast"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60" zoomScaleNormal="60" workbookViewId="0">
      <pane ySplit="6" topLeftCell="A7" activePane="bottomLeft" state="frozen"/>
      <selection activeCell="D26" sqref="D26"/>
      <selection pane="bottomLeft" activeCell="N21" sqref="N21"/>
    </sheetView>
  </sheetViews>
  <sheetFormatPr defaultRowHeight="12.6"/>
  <cols>
    <col min="1" max="1" width="8.36328125" customWidth="1"/>
    <col min="2" max="2" width="74.453125" customWidth="1"/>
    <col min="3" max="3" width="13.36328125" style="137" customWidth="1"/>
    <col min="4" max="11" width="11.08984375" customWidth="1"/>
    <col min="12" max="12" width="5" customWidth="1"/>
  </cols>
  <sheetData>
    <row r="1" spans="1:12" s="31" customFormat="1" ht="21">
      <c r="A1" s="895" t="s">
        <v>306</v>
      </c>
      <c r="B1" s="896"/>
      <c r="C1" s="149"/>
      <c r="D1" s="122"/>
      <c r="E1" s="122"/>
      <c r="F1" s="122"/>
      <c r="G1" s="122"/>
      <c r="H1" s="122"/>
      <c r="I1" s="122"/>
      <c r="J1" s="122"/>
      <c r="K1" s="122"/>
      <c r="L1" s="123"/>
    </row>
    <row r="2" spans="1:12" s="31" customFormat="1" ht="21">
      <c r="A2" s="880" t="str">
        <f>'RFPR cover'!C5</f>
        <v>NGED-EMID</v>
      </c>
      <c r="B2" s="872"/>
      <c r="C2" s="135"/>
      <c r="D2" s="29"/>
      <c r="E2" s="29"/>
      <c r="F2" s="29"/>
      <c r="G2" s="29"/>
      <c r="H2" s="29"/>
      <c r="I2" s="27"/>
      <c r="J2" s="27"/>
      <c r="K2" s="27"/>
      <c r="L2" s="124"/>
    </row>
    <row r="3" spans="1:12" s="31" customFormat="1" ht="21">
      <c r="A3" s="897">
        <f>'RFPR cover'!C7</f>
        <v>2023</v>
      </c>
      <c r="B3" s="898"/>
      <c r="C3" s="150"/>
      <c r="D3" s="125"/>
      <c r="E3" s="125"/>
      <c r="F3" s="125"/>
      <c r="G3" s="125"/>
      <c r="H3" s="125"/>
      <c r="I3" s="28"/>
      <c r="J3" s="28"/>
      <c r="K3" s="28"/>
      <c r="L3" s="126"/>
    </row>
    <row r="4" spans="1:12" s="2" customFormat="1" ht="12.75" customHeight="1">
      <c r="C4" s="137"/>
    </row>
    <row r="5" spans="1:12" s="2" customFormat="1">
      <c r="B5" s="3"/>
      <c r="C5" s="137"/>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312</v>
      </c>
      <c r="C8" s="138"/>
      <c r="D8" s="51"/>
      <c r="E8" s="51"/>
      <c r="F8" s="51"/>
      <c r="G8" s="51"/>
      <c r="H8" s="51"/>
      <c r="I8" s="51"/>
      <c r="J8" s="51"/>
      <c r="K8" s="51"/>
      <c r="L8" s="35"/>
    </row>
    <row r="9" spans="1:12" s="2" customFormat="1">
      <c r="B9" s="130" t="s">
        <v>160</v>
      </c>
      <c r="C9" s="153" t="s">
        <v>128</v>
      </c>
      <c r="D9" s="593">
        <v>330.70039999999966</v>
      </c>
      <c r="E9" s="593">
        <v>326.22777776999999</v>
      </c>
      <c r="F9" s="593">
        <v>306.60311111000004</v>
      </c>
      <c r="G9" s="593">
        <v>273.20500000000004</v>
      </c>
      <c r="H9" s="593">
        <v>296.3</v>
      </c>
      <c r="I9" s="593">
        <v>301.29999999999995</v>
      </c>
      <c r="J9" s="593">
        <v>336.40000000000003</v>
      </c>
      <c r="K9" s="593">
        <v>408.1</v>
      </c>
    </row>
    <row r="10" spans="1:12" s="2" customFormat="1">
      <c r="B10" s="130" t="s">
        <v>161</v>
      </c>
      <c r="C10" s="153" t="s">
        <v>128</v>
      </c>
      <c r="D10" s="593">
        <v>1.2000000000000002</v>
      </c>
      <c r="E10" s="593">
        <v>2.7</v>
      </c>
      <c r="F10" s="593">
        <v>2.2000000000000002</v>
      </c>
      <c r="G10" s="593">
        <v>4.0999999999999996</v>
      </c>
      <c r="H10" s="593">
        <v>2.5999999999999996</v>
      </c>
      <c r="I10" s="593">
        <v>3.4</v>
      </c>
      <c r="J10" s="593">
        <v>2.9</v>
      </c>
      <c r="K10" s="593">
        <v>4.5</v>
      </c>
    </row>
    <row r="11" spans="1:12" s="2" customFormat="1" ht="29.25" customHeight="1">
      <c r="B11" s="131" t="s">
        <v>446</v>
      </c>
      <c r="C11" s="153" t="s">
        <v>128</v>
      </c>
      <c r="D11" s="593">
        <v>-2.0930999999999997</v>
      </c>
      <c r="E11" s="593">
        <v>0</v>
      </c>
      <c r="F11" s="593">
        <v>0</v>
      </c>
      <c r="G11" s="593">
        <v>0</v>
      </c>
      <c r="H11" s="593">
        <v>0</v>
      </c>
      <c r="I11" s="593">
        <v>0</v>
      </c>
      <c r="J11" s="593">
        <v>0</v>
      </c>
      <c r="K11" s="593">
        <v>0</v>
      </c>
    </row>
    <row r="12" spans="1:12" s="2" customFormat="1">
      <c r="B12" s="130" t="s">
        <v>162</v>
      </c>
      <c r="C12" s="153" t="s">
        <v>128</v>
      </c>
      <c r="D12" s="593">
        <v>-68.466800000000006</v>
      </c>
      <c r="E12" s="593">
        <v>-68.447264890000014</v>
      </c>
      <c r="F12" s="593">
        <v>-61.590487869999997</v>
      </c>
      <c r="G12" s="593">
        <v>-54.584455040000002</v>
      </c>
      <c r="H12" s="593">
        <v>-56.648281439999998</v>
      </c>
      <c r="I12" s="593">
        <v>-50.340861679999989</v>
      </c>
      <c r="J12" s="593">
        <v>-65.827810560000003</v>
      </c>
      <c r="K12" s="593">
        <v>-73.23675394</v>
      </c>
    </row>
    <row r="13" spans="1:12" s="2" customFormat="1">
      <c r="B13" s="130" t="s">
        <v>163</v>
      </c>
      <c r="C13" s="153" t="s">
        <v>128</v>
      </c>
      <c r="D13" s="593">
        <v>-0.87890000000000001</v>
      </c>
      <c r="E13" s="593">
        <v>0.97222222999999997</v>
      </c>
      <c r="F13" s="593">
        <v>1.29688889</v>
      </c>
      <c r="G13" s="593">
        <v>1.895</v>
      </c>
      <c r="H13" s="593">
        <v>0</v>
      </c>
      <c r="I13" s="593">
        <v>0</v>
      </c>
      <c r="J13" s="593">
        <v>0</v>
      </c>
      <c r="K13" s="593">
        <v>0</v>
      </c>
    </row>
    <row r="14" spans="1:12" s="2" customFormat="1">
      <c r="B14" s="130" t="s">
        <v>164</v>
      </c>
      <c r="C14" s="153" t="s">
        <v>128</v>
      </c>
      <c r="D14" s="593">
        <v>0</v>
      </c>
      <c r="E14" s="593">
        <v>0</v>
      </c>
      <c r="F14" s="593">
        <v>0</v>
      </c>
      <c r="G14" s="593">
        <v>0</v>
      </c>
      <c r="H14" s="593">
        <v>0</v>
      </c>
      <c r="I14" s="593">
        <v>0</v>
      </c>
      <c r="J14" s="593">
        <v>0</v>
      </c>
      <c r="K14" s="593">
        <v>0</v>
      </c>
    </row>
    <row r="15" spans="1:12" s="2" customFormat="1">
      <c r="A15" s="3">
        <v>1</v>
      </c>
      <c r="B15" s="840" t="s">
        <v>670</v>
      </c>
      <c r="C15" s="153" t="s">
        <v>128</v>
      </c>
      <c r="D15" s="593">
        <v>0</v>
      </c>
      <c r="E15" s="593">
        <v>0</v>
      </c>
      <c r="F15" s="593">
        <v>0</v>
      </c>
      <c r="G15" s="593">
        <v>0</v>
      </c>
      <c r="H15" s="593">
        <v>0</v>
      </c>
      <c r="I15" s="593">
        <v>0</v>
      </c>
      <c r="J15" s="593">
        <v>-0.3</v>
      </c>
      <c r="K15" s="593">
        <v>-0.5</v>
      </c>
    </row>
    <row r="16" spans="1:12" s="2" customFormat="1">
      <c r="A16" s="3">
        <v>2</v>
      </c>
      <c r="B16" s="840" t="s">
        <v>243</v>
      </c>
      <c r="C16" s="153" t="s">
        <v>128</v>
      </c>
      <c r="D16" s="593">
        <v>0</v>
      </c>
      <c r="E16" s="593">
        <v>0</v>
      </c>
      <c r="F16" s="593">
        <v>0</v>
      </c>
      <c r="G16" s="593">
        <v>0</v>
      </c>
      <c r="H16" s="593">
        <v>0</v>
      </c>
      <c r="I16" s="593">
        <v>0</v>
      </c>
      <c r="J16" s="593">
        <v>0</v>
      </c>
      <c r="K16" s="593">
        <v>0</v>
      </c>
    </row>
    <row r="17" spans="1:11" s="2" customFormat="1">
      <c r="A17" s="3">
        <v>3</v>
      </c>
      <c r="B17" s="840" t="s">
        <v>243</v>
      </c>
      <c r="C17" s="153" t="s">
        <v>128</v>
      </c>
      <c r="D17" s="593">
        <v>0</v>
      </c>
      <c r="E17" s="593">
        <v>0</v>
      </c>
      <c r="F17" s="593">
        <v>0</v>
      </c>
      <c r="G17" s="593">
        <v>0</v>
      </c>
      <c r="H17" s="593">
        <v>0</v>
      </c>
      <c r="I17" s="593">
        <v>0</v>
      </c>
      <c r="J17" s="593">
        <v>0</v>
      </c>
      <c r="K17" s="593">
        <v>0</v>
      </c>
    </row>
    <row r="18" spans="1:11" s="2" customFormat="1">
      <c r="B18" s="12" t="s">
        <v>165</v>
      </c>
      <c r="C18" s="153" t="s">
        <v>128</v>
      </c>
      <c r="D18" s="619">
        <f>SUM(D9:D17)</f>
        <v>260.46159999999969</v>
      </c>
      <c r="E18" s="620">
        <f t="shared" ref="E18:K18" si="1">SUM(E9:E17)</f>
        <v>261.45273510999999</v>
      </c>
      <c r="F18" s="620">
        <f t="shared" si="1"/>
        <v>248.50951213000002</v>
      </c>
      <c r="G18" s="620">
        <f t="shared" si="1"/>
        <v>224.61554496000008</v>
      </c>
      <c r="H18" s="620">
        <f t="shared" si="1"/>
        <v>242.25171856000003</v>
      </c>
      <c r="I18" s="620">
        <f t="shared" ref="I18" si="2">SUM(I9:I17)</f>
        <v>254.35913831999994</v>
      </c>
      <c r="J18" s="620">
        <f t="shared" si="1"/>
        <v>273.17218944000001</v>
      </c>
      <c r="K18" s="621">
        <f t="shared" si="1"/>
        <v>338.86324606000005</v>
      </c>
    </row>
    <row r="19" spans="1:11" s="2" customFormat="1">
      <c r="B19" s="130" t="s">
        <v>166</v>
      </c>
      <c r="C19" s="153" t="s">
        <v>128</v>
      </c>
      <c r="D19" s="622">
        <v>126.8</v>
      </c>
      <c r="E19" s="623">
        <v>118.92999999999999</v>
      </c>
      <c r="F19" s="623">
        <v>134.80000000000001</v>
      </c>
      <c r="G19" s="623">
        <v>140.30000000000001</v>
      </c>
      <c r="H19" s="623">
        <v>136.1</v>
      </c>
      <c r="I19" s="623">
        <v>147.09999999999997</v>
      </c>
      <c r="J19" s="623">
        <v>152.70000000000005</v>
      </c>
      <c r="K19" s="623">
        <v>332.1</v>
      </c>
    </row>
    <row r="20" spans="1:11" s="2" customFormat="1">
      <c r="A20" s="3">
        <v>1</v>
      </c>
      <c r="B20" s="840" t="s">
        <v>243</v>
      </c>
      <c r="C20" s="153" t="s">
        <v>128</v>
      </c>
      <c r="D20" s="593">
        <v>0</v>
      </c>
      <c r="E20" s="594">
        <v>0</v>
      </c>
      <c r="F20" s="594">
        <v>0</v>
      </c>
      <c r="G20" s="594">
        <v>0</v>
      </c>
      <c r="H20" s="594">
        <v>0</v>
      </c>
      <c r="I20" s="594">
        <v>0</v>
      </c>
      <c r="J20" s="594">
        <v>0</v>
      </c>
      <c r="K20" s="594">
        <v>0</v>
      </c>
    </row>
    <row r="21" spans="1:11" s="2" customFormat="1">
      <c r="A21" s="3">
        <v>2</v>
      </c>
      <c r="B21" s="840" t="s">
        <v>243</v>
      </c>
      <c r="C21" s="153" t="s">
        <v>128</v>
      </c>
      <c r="D21" s="595">
        <v>0</v>
      </c>
      <c r="E21" s="596">
        <v>0</v>
      </c>
      <c r="F21" s="596">
        <v>0</v>
      </c>
      <c r="G21" s="596">
        <v>0</v>
      </c>
      <c r="H21" s="596">
        <v>0</v>
      </c>
      <c r="I21" s="596">
        <v>0</v>
      </c>
      <c r="J21" s="596">
        <v>0</v>
      </c>
      <c r="K21" s="596">
        <v>0</v>
      </c>
    </row>
    <row r="22" spans="1:11" s="2" customFormat="1">
      <c r="A22" s="3">
        <v>3</v>
      </c>
      <c r="B22" s="840" t="s">
        <v>243</v>
      </c>
      <c r="C22" s="153" t="s">
        <v>128</v>
      </c>
      <c r="D22" s="595">
        <v>0</v>
      </c>
      <c r="E22" s="596">
        <v>0</v>
      </c>
      <c r="F22" s="596">
        <v>0</v>
      </c>
      <c r="G22" s="596">
        <v>0</v>
      </c>
      <c r="H22" s="596">
        <v>0</v>
      </c>
      <c r="I22" s="596">
        <v>0</v>
      </c>
      <c r="J22" s="596">
        <v>0</v>
      </c>
      <c r="K22" s="596">
        <v>0</v>
      </c>
    </row>
    <row r="23" spans="1:11" s="2" customFormat="1">
      <c r="B23" s="12" t="s">
        <v>167</v>
      </c>
      <c r="C23" s="153" t="s">
        <v>128</v>
      </c>
      <c r="D23" s="608">
        <f>SUM(D18:D22)</f>
        <v>387.2615999999997</v>
      </c>
      <c r="E23" s="609">
        <f t="shared" ref="E23:K23" si="3">SUM(E18:E22)</f>
        <v>380.38273511</v>
      </c>
      <c r="F23" s="609">
        <f t="shared" si="3"/>
        <v>383.30951213000003</v>
      </c>
      <c r="G23" s="609">
        <f t="shared" si="3"/>
        <v>364.91554496000009</v>
      </c>
      <c r="H23" s="609">
        <f t="shared" si="3"/>
        <v>378.35171855999999</v>
      </c>
      <c r="I23" s="609">
        <f t="shared" si="3"/>
        <v>401.45913831999991</v>
      </c>
      <c r="J23" s="609">
        <f t="shared" si="3"/>
        <v>425.87218944000006</v>
      </c>
      <c r="K23" s="610">
        <f t="shared" si="3"/>
        <v>670.96324606000007</v>
      </c>
    </row>
    <row r="24" spans="1:11" s="2" customFormat="1">
      <c r="C24" s="137"/>
      <c r="D24" s="52"/>
      <c r="E24" s="52"/>
      <c r="F24" s="52"/>
      <c r="G24" s="52"/>
      <c r="H24" s="52"/>
      <c r="I24" s="52"/>
      <c r="J24" s="52"/>
      <c r="K24" s="52"/>
    </row>
    <row r="25" spans="1:11" s="2" customFormat="1">
      <c r="B25" s="12" t="s">
        <v>436</v>
      </c>
      <c r="C25" s="153" t="s">
        <v>128</v>
      </c>
      <c r="D25" s="54"/>
    </row>
    <row r="26" spans="1:11" s="2" customFormat="1">
      <c r="A26" s="3">
        <v>1</v>
      </c>
      <c r="B26" s="519" t="s">
        <v>584</v>
      </c>
      <c r="C26" s="153" t="s">
        <v>128</v>
      </c>
      <c r="D26" s="593">
        <v>1.7819</v>
      </c>
      <c r="E26" s="593">
        <v>-0.2</v>
      </c>
      <c r="F26" s="593">
        <v>-0.5</v>
      </c>
      <c r="G26" s="593">
        <v>-0.4</v>
      </c>
      <c r="H26" s="593">
        <v>-0.1</v>
      </c>
      <c r="I26" s="593">
        <v>-0.2</v>
      </c>
      <c r="J26" s="593">
        <v>0</v>
      </c>
      <c r="K26" s="593">
        <v>0</v>
      </c>
    </row>
    <row r="27" spans="1:11" s="2" customFormat="1">
      <c r="A27" s="3">
        <v>2</v>
      </c>
      <c r="B27" s="519" t="s">
        <v>585</v>
      </c>
      <c r="C27" s="153" t="s">
        <v>128</v>
      </c>
      <c r="D27" s="593">
        <v>-11.970559</v>
      </c>
      <c r="E27" s="593">
        <v>-11.341585650000001</v>
      </c>
      <c r="F27" s="593">
        <v>-9.6633205699999998</v>
      </c>
      <c r="G27" s="593">
        <v>-10.3697816</v>
      </c>
      <c r="H27" s="593">
        <v>-10.487382009999999</v>
      </c>
      <c r="I27" s="593">
        <v>-10.770483609999999</v>
      </c>
      <c r="J27" s="593">
        <v>-10.727876970000001</v>
      </c>
      <c r="K27" s="593">
        <v>-104.73834307999999</v>
      </c>
    </row>
    <row r="28" spans="1:11" s="2" customFormat="1">
      <c r="A28" s="3">
        <v>3</v>
      </c>
      <c r="B28" s="519" t="s">
        <v>586</v>
      </c>
      <c r="C28" s="153" t="s">
        <v>128</v>
      </c>
      <c r="D28" s="593">
        <v>41.470539000000002</v>
      </c>
      <c r="E28" s="593">
        <v>1.4223587610000124</v>
      </c>
      <c r="F28" s="593">
        <v>-2.2505218999999999</v>
      </c>
      <c r="G28" s="593">
        <v>-1.7090677000000001</v>
      </c>
      <c r="H28" s="593">
        <v>-1.8662343899999998</v>
      </c>
      <c r="I28" s="593">
        <v>-2.0888841200000003</v>
      </c>
      <c r="J28" s="593">
        <v>4.8107778799999998</v>
      </c>
      <c r="K28" s="593">
        <v>-0.9</v>
      </c>
    </row>
    <row r="29" spans="1:11" s="2" customFormat="1">
      <c r="A29" s="3">
        <v>4</v>
      </c>
      <c r="B29" s="519" t="s">
        <v>587</v>
      </c>
      <c r="C29" s="153" t="s">
        <v>128</v>
      </c>
      <c r="D29" s="593">
        <v>0.10359075999999999</v>
      </c>
      <c r="E29" s="593">
        <v>-0.10333082</v>
      </c>
      <c r="F29" s="593">
        <v>0.58552000000000004</v>
      </c>
      <c r="G29" s="593">
        <v>-2.1771582</v>
      </c>
      <c r="H29" s="593">
        <v>1.7946406699999999</v>
      </c>
      <c r="I29" s="593">
        <v>-0.67229145999999995</v>
      </c>
      <c r="J29" s="593">
        <v>-0.45012998999999998</v>
      </c>
      <c r="K29" s="593">
        <v>-10.512530000000002</v>
      </c>
    </row>
    <row r="30" spans="1:11" s="2" customFormat="1">
      <c r="A30" s="3">
        <v>5</v>
      </c>
      <c r="B30" s="519" t="s">
        <v>588</v>
      </c>
      <c r="C30" s="153" t="s">
        <v>128</v>
      </c>
      <c r="D30" s="593">
        <v>0.236605126</v>
      </c>
      <c r="E30" s="593">
        <v>0.59618790249999987</v>
      </c>
      <c r="F30" s="593">
        <v>0.39159850699999998</v>
      </c>
      <c r="G30" s="593">
        <v>0.51519723299999998</v>
      </c>
      <c r="H30" s="593">
        <v>1.5192378350000002</v>
      </c>
      <c r="I30" s="593">
        <v>0.47691834799999999</v>
      </c>
      <c r="J30" s="593">
        <v>1.316499979</v>
      </c>
      <c r="K30" s="593">
        <v>0</v>
      </c>
    </row>
    <row r="31" spans="1:11" s="2" customFormat="1">
      <c r="A31" s="3">
        <v>6</v>
      </c>
      <c r="B31" s="519" t="s">
        <v>589</v>
      </c>
      <c r="C31" s="153" t="s">
        <v>128</v>
      </c>
      <c r="D31" s="593">
        <v>-3.6230866320000001</v>
      </c>
      <c r="E31" s="593">
        <v>-4.1455401780000001</v>
      </c>
      <c r="F31" s="593">
        <v>-3.5563128799999997</v>
      </c>
      <c r="G31" s="593">
        <v>-3.38166593</v>
      </c>
      <c r="H31" s="593">
        <v>-4.3370835600099991</v>
      </c>
      <c r="I31" s="593">
        <v>-4.3119881900000001</v>
      </c>
      <c r="J31" s="593">
        <v>-2.2284194400000006</v>
      </c>
      <c r="K31" s="593">
        <v>-6.2553711200000004</v>
      </c>
    </row>
    <row r="32" spans="1:11" s="2" customFormat="1">
      <c r="A32" s="3">
        <v>7</v>
      </c>
      <c r="B32" s="519" t="s">
        <v>590</v>
      </c>
      <c r="C32" s="153" t="s">
        <v>128</v>
      </c>
      <c r="D32" s="593">
        <v>0.90370800000000007</v>
      </c>
      <c r="E32" s="593">
        <v>0.92386000000000001</v>
      </c>
      <c r="F32" s="593">
        <v>0.71399999999999997</v>
      </c>
      <c r="G32" s="593">
        <v>0.77001600000000003</v>
      </c>
      <c r="H32" s="593">
        <v>0.86060784000000001</v>
      </c>
      <c r="I32" s="593">
        <v>0.89767348000000002</v>
      </c>
      <c r="J32" s="593">
        <v>0.92278302000000001</v>
      </c>
      <c r="K32" s="593">
        <v>0.48544589999999993</v>
      </c>
    </row>
    <row r="33" spans="1:13" s="2" customFormat="1">
      <c r="A33" s="3">
        <v>8</v>
      </c>
      <c r="B33" s="519" t="s">
        <v>591</v>
      </c>
      <c r="C33" s="153" t="s">
        <v>128</v>
      </c>
      <c r="D33" s="593">
        <v>0.54006209732134047</v>
      </c>
      <c r="E33" s="593">
        <v>0.68640031414662783</v>
      </c>
      <c r="F33" s="593">
        <v>0.70084334917211977</v>
      </c>
      <c r="G33" s="593">
        <v>0.55436587934622239</v>
      </c>
      <c r="H33" s="593">
        <v>0.2905250641467495</v>
      </c>
      <c r="I33" s="593">
        <v>0.21599098331201366</v>
      </c>
      <c r="J33" s="593">
        <v>0.40135383373184269</v>
      </c>
      <c r="K33" s="593">
        <v>-2.9509144291500009</v>
      </c>
    </row>
    <row r="34" spans="1:13" s="2" customFormat="1">
      <c r="A34" s="3">
        <v>9</v>
      </c>
      <c r="B34" s="519" t="s">
        <v>592</v>
      </c>
      <c r="C34" s="153" t="s">
        <v>128</v>
      </c>
      <c r="D34" s="593">
        <v>-6.0160021449915693</v>
      </c>
      <c r="E34" s="593">
        <v>1.3607651149915696</v>
      </c>
      <c r="F34" s="593">
        <v>2.2170000000000001</v>
      </c>
      <c r="G34" s="593">
        <v>-1.987573</v>
      </c>
      <c r="H34" s="593">
        <v>3.8459652050000006</v>
      </c>
      <c r="I34" s="593">
        <v>-4.405266999999987E-2</v>
      </c>
      <c r="J34" s="593">
        <v>-0.59122644999999996</v>
      </c>
      <c r="K34" s="593">
        <v>3.5620464141815231E-2</v>
      </c>
    </row>
    <row r="35" spans="1:13" s="2" customFormat="1">
      <c r="A35" s="3">
        <v>10</v>
      </c>
      <c r="B35" s="519" t="s">
        <v>593</v>
      </c>
      <c r="C35" s="153" t="s">
        <v>128</v>
      </c>
      <c r="D35" s="593">
        <v>-12.030477299934283</v>
      </c>
      <c r="E35" s="593">
        <v>31.962582523814127</v>
      </c>
      <c r="F35" s="593">
        <v>0.88769999999999993</v>
      </c>
      <c r="G35" s="593">
        <v>31.160996522669759</v>
      </c>
      <c r="H35" s="593">
        <v>32.637903929493675</v>
      </c>
      <c r="I35" s="593">
        <v>33.114692432403622</v>
      </c>
      <c r="J35" s="593">
        <v>-6.2856438339008491</v>
      </c>
      <c r="K35" s="593">
        <v>-93.147024466772976</v>
      </c>
    </row>
    <row r="36" spans="1:13" s="2" customFormat="1">
      <c r="A36" s="3">
        <v>11</v>
      </c>
      <c r="B36" s="519" t="s">
        <v>594</v>
      </c>
      <c r="C36" s="153" t="s">
        <v>128</v>
      </c>
      <c r="D36" s="593">
        <v>0</v>
      </c>
      <c r="E36" s="593">
        <v>48.304132944648913</v>
      </c>
      <c r="F36" s="593">
        <v>-12.939378199298357</v>
      </c>
      <c r="G36" s="593">
        <v>-0.24386791904690286</v>
      </c>
      <c r="H36" s="593">
        <v>0</v>
      </c>
      <c r="I36" s="593">
        <v>0</v>
      </c>
      <c r="J36" s="593">
        <v>8.0050000000000008</v>
      </c>
      <c r="K36" s="593">
        <v>1.7018784783333332</v>
      </c>
    </row>
    <row r="37" spans="1:13" s="2" customFormat="1">
      <c r="A37" s="3">
        <v>12</v>
      </c>
      <c r="B37" s="519" t="s">
        <v>595</v>
      </c>
      <c r="C37" s="153" t="s">
        <v>128</v>
      </c>
      <c r="D37" s="593">
        <v>0</v>
      </c>
      <c r="E37" s="593">
        <v>0.28741558499999997</v>
      </c>
      <c r="F37" s="593">
        <v>-3.7905942319950263</v>
      </c>
      <c r="G37" s="593">
        <v>-3.1054959891172231</v>
      </c>
      <c r="H37" s="593">
        <v>-3.9500606700990399</v>
      </c>
      <c r="I37" s="593">
        <v>-2.549546981054041</v>
      </c>
      <c r="J37" s="593">
        <v>0</v>
      </c>
      <c r="K37" s="593">
        <v>0.33565841181030243</v>
      </c>
    </row>
    <row r="38" spans="1:13" s="2" customFormat="1">
      <c r="A38" s="3">
        <v>13</v>
      </c>
      <c r="B38" s="519" t="s">
        <v>596</v>
      </c>
      <c r="C38" s="153" t="s">
        <v>128</v>
      </c>
      <c r="D38" s="593">
        <v>0</v>
      </c>
      <c r="E38" s="593">
        <v>0</v>
      </c>
      <c r="F38" s="593">
        <v>0.2324463578744542</v>
      </c>
      <c r="G38" s="593">
        <v>0.27619349815914485</v>
      </c>
      <c r="H38" s="593">
        <v>0.31782837139190367</v>
      </c>
      <c r="I38" s="593">
        <v>0.29229699705611012</v>
      </c>
      <c r="J38" s="593">
        <v>-0.8762467872329246</v>
      </c>
      <c r="K38" s="593">
        <v>19.262799999999999</v>
      </c>
    </row>
    <row r="39" spans="1:13" s="2" customFormat="1">
      <c r="A39" s="3">
        <v>14</v>
      </c>
      <c r="B39" s="519" t="s">
        <v>597</v>
      </c>
      <c r="C39" s="153" t="s">
        <v>128</v>
      </c>
      <c r="D39" s="593">
        <v>-1.5887</v>
      </c>
      <c r="E39" s="593">
        <v>0</v>
      </c>
      <c r="F39" s="593">
        <v>0</v>
      </c>
      <c r="G39" s="593">
        <v>0</v>
      </c>
      <c r="H39" s="593">
        <v>0</v>
      </c>
      <c r="I39" s="593">
        <v>0</v>
      </c>
      <c r="J39" s="593">
        <v>0</v>
      </c>
      <c r="K39" s="593"/>
    </row>
    <row r="40" spans="1:13" s="2" customFormat="1">
      <c r="A40" s="3">
        <v>15</v>
      </c>
      <c r="B40" s="519" t="s">
        <v>598</v>
      </c>
      <c r="C40" s="153" t="s">
        <v>128</v>
      </c>
      <c r="D40" s="593">
        <v>0.7</v>
      </c>
      <c r="E40" s="593">
        <v>-0.1</v>
      </c>
      <c r="F40" s="593">
        <v>-1.65</v>
      </c>
      <c r="G40" s="593">
        <v>-1.0642377185828309</v>
      </c>
      <c r="H40" s="593">
        <v>-0.71614989130433393</v>
      </c>
      <c r="I40" s="593">
        <v>0.16562175330238915</v>
      </c>
      <c r="J40" s="593">
        <v>-0.48</v>
      </c>
      <c r="K40" s="593"/>
    </row>
    <row r="41" spans="1:13" s="2" customFormat="1">
      <c r="A41" s="3">
        <v>16</v>
      </c>
      <c r="B41" s="519" t="s">
        <v>599</v>
      </c>
      <c r="C41" s="153" t="s">
        <v>128</v>
      </c>
      <c r="D41" s="593">
        <v>0</v>
      </c>
      <c r="E41" s="593">
        <v>0</v>
      </c>
      <c r="F41" s="593">
        <v>0</v>
      </c>
      <c r="G41" s="593">
        <v>-3.2</v>
      </c>
      <c r="H41" s="593">
        <v>0</v>
      </c>
      <c r="I41" s="593">
        <v>0</v>
      </c>
      <c r="J41" s="593">
        <v>0</v>
      </c>
      <c r="K41" s="593">
        <v>-2.387719722597744</v>
      </c>
    </row>
    <row r="42" spans="1:13" s="2" customFormat="1">
      <c r="A42" s="3">
        <v>17</v>
      </c>
      <c r="B42" s="946" t="s">
        <v>640</v>
      </c>
      <c r="C42" s="153" t="s">
        <v>128</v>
      </c>
      <c r="D42" s="593">
        <v>0</v>
      </c>
      <c r="E42" s="593">
        <v>0</v>
      </c>
      <c r="F42" s="593">
        <v>0</v>
      </c>
      <c r="G42" s="593">
        <v>1.1912619272000029</v>
      </c>
      <c r="H42" s="593">
        <v>0.34167854759999994</v>
      </c>
      <c r="I42" s="593">
        <v>2.4218589500000003</v>
      </c>
      <c r="J42" s="593">
        <v>-4.231761006666666</v>
      </c>
      <c r="K42" s="593">
        <v>0.24582248999999992</v>
      </c>
    </row>
    <row r="43" spans="1:13" s="2" customFormat="1">
      <c r="A43" s="3">
        <v>18</v>
      </c>
      <c r="B43" s="519" t="s">
        <v>600</v>
      </c>
      <c r="C43" s="153" t="s">
        <v>128</v>
      </c>
      <c r="D43" s="593">
        <v>0</v>
      </c>
      <c r="E43" s="593">
        <v>0</v>
      </c>
      <c r="F43" s="593">
        <v>0</v>
      </c>
      <c r="G43" s="593">
        <v>0</v>
      </c>
      <c r="H43" s="593">
        <v>-1.8561835349489655</v>
      </c>
      <c r="I43" s="593">
        <v>-5.0000000000000044E-2</v>
      </c>
      <c r="J43" s="593">
        <v>0</v>
      </c>
      <c r="K43" s="593"/>
    </row>
    <row r="44" spans="1:13" s="2" customFormat="1">
      <c r="A44" s="3">
        <v>19</v>
      </c>
      <c r="B44" s="519" t="s">
        <v>601</v>
      </c>
      <c r="C44" s="153" t="s">
        <v>128</v>
      </c>
      <c r="D44" s="593">
        <v>0</v>
      </c>
      <c r="E44" s="593">
        <v>0</v>
      </c>
      <c r="F44" s="593">
        <v>0</v>
      </c>
      <c r="G44" s="593">
        <v>0</v>
      </c>
      <c r="H44" s="593">
        <v>0.50048638960288372</v>
      </c>
      <c r="I44" s="593">
        <v>0</v>
      </c>
      <c r="J44" s="593">
        <v>0</v>
      </c>
      <c r="K44" s="593">
        <v>-1.9990671699999942</v>
      </c>
    </row>
    <row r="45" spans="1:13" s="2" customFormat="1">
      <c r="A45" s="3">
        <v>20</v>
      </c>
      <c r="B45" s="519" t="s">
        <v>671</v>
      </c>
      <c r="C45" s="153" t="s">
        <v>128</v>
      </c>
      <c r="D45" s="593">
        <v>0</v>
      </c>
      <c r="E45" s="593">
        <v>0</v>
      </c>
      <c r="F45" s="593">
        <v>0</v>
      </c>
      <c r="G45" s="593">
        <v>0</v>
      </c>
      <c r="H45" s="593">
        <v>0</v>
      </c>
      <c r="I45" s="593">
        <v>0</v>
      </c>
      <c r="J45" s="593">
        <v>0</v>
      </c>
      <c r="K45" s="593"/>
    </row>
    <row r="46" spans="1:13" s="2" customFormat="1">
      <c r="B46" s="12" t="s">
        <v>389</v>
      </c>
      <c r="C46" s="153" t="s">
        <v>128</v>
      </c>
      <c r="D46" s="608">
        <f>SUM(D26:D45)</f>
        <v>10.507579906395492</v>
      </c>
      <c r="E46" s="609">
        <f t="shared" ref="E46:K46" si="4">SUM(E26:E45)</f>
        <v>69.653246498101268</v>
      </c>
      <c r="F46" s="609">
        <f t="shared" si="4"/>
        <v>-28.621019567246805</v>
      </c>
      <c r="G46" s="609">
        <f t="shared" si="4"/>
        <v>6.8291830036281729</v>
      </c>
      <c r="H46" s="609">
        <f t="shared" si="4"/>
        <v>18.795779795872875</v>
      </c>
      <c r="I46" s="609">
        <f t="shared" si="4"/>
        <v>16.8978059130201</v>
      </c>
      <c r="J46" s="609">
        <f t="shared" si="4"/>
        <v>-10.414889765068597</v>
      </c>
      <c r="K46" s="610">
        <f t="shared" si="4"/>
        <v>-200.82374424423529</v>
      </c>
      <c r="M46" s="324"/>
    </row>
    <row r="47" spans="1:13" s="2" customFormat="1">
      <c r="C47" s="137"/>
      <c r="D47" s="53"/>
      <c r="E47" s="52"/>
      <c r="F47" s="52"/>
      <c r="G47" s="52"/>
      <c r="H47" s="52"/>
      <c r="I47" s="52"/>
      <c r="J47" s="52"/>
      <c r="K47" s="52"/>
    </row>
    <row r="48" spans="1:13" s="2" customFormat="1">
      <c r="B48" s="12" t="s">
        <v>435</v>
      </c>
      <c r="C48" s="153" t="s">
        <v>128</v>
      </c>
      <c r="D48" s="608">
        <f>D46+D23</f>
        <v>397.76917990639521</v>
      </c>
      <c r="E48" s="609">
        <f t="shared" ref="E48:K48" si="5">E46+E23</f>
        <v>450.03598160810128</v>
      </c>
      <c r="F48" s="609">
        <f t="shared" si="5"/>
        <v>354.68849256275325</v>
      </c>
      <c r="G48" s="609">
        <f t="shared" si="5"/>
        <v>371.74472796362824</v>
      </c>
      <c r="H48" s="609">
        <f t="shared" si="5"/>
        <v>397.14749835587287</v>
      </c>
      <c r="I48" s="609">
        <f t="shared" si="5"/>
        <v>418.35694423301999</v>
      </c>
      <c r="J48" s="609">
        <f t="shared" si="5"/>
        <v>415.45729967493145</v>
      </c>
      <c r="K48" s="610">
        <f t="shared" si="5"/>
        <v>470.13950181576479</v>
      </c>
    </row>
    <row r="49" spans="1:13" s="2" customFormat="1">
      <c r="B49" s="2" t="s">
        <v>390</v>
      </c>
      <c r="C49" s="153" t="s">
        <v>128</v>
      </c>
      <c r="D49" s="593">
        <v>397.73219999999992</v>
      </c>
      <c r="E49" s="593">
        <v>450.10609999999997</v>
      </c>
      <c r="F49" s="593">
        <v>354.738</v>
      </c>
      <c r="G49" s="593">
        <v>371.75536192720006</v>
      </c>
      <c r="H49" s="593">
        <v>397.1543785476</v>
      </c>
      <c r="I49" s="593">
        <v>418.29250298000005</v>
      </c>
      <c r="J49" s="593">
        <v>415.46070045300002</v>
      </c>
      <c r="K49" s="593">
        <v>470.14023388624349</v>
      </c>
    </row>
    <row r="50" spans="1:13" s="2" customFormat="1">
      <c r="C50" s="137" t="s">
        <v>393</v>
      </c>
      <c r="D50" s="625" t="str">
        <f>IF(D$5="Actuals",IF(ABS(D48-D49)&lt;1,"OK","ERROR"),"N/A")</f>
        <v>OK</v>
      </c>
      <c r="E50" s="626" t="str">
        <f t="shared" ref="E50:K50" si="6">IF(E$5="Actuals",IF(ABS(E48-E49)&lt;1,"OK","ERROR"),"N/A")</f>
        <v>OK</v>
      </c>
      <c r="F50" s="626" t="str">
        <f t="shared" si="6"/>
        <v>OK</v>
      </c>
      <c r="G50" s="626" t="str">
        <f t="shared" si="6"/>
        <v>OK</v>
      </c>
      <c r="H50" s="626" t="str">
        <f t="shared" si="6"/>
        <v>OK</v>
      </c>
      <c r="I50" s="626" t="str">
        <f t="shared" si="6"/>
        <v>OK</v>
      </c>
      <c r="J50" s="626" t="str">
        <f t="shared" si="6"/>
        <v>OK</v>
      </c>
      <c r="K50" s="627" t="str">
        <f t="shared" si="6"/>
        <v>OK</v>
      </c>
    </row>
    <row r="51" spans="1:13" s="2" customFormat="1">
      <c r="B51" s="2" t="s">
        <v>84</v>
      </c>
      <c r="C51" s="137"/>
      <c r="D51" s="54"/>
    </row>
    <row r="52" spans="1:13" s="2" customFormat="1">
      <c r="B52" s="12" t="s">
        <v>391</v>
      </c>
      <c r="C52" s="153"/>
      <c r="D52" s="54"/>
    </row>
    <row r="53" spans="1:13" s="2" customFormat="1">
      <c r="A53" s="3">
        <v>1</v>
      </c>
      <c r="B53" s="914" t="s">
        <v>602</v>
      </c>
      <c r="C53" s="153" t="s">
        <v>128</v>
      </c>
      <c r="D53" s="593">
        <v>50.427699999999994</v>
      </c>
      <c r="E53" s="593">
        <v>51.102999999999994</v>
      </c>
      <c r="F53" s="593">
        <v>50.470199999999998</v>
      </c>
      <c r="G53" s="593">
        <v>51.795461927200002</v>
      </c>
      <c r="H53" s="593">
        <v>50.101078547600004</v>
      </c>
      <c r="I53" s="593">
        <v>51.48155895</v>
      </c>
      <c r="J53" s="593">
        <v>51.060400000000001</v>
      </c>
      <c r="K53" s="594">
        <v>46.50837847833332</v>
      </c>
      <c r="M53" s="324"/>
    </row>
    <row r="54" spans="1:13" s="2" customFormat="1">
      <c r="A54" s="3">
        <v>2</v>
      </c>
      <c r="B54" s="914" t="s">
        <v>603</v>
      </c>
      <c r="C54" s="153" t="s">
        <v>128</v>
      </c>
      <c r="D54" s="593">
        <v>29.640500000000003</v>
      </c>
      <c r="E54" s="593">
        <v>64.544661618686945</v>
      </c>
      <c r="F54" s="593">
        <v>-1.6622990800000002</v>
      </c>
      <c r="G54" s="593">
        <v>29.490301220161339</v>
      </c>
      <c r="H54" s="593">
        <v>31.503426070000003</v>
      </c>
      <c r="I54" s="593">
        <v>34.525771939999998</v>
      </c>
      <c r="J54" s="593">
        <v>6.2510000000000012</v>
      </c>
      <c r="K54" s="594">
        <v>18.759420229999996</v>
      </c>
      <c r="M54" s="324"/>
    </row>
    <row r="55" spans="1:13" s="2" customFormat="1">
      <c r="A55" s="3">
        <v>3</v>
      </c>
      <c r="B55" s="914" t="s">
        <v>604</v>
      </c>
      <c r="C55" s="153" t="s">
        <v>128</v>
      </c>
      <c r="D55" s="593">
        <v>4.2756999999999987</v>
      </c>
      <c r="E55" s="593">
        <v>11.73737098633438</v>
      </c>
      <c r="F55" s="593">
        <v>13.851829198359837</v>
      </c>
      <c r="G55" s="593">
        <v>19.261262486126093</v>
      </c>
      <c r="H55" s="593">
        <v>18.582928940673931</v>
      </c>
      <c r="I55" s="593">
        <v>21.352192027219889</v>
      </c>
      <c r="J55" s="593">
        <v>29.738262201824092</v>
      </c>
      <c r="K55" s="594">
        <v>14.590466605401911</v>
      </c>
      <c r="M55" s="324"/>
    </row>
    <row r="56" spans="1:13" s="2" customFormat="1">
      <c r="A56" s="3">
        <v>4</v>
      </c>
      <c r="B56" s="914" t="s">
        <v>605</v>
      </c>
      <c r="C56" s="153" t="s">
        <v>128</v>
      </c>
      <c r="D56" s="593">
        <v>5.4821000000000009</v>
      </c>
      <c r="E56" s="593">
        <v>5.3410000000000002</v>
      </c>
      <c r="F56" s="593">
        <v>5.8973775885928452</v>
      </c>
      <c r="G56" s="593">
        <v>4.9605473967756524</v>
      </c>
      <c r="H56" s="593">
        <v>4.795884710000001</v>
      </c>
      <c r="I56" s="593">
        <v>5.2210447600000007</v>
      </c>
      <c r="J56" s="593">
        <v>10.607638247000001</v>
      </c>
      <c r="K56" s="596">
        <v>10.975509597309834</v>
      </c>
      <c r="M56" s="324"/>
    </row>
    <row r="57" spans="1:13" s="2" customFormat="1">
      <c r="A57" s="3">
        <v>5</v>
      </c>
      <c r="B57" s="518" t="s">
        <v>243</v>
      </c>
      <c r="C57" s="153" t="s">
        <v>128</v>
      </c>
      <c r="D57" s="593">
        <v>0</v>
      </c>
      <c r="E57" s="593">
        <v>0</v>
      </c>
      <c r="F57" s="593">
        <v>0</v>
      </c>
      <c r="G57" s="593">
        <v>0</v>
      </c>
      <c r="H57" s="593">
        <v>0</v>
      </c>
      <c r="I57" s="593">
        <v>0</v>
      </c>
      <c r="J57" s="593">
        <v>0</v>
      </c>
      <c r="K57" s="596">
        <v>0</v>
      </c>
    </row>
    <row r="58" spans="1:13" s="2" customFormat="1">
      <c r="A58" s="3">
        <v>6</v>
      </c>
      <c r="B58" s="518" t="s">
        <v>243</v>
      </c>
      <c r="C58" s="153" t="s">
        <v>128</v>
      </c>
      <c r="D58" s="593">
        <v>0</v>
      </c>
      <c r="E58" s="593">
        <v>0</v>
      </c>
      <c r="F58" s="593">
        <v>0</v>
      </c>
      <c r="G58" s="593">
        <v>0</v>
      </c>
      <c r="H58" s="593">
        <v>0</v>
      </c>
      <c r="I58" s="593">
        <v>0</v>
      </c>
      <c r="J58" s="593">
        <v>0</v>
      </c>
      <c r="K58" s="596">
        <v>0</v>
      </c>
    </row>
    <row r="59" spans="1:13" s="2" customFormat="1">
      <c r="A59" s="3">
        <v>7</v>
      </c>
      <c r="B59" s="518" t="s">
        <v>243</v>
      </c>
      <c r="C59" s="153" t="s">
        <v>128</v>
      </c>
      <c r="D59" s="593">
        <v>0</v>
      </c>
      <c r="E59" s="593">
        <v>0</v>
      </c>
      <c r="F59" s="593">
        <v>0</v>
      </c>
      <c r="G59" s="593">
        <v>0</v>
      </c>
      <c r="H59" s="593">
        <v>0</v>
      </c>
      <c r="I59" s="593">
        <v>0</v>
      </c>
      <c r="J59" s="593">
        <v>0</v>
      </c>
      <c r="K59" s="596">
        <v>0</v>
      </c>
    </row>
    <row r="60" spans="1:13" s="2" customFormat="1">
      <c r="A60" s="3">
        <v>8</v>
      </c>
      <c r="B60" s="518" t="s">
        <v>243</v>
      </c>
      <c r="C60" s="153" t="s">
        <v>128</v>
      </c>
      <c r="D60" s="593">
        <v>0</v>
      </c>
      <c r="E60" s="593">
        <v>0</v>
      </c>
      <c r="F60" s="593">
        <v>0</v>
      </c>
      <c r="G60" s="593">
        <v>0</v>
      </c>
      <c r="H60" s="593">
        <v>0</v>
      </c>
      <c r="I60" s="593">
        <v>0</v>
      </c>
      <c r="J60" s="593">
        <v>0</v>
      </c>
      <c r="K60" s="596">
        <v>0</v>
      </c>
    </row>
    <row r="61" spans="1:13" s="2" customFormat="1">
      <c r="A61" s="3">
        <v>9</v>
      </c>
      <c r="B61" s="518" t="s">
        <v>243</v>
      </c>
      <c r="C61" s="153" t="s">
        <v>128</v>
      </c>
      <c r="D61" s="593">
        <v>0</v>
      </c>
      <c r="E61" s="593">
        <v>0</v>
      </c>
      <c r="F61" s="593">
        <v>0</v>
      </c>
      <c r="G61" s="593">
        <v>0</v>
      </c>
      <c r="H61" s="593">
        <v>0</v>
      </c>
      <c r="I61" s="593">
        <v>0</v>
      </c>
      <c r="J61" s="593">
        <v>0</v>
      </c>
      <c r="K61" s="596">
        <v>0</v>
      </c>
    </row>
    <row r="62" spans="1:13" s="2" customFormat="1">
      <c r="A62" s="3">
        <v>10</v>
      </c>
      <c r="B62" s="518" t="s">
        <v>243</v>
      </c>
      <c r="C62" s="153" t="s">
        <v>128</v>
      </c>
      <c r="D62" s="593">
        <v>0</v>
      </c>
      <c r="E62" s="593">
        <v>0</v>
      </c>
      <c r="F62" s="593">
        <v>0</v>
      </c>
      <c r="G62" s="593">
        <v>0</v>
      </c>
      <c r="H62" s="593">
        <v>0</v>
      </c>
      <c r="I62" s="593">
        <v>0</v>
      </c>
      <c r="J62" s="593">
        <v>0</v>
      </c>
      <c r="K62" s="596">
        <v>0</v>
      </c>
    </row>
    <row r="63" spans="1:13" s="2" customFormat="1">
      <c r="A63" s="3">
        <v>11</v>
      </c>
      <c r="B63" s="518" t="s">
        <v>243</v>
      </c>
      <c r="C63" s="153" t="s">
        <v>128</v>
      </c>
      <c r="D63" s="593">
        <v>0</v>
      </c>
      <c r="E63" s="593">
        <v>0</v>
      </c>
      <c r="F63" s="593">
        <v>0</v>
      </c>
      <c r="G63" s="593">
        <v>0</v>
      </c>
      <c r="H63" s="593">
        <v>0</v>
      </c>
      <c r="I63" s="593">
        <v>0</v>
      </c>
      <c r="J63" s="593">
        <v>0</v>
      </c>
      <c r="K63" s="596">
        <v>0</v>
      </c>
    </row>
    <row r="64" spans="1:13" s="2" customFormat="1">
      <c r="A64" s="3">
        <v>12</v>
      </c>
      <c r="B64" s="518" t="s">
        <v>243</v>
      </c>
      <c r="C64" s="153" t="s">
        <v>128</v>
      </c>
      <c r="D64" s="593">
        <v>0</v>
      </c>
      <c r="E64" s="593">
        <v>0</v>
      </c>
      <c r="F64" s="593">
        <v>0</v>
      </c>
      <c r="G64" s="593">
        <v>0</v>
      </c>
      <c r="H64" s="593">
        <v>0</v>
      </c>
      <c r="I64" s="593">
        <v>0</v>
      </c>
      <c r="J64" s="593">
        <v>0</v>
      </c>
      <c r="K64" s="596">
        <v>0</v>
      </c>
    </row>
    <row r="65" spans="1:11" s="2" customFormat="1">
      <c r="A65" s="3">
        <v>13</v>
      </c>
      <c r="B65" s="518" t="s">
        <v>243</v>
      </c>
      <c r="C65" s="153" t="s">
        <v>128</v>
      </c>
      <c r="D65" s="593">
        <v>0</v>
      </c>
      <c r="E65" s="593">
        <v>0</v>
      </c>
      <c r="F65" s="593">
        <v>0</v>
      </c>
      <c r="G65" s="593">
        <v>0</v>
      </c>
      <c r="H65" s="593">
        <v>0</v>
      </c>
      <c r="I65" s="593">
        <v>0</v>
      </c>
      <c r="J65" s="593">
        <v>0</v>
      </c>
      <c r="K65" s="596">
        <v>0</v>
      </c>
    </row>
    <row r="66" spans="1:11" s="2" customFormat="1">
      <c r="A66" s="3">
        <v>14</v>
      </c>
      <c r="B66" s="518" t="s">
        <v>243</v>
      </c>
      <c r="C66" s="153" t="s">
        <v>128</v>
      </c>
      <c r="D66" s="593">
        <v>0</v>
      </c>
      <c r="E66" s="593">
        <v>0</v>
      </c>
      <c r="F66" s="593">
        <v>0</v>
      </c>
      <c r="G66" s="593">
        <v>0</v>
      </c>
      <c r="H66" s="593">
        <v>0</v>
      </c>
      <c r="I66" s="593">
        <v>0</v>
      </c>
      <c r="J66" s="593">
        <v>0</v>
      </c>
      <c r="K66" s="596">
        <v>0</v>
      </c>
    </row>
    <row r="67" spans="1:11" s="2" customFormat="1">
      <c r="A67" s="3">
        <v>15</v>
      </c>
      <c r="B67" s="518" t="s">
        <v>243</v>
      </c>
      <c r="C67" s="153" t="s">
        <v>128</v>
      </c>
      <c r="D67" s="593">
        <v>0</v>
      </c>
      <c r="E67" s="593">
        <v>0</v>
      </c>
      <c r="F67" s="593">
        <v>0</v>
      </c>
      <c r="G67" s="593">
        <v>0</v>
      </c>
      <c r="H67" s="593">
        <v>0</v>
      </c>
      <c r="I67" s="593">
        <v>0</v>
      </c>
      <c r="J67" s="593">
        <v>0</v>
      </c>
      <c r="K67" s="596">
        <v>0</v>
      </c>
    </row>
    <row r="68" spans="1:11" s="2" customFormat="1">
      <c r="A68" s="3">
        <v>16</v>
      </c>
      <c r="B68" s="518" t="s">
        <v>243</v>
      </c>
      <c r="C68" s="153" t="s">
        <v>128</v>
      </c>
      <c r="D68" s="593">
        <v>0</v>
      </c>
      <c r="E68" s="593">
        <v>0</v>
      </c>
      <c r="F68" s="593">
        <v>0</v>
      </c>
      <c r="G68" s="593">
        <v>0</v>
      </c>
      <c r="H68" s="593">
        <v>0</v>
      </c>
      <c r="I68" s="593">
        <v>0</v>
      </c>
      <c r="J68" s="593">
        <v>0</v>
      </c>
      <c r="K68" s="596">
        <v>0</v>
      </c>
    </row>
    <row r="69" spans="1:11" s="2" customFormat="1">
      <c r="A69" s="3">
        <v>17</v>
      </c>
      <c r="B69" s="518" t="s">
        <v>243</v>
      </c>
      <c r="C69" s="153" t="s">
        <v>128</v>
      </c>
      <c r="D69" s="593">
        <v>0</v>
      </c>
      <c r="E69" s="593">
        <v>0</v>
      </c>
      <c r="F69" s="593">
        <v>0</v>
      </c>
      <c r="G69" s="593">
        <v>0</v>
      </c>
      <c r="H69" s="593">
        <v>0</v>
      </c>
      <c r="I69" s="593">
        <v>0</v>
      </c>
      <c r="J69" s="593">
        <v>0</v>
      </c>
      <c r="K69" s="596">
        <v>0</v>
      </c>
    </row>
    <row r="70" spans="1:11" s="2" customFormat="1">
      <c r="A70" s="3">
        <v>18</v>
      </c>
      <c r="B70" s="518" t="s">
        <v>243</v>
      </c>
      <c r="C70" s="153" t="s">
        <v>128</v>
      </c>
      <c r="D70" s="593">
        <v>0</v>
      </c>
      <c r="E70" s="593">
        <v>0</v>
      </c>
      <c r="F70" s="593">
        <v>0</v>
      </c>
      <c r="G70" s="593">
        <v>0</v>
      </c>
      <c r="H70" s="593">
        <v>0</v>
      </c>
      <c r="I70" s="593">
        <v>0</v>
      </c>
      <c r="J70" s="593">
        <v>0</v>
      </c>
      <c r="K70" s="596">
        <v>0</v>
      </c>
    </row>
    <row r="71" spans="1:11" s="2" customFormat="1">
      <c r="A71" s="3">
        <v>19</v>
      </c>
      <c r="B71" s="518" t="s">
        <v>243</v>
      </c>
      <c r="C71" s="153" t="s">
        <v>128</v>
      </c>
      <c r="D71" s="593">
        <v>0</v>
      </c>
      <c r="E71" s="593">
        <v>0</v>
      </c>
      <c r="F71" s="593">
        <v>0</v>
      </c>
      <c r="G71" s="593">
        <v>0</v>
      </c>
      <c r="H71" s="593">
        <v>0</v>
      </c>
      <c r="I71" s="593">
        <v>0</v>
      </c>
      <c r="J71" s="593">
        <v>0</v>
      </c>
      <c r="K71" s="596">
        <v>0</v>
      </c>
    </row>
    <row r="72" spans="1:11" s="2" customFormat="1">
      <c r="A72" s="3">
        <v>20</v>
      </c>
      <c r="B72" s="518" t="s">
        <v>243</v>
      </c>
      <c r="C72" s="153" t="s">
        <v>128</v>
      </c>
      <c r="D72" s="593">
        <v>0</v>
      </c>
      <c r="E72" s="593">
        <v>0</v>
      </c>
      <c r="F72" s="593">
        <v>0</v>
      </c>
      <c r="G72" s="593">
        <v>0</v>
      </c>
      <c r="H72" s="593">
        <v>0</v>
      </c>
      <c r="I72" s="593">
        <v>0</v>
      </c>
      <c r="J72" s="593">
        <v>0</v>
      </c>
      <c r="K72" s="596">
        <v>0</v>
      </c>
    </row>
    <row r="73" spans="1:11" s="2" customFormat="1">
      <c r="A73" s="3">
        <v>21</v>
      </c>
      <c r="B73" s="518" t="s">
        <v>243</v>
      </c>
      <c r="C73" s="153" t="s">
        <v>128</v>
      </c>
      <c r="D73" s="593">
        <v>0</v>
      </c>
      <c r="E73" s="593">
        <v>0</v>
      </c>
      <c r="F73" s="593">
        <v>0</v>
      </c>
      <c r="G73" s="593">
        <v>0</v>
      </c>
      <c r="H73" s="593">
        <v>0</v>
      </c>
      <c r="I73" s="593">
        <v>0</v>
      </c>
      <c r="J73" s="593">
        <v>0</v>
      </c>
      <c r="K73" s="596">
        <v>0</v>
      </c>
    </row>
    <row r="74" spans="1:11" s="2" customFormat="1">
      <c r="A74" s="3">
        <v>22</v>
      </c>
      <c r="B74" s="518" t="s">
        <v>243</v>
      </c>
      <c r="C74" s="153" t="s">
        <v>128</v>
      </c>
      <c r="D74" s="593">
        <v>0</v>
      </c>
      <c r="E74" s="593">
        <v>0</v>
      </c>
      <c r="F74" s="593">
        <v>0</v>
      </c>
      <c r="G74" s="593">
        <v>0</v>
      </c>
      <c r="H74" s="593">
        <v>0</v>
      </c>
      <c r="I74" s="593">
        <v>0</v>
      </c>
      <c r="J74" s="593">
        <v>0</v>
      </c>
      <c r="K74" s="596">
        <v>0</v>
      </c>
    </row>
    <row r="75" spans="1:11" s="2" customFormat="1">
      <c r="A75" s="3">
        <v>23</v>
      </c>
      <c r="B75" s="518" t="s">
        <v>243</v>
      </c>
      <c r="C75" s="153" t="s">
        <v>128</v>
      </c>
      <c r="D75" s="593">
        <v>0</v>
      </c>
      <c r="E75" s="593">
        <v>0</v>
      </c>
      <c r="F75" s="593">
        <v>0</v>
      </c>
      <c r="G75" s="593">
        <v>0</v>
      </c>
      <c r="H75" s="593">
        <v>0</v>
      </c>
      <c r="I75" s="593">
        <v>0</v>
      </c>
      <c r="J75" s="593">
        <v>0</v>
      </c>
      <c r="K75" s="596">
        <v>0</v>
      </c>
    </row>
    <row r="76" spans="1:11" s="2" customFormat="1">
      <c r="A76" s="3">
        <v>24</v>
      </c>
      <c r="B76" s="518" t="s">
        <v>243</v>
      </c>
      <c r="C76" s="153" t="s">
        <v>128</v>
      </c>
      <c r="D76" s="593">
        <v>0</v>
      </c>
      <c r="E76" s="593">
        <v>0</v>
      </c>
      <c r="F76" s="593">
        <v>0</v>
      </c>
      <c r="G76" s="593">
        <v>0</v>
      </c>
      <c r="H76" s="593">
        <v>0</v>
      </c>
      <c r="I76" s="593">
        <v>0</v>
      </c>
      <c r="J76" s="593">
        <v>0</v>
      </c>
      <c r="K76" s="596">
        <v>0</v>
      </c>
    </row>
    <row r="77" spans="1:11" s="2" customFormat="1">
      <c r="A77" s="3">
        <v>25</v>
      </c>
      <c r="B77" s="518" t="s">
        <v>243</v>
      </c>
      <c r="C77" s="153" t="s">
        <v>128</v>
      </c>
      <c r="D77" s="593">
        <v>0</v>
      </c>
      <c r="E77" s="593">
        <v>0</v>
      </c>
      <c r="F77" s="593">
        <v>0</v>
      </c>
      <c r="G77" s="593">
        <v>0</v>
      </c>
      <c r="H77" s="593">
        <v>0</v>
      </c>
      <c r="I77" s="593">
        <v>0</v>
      </c>
      <c r="J77" s="593">
        <v>0</v>
      </c>
      <c r="K77" s="596">
        <v>0</v>
      </c>
    </row>
    <row r="78" spans="1:11" s="2" customFormat="1">
      <c r="B78" s="12" t="s">
        <v>171</v>
      </c>
      <c r="C78" s="153" t="s">
        <v>128</v>
      </c>
      <c r="D78" s="608">
        <f>SUM(D53:D77)</f>
        <v>89.825999999999993</v>
      </c>
      <c r="E78" s="609">
        <f t="shared" ref="E78:K78" si="7">SUM(E53:E77)</f>
        <v>132.72603260502132</v>
      </c>
      <c r="F78" s="609">
        <f t="shared" si="7"/>
        <v>68.557107706952678</v>
      </c>
      <c r="G78" s="609">
        <f t="shared" si="7"/>
        <v>105.50757303026309</v>
      </c>
      <c r="H78" s="609">
        <f t="shared" si="7"/>
        <v>104.98331826827393</v>
      </c>
      <c r="I78" s="609">
        <f t="shared" si="7"/>
        <v>112.58056767721988</v>
      </c>
      <c r="J78" s="609">
        <f t="shared" si="7"/>
        <v>97.657300448824103</v>
      </c>
      <c r="K78" s="610">
        <f t="shared" si="7"/>
        <v>90.833774911045069</v>
      </c>
    </row>
    <row r="79" spans="1:11" s="2" customFormat="1">
      <c r="C79" s="137"/>
      <c r="D79" s="53"/>
      <c r="E79" s="52"/>
      <c r="F79" s="52"/>
      <c r="G79" s="52"/>
      <c r="H79" s="52"/>
      <c r="I79" s="52"/>
      <c r="J79" s="52"/>
      <c r="K79" s="52"/>
    </row>
    <row r="80" spans="1:11" s="2" customFormat="1">
      <c r="B80" s="12" t="s">
        <v>392</v>
      </c>
      <c r="C80" s="153" t="s">
        <v>128</v>
      </c>
      <c r="D80" s="608">
        <f>D48-D78</f>
        <v>307.94317990639524</v>
      </c>
      <c r="E80" s="609">
        <f t="shared" ref="E80:K80" si="8">E48-E78</f>
        <v>317.30994900307996</v>
      </c>
      <c r="F80" s="609">
        <f t="shared" si="8"/>
        <v>286.13138485580055</v>
      </c>
      <c r="G80" s="609">
        <f t="shared" si="8"/>
        <v>266.23715493336516</v>
      </c>
      <c r="H80" s="609">
        <f t="shared" si="8"/>
        <v>292.16418008759894</v>
      </c>
      <c r="I80" s="609">
        <f t="shared" si="8"/>
        <v>305.77637655580008</v>
      </c>
      <c r="J80" s="609">
        <f t="shared" si="8"/>
        <v>317.79999922610733</v>
      </c>
      <c r="K80" s="610">
        <f t="shared" si="8"/>
        <v>379.30572690471973</v>
      </c>
    </row>
    <row r="81" spans="2:11" s="2" customFormat="1">
      <c r="B81" s="12" t="s">
        <v>480</v>
      </c>
      <c r="C81" s="153" t="s">
        <v>128</v>
      </c>
      <c r="D81" s="628">
        <f>'R4 - Totex'!D90+'R4 - Totex'!D118</f>
        <v>307.90539999999999</v>
      </c>
      <c r="E81" s="629">
        <f>'R4 - Totex'!E90+'R4 - Totex'!E118</f>
        <v>317.37949999999989</v>
      </c>
      <c r="F81" s="629">
        <f>'R4 - Totex'!F90+'R4 - Totex'!F118</f>
        <v>286.17789999999997</v>
      </c>
      <c r="G81" s="629">
        <f>'R4 - Totex'!G90+'R4 - Totex'!G118</f>
        <v>266.17189999999994</v>
      </c>
      <c r="H81" s="629">
        <f>'R4 - Totex'!H90+'R4 - Totex'!H118</f>
        <v>292.16690000000006</v>
      </c>
      <c r="I81" s="629">
        <f>'R4 - Totex'!I90+'R4 - Totex'!I118</f>
        <v>305.71350000000007</v>
      </c>
      <c r="J81" s="629">
        <f>'R4 - Totex'!J90+'R4 - Totex'!J118</f>
        <v>317.80340000417578</v>
      </c>
      <c r="K81" s="629">
        <f>'R4 - Totex'!K90+'R4 - Totex'!K118</f>
        <v>379.30645897519838</v>
      </c>
    </row>
    <row r="82" spans="2:11" s="2" customFormat="1">
      <c r="C82" s="137" t="s">
        <v>393</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OK</v>
      </c>
      <c r="K82" s="571" t="str">
        <f>IF(K$5="Actuals",IF(ABS(K80-('R4 - Totex'!K90+'R4 - Totex'!K118))&lt;'RFPR cover'!$F$14,"OK","Error"),"N/A")</f>
        <v>OK</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93" priority="66">
      <formula>AND(D$5="Actuals",E$5="N/A")</formula>
    </cfRule>
  </conditionalFormatting>
  <conditionalFormatting sqref="D5:K5">
    <cfRule type="expression" dxfId="92" priority="57">
      <formula>AND(D$5="Actuals",E$5="N/A")</formula>
    </cfRule>
  </conditionalFormatting>
  <conditionalFormatting sqref="D46:K46 D48:K48 D78:K78 D80:K80 D82:K82 D23:K23 D50:K50 D18:H19 K18 D9:J17 D53:J77">
    <cfRule type="expression" dxfId="91" priority="52">
      <formula>D$5="N/A"</formula>
    </cfRule>
  </conditionalFormatting>
  <conditionalFormatting sqref="D20:H22">
    <cfRule type="expression" dxfId="90" priority="50">
      <formula>D$5="N/A"</formula>
    </cfRule>
  </conditionalFormatting>
  <conditionalFormatting sqref="J18:J19">
    <cfRule type="expression" dxfId="89" priority="40">
      <formula>J$5="N/A"</formula>
    </cfRule>
  </conditionalFormatting>
  <conditionalFormatting sqref="J20:J22">
    <cfRule type="expression" dxfId="88" priority="38">
      <formula>J$5="N/A"</formula>
    </cfRule>
  </conditionalFormatting>
  <conditionalFormatting sqref="D49:K49">
    <cfRule type="expression" dxfId="87" priority="37">
      <formula>D$5="N/A"</formula>
    </cfRule>
  </conditionalFormatting>
  <conditionalFormatting sqref="I18:I19">
    <cfRule type="expression" dxfId="86" priority="35">
      <formula>I$5="N/A"</formula>
    </cfRule>
  </conditionalFormatting>
  <conditionalFormatting sqref="I20:I22">
    <cfRule type="expression" dxfId="85" priority="33">
      <formula>I$5="N/A"</formula>
    </cfRule>
  </conditionalFormatting>
  <conditionalFormatting sqref="D26:J45">
    <cfRule type="expression" dxfId="84" priority="24">
      <formula>D$5="N/A"</formula>
    </cfRule>
  </conditionalFormatting>
  <conditionalFormatting sqref="K57:K77">
    <cfRule type="expression" dxfId="83" priority="23">
      <formula>K$5="N/A"</formula>
    </cfRule>
  </conditionalFormatting>
  <conditionalFormatting sqref="K53:K56">
    <cfRule type="expression" dxfId="82" priority="22">
      <formula>K$5="N/A"</formula>
    </cfRule>
  </conditionalFormatting>
  <conditionalFormatting sqref="K9">
    <cfRule type="expression" dxfId="81" priority="21">
      <formula>K$5="N/A"</formula>
    </cfRule>
  </conditionalFormatting>
  <conditionalFormatting sqref="K10:K12">
    <cfRule type="expression" dxfId="80" priority="20">
      <formula>K$5="N/A"</formula>
    </cfRule>
  </conditionalFormatting>
  <conditionalFormatting sqref="K13:K17">
    <cfRule type="expression" dxfId="79" priority="19">
      <formula>K$5="N/A"</formula>
    </cfRule>
  </conditionalFormatting>
  <conditionalFormatting sqref="K19">
    <cfRule type="expression" dxfId="78" priority="18">
      <formula>K$5="N/A"</formula>
    </cfRule>
  </conditionalFormatting>
  <conditionalFormatting sqref="K20:K22">
    <cfRule type="expression" dxfId="77" priority="17">
      <formula>K$5="N/A"</formula>
    </cfRule>
  </conditionalFormatting>
  <conditionalFormatting sqref="K26:K45">
    <cfRule type="expression" dxfId="76" priority="1">
      <formula>K$5="N/A"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AD154"/>
  <sheetViews>
    <sheetView showGridLines="0" zoomScale="60" zoomScaleNormal="60" workbookViewId="0">
      <pane ySplit="6" topLeftCell="A7" activePane="bottomLeft" state="frozen"/>
      <selection activeCell="D26" sqref="D26"/>
      <selection pane="bottomLeft" activeCell="K56" sqref="K56"/>
    </sheetView>
  </sheetViews>
  <sheetFormatPr defaultColWidth="9.08984375" defaultRowHeight="12.6"/>
  <cols>
    <col min="1" max="1" width="8.36328125" style="2" customWidth="1"/>
    <col min="2" max="2" width="75.453125" style="130" customWidth="1"/>
    <col min="3" max="3" width="13.36328125" style="137" customWidth="1"/>
    <col min="4" max="11" width="11.08984375" style="2" customWidth="1"/>
    <col min="12" max="13" width="12.90625" style="2" customWidth="1"/>
    <col min="14" max="14" width="25.453125" style="2" customWidth="1"/>
    <col min="15" max="16384" width="9.08984375" style="2"/>
  </cols>
  <sheetData>
    <row r="1" spans="1:30" s="31" customFormat="1" ht="21">
      <c r="A1" s="877" t="s">
        <v>99</v>
      </c>
      <c r="B1" s="899"/>
      <c r="C1" s="279"/>
      <c r="D1" s="257"/>
      <c r="E1" s="257"/>
      <c r="F1" s="257"/>
      <c r="G1" s="257"/>
      <c r="H1" s="257"/>
      <c r="I1" s="258"/>
      <c r="J1" s="258"/>
      <c r="K1" s="259"/>
      <c r="L1" s="259"/>
      <c r="M1" s="259"/>
      <c r="N1" s="259"/>
      <c r="O1" s="364"/>
    </row>
    <row r="2" spans="1:30" s="31" customFormat="1" ht="21">
      <c r="A2" s="880" t="str">
        <f>'RFPR cover'!C5</f>
        <v>NGED-EMID</v>
      </c>
      <c r="B2" s="893"/>
      <c r="C2" s="135"/>
      <c r="D2" s="29"/>
      <c r="E2" s="29"/>
      <c r="F2" s="29"/>
      <c r="G2" s="29"/>
      <c r="H2" s="29"/>
      <c r="I2" s="27"/>
      <c r="J2" s="27"/>
      <c r="K2" s="27"/>
      <c r="L2" s="27"/>
      <c r="M2" s="27"/>
      <c r="N2" s="27"/>
      <c r="O2" s="124"/>
    </row>
    <row r="3" spans="1:30" s="31" customFormat="1" ht="21">
      <c r="A3" s="883">
        <f>'RFPR cover'!C7</f>
        <v>2023</v>
      </c>
      <c r="B3" s="894"/>
      <c r="C3" s="278"/>
      <c r="D3" s="261"/>
      <c r="E3" s="261"/>
      <c r="F3" s="261"/>
      <c r="G3" s="261"/>
      <c r="H3" s="261"/>
      <c r="I3" s="256"/>
      <c r="J3" s="256"/>
      <c r="K3" s="256"/>
      <c r="L3" s="256"/>
      <c r="M3" s="256"/>
      <c r="N3" s="256"/>
      <c r="O3" s="262"/>
    </row>
    <row r="4" spans="1:30" ht="12.75" customHeight="1"/>
    <row r="5" spans="1:30" ht="12.75" customHeight="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30" ht="27.75" customHeight="1">
      <c r="B6" s="744"/>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2023</v>
      </c>
      <c r="M6" s="120" t="s">
        <v>109</v>
      </c>
      <c r="N6" s="120" t="s">
        <v>307</v>
      </c>
    </row>
    <row r="7" spans="1:30" s="35" customFormat="1">
      <c r="B7" s="745"/>
      <c r="C7" s="159"/>
      <c r="D7" s="58"/>
      <c r="E7" s="58"/>
      <c r="F7" s="58"/>
      <c r="G7" s="58"/>
      <c r="H7" s="58"/>
      <c r="I7" s="58"/>
      <c r="J7" s="58"/>
      <c r="K7" s="58"/>
      <c r="L7" s="58"/>
      <c r="M7" s="58"/>
      <c r="N7" s="58"/>
    </row>
    <row r="8" spans="1:30" s="35" customFormat="1">
      <c r="B8" s="746" t="s">
        <v>380</v>
      </c>
      <c r="C8" s="292"/>
      <c r="D8" s="322"/>
      <c r="E8" s="322"/>
      <c r="F8" s="322"/>
      <c r="G8" s="322"/>
      <c r="H8" s="322"/>
      <c r="I8" s="322"/>
      <c r="J8" s="322"/>
      <c r="K8" s="322"/>
      <c r="L8" s="322"/>
      <c r="M8" s="322"/>
      <c r="N8" s="322"/>
    </row>
    <row r="9" spans="1:30" s="35" customFormat="1">
      <c r="B9" s="745"/>
      <c r="C9" s="159"/>
      <c r="D9" s="58"/>
      <c r="E9" s="58"/>
      <c r="F9" s="58"/>
      <c r="G9" s="58"/>
      <c r="H9" s="58"/>
      <c r="I9" s="58"/>
      <c r="J9" s="58"/>
      <c r="K9" s="58"/>
      <c r="L9" s="58"/>
      <c r="M9" s="58"/>
      <c r="N9" s="58"/>
    </row>
    <row r="10" spans="1:30">
      <c r="A10" s="35"/>
      <c r="B10" s="747" t="str">
        <f>Data!B48</f>
        <v>Totex</v>
      </c>
      <c r="C10" s="151"/>
      <c r="D10" s="82"/>
      <c r="E10" s="82"/>
      <c r="F10" s="82"/>
      <c r="G10" s="82"/>
      <c r="H10" s="82"/>
      <c r="I10" s="82"/>
      <c r="J10" s="82"/>
      <c r="K10" s="82"/>
      <c r="L10" s="82"/>
      <c r="M10" s="82"/>
      <c r="N10" s="82"/>
      <c r="P10"/>
      <c r="Q10"/>
      <c r="R10"/>
      <c r="S10"/>
      <c r="T10"/>
    </row>
    <row r="11" spans="1:30" s="35" customFormat="1">
      <c r="B11" s="748"/>
      <c r="C11" s="139"/>
      <c r="D11" s="321"/>
      <c r="E11" s="321"/>
      <c r="F11" s="321"/>
      <c r="G11" s="321"/>
      <c r="H11" s="321"/>
      <c r="I11" s="321"/>
      <c r="J11" s="321"/>
      <c r="K11" s="321"/>
      <c r="L11" s="321"/>
      <c r="M11" s="321"/>
      <c r="N11" s="321"/>
      <c r="P11"/>
      <c r="Q11"/>
      <c r="R11"/>
      <c r="S11"/>
      <c r="T11"/>
      <c r="U11" s="2"/>
      <c r="V11" s="2"/>
      <c r="W11" s="2"/>
    </row>
    <row r="12" spans="1:30">
      <c r="A12" s="35"/>
      <c r="B12" s="306" t="s">
        <v>34</v>
      </c>
      <c r="C12" s="156" t="str">
        <f>'RFPR cover'!$C$14</f>
        <v>£m 12/13</v>
      </c>
      <c r="D12" s="483">
        <v>290.39001879097879</v>
      </c>
      <c r="E12" s="483">
        <v>293.045937849067</v>
      </c>
      <c r="F12" s="483">
        <v>254.7054930467647</v>
      </c>
      <c r="G12" s="483">
        <v>229.87564640779644</v>
      </c>
      <c r="H12" s="483">
        <v>245.95872674114551</v>
      </c>
      <c r="I12" s="483">
        <v>254.27886408910592</v>
      </c>
      <c r="J12" s="483">
        <v>249.90052287269398</v>
      </c>
      <c r="K12" s="483">
        <v>264.24349575833935</v>
      </c>
      <c r="L12" s="108">
        <f>SUM(D12:INDEX(D12:K12,0,MATCH('RFPR cover'!$C$7,$D$6:$K$6,0)))</f>
        <v>2082.3987055558914</v>
      </c>
      <c r="M12" s="109">
        <f>SUM(D12:K12)</f>
        <v>2082.3987055558914</v>
      </c>
      <c r="N12" s="63"/>
      <c r="O12" s="63"/>
      <c r="P12" s="324"/>
      <c r="Q12"/>
      <c r="R12"/>
      <c r="S12"/>
      <c r="T12"/>
      <c r="V12" s="63"/>
      <c r="W12" s="63"/>
      <c r="X12" s="63"/>
      <c r="Y12" s="63"/>
      <c r="Z12" s="63"/>
      <c r="AA12" s="63"/>
      <c r="AB12" s="63"/>
      <c r="AC12" s="63"/>
      <c r="AD12" s="63"/>
    </row>
    <row r="13" spans="1:30" ht="25.2">
      <c r="A13" s="35"/>
      <c r="B13" s="749" t="s">
        <v>492</v>
      </c>
      <c r="C13" s="156" t="str">
        <f>'RFPR cover'!$C$14</f>
        <v>£m 12/13</v>
      </c>
      <c r="D13" s="484">
        <v>285.11734732566606</v>
      </c>
      <c r="E13" s="485">
        <v>279.22331127351123</v>
      </c>
      <c r="F13" s="485">
        <v>248.50927533928532</v>
      </c>
      <c r="G13" s="485">
        <v>253.42698243379786</v>
      </c>
      <c r="H13" s="485">
        <v>249.88058530451443</v>
      </c>
      <c r="I13" s="485">
        <v>256.86020492205694</v>
      </c>
      <c r="J13" s="485">
        <v>271.53165553324106</v>
      </c>
      <c r="K13" s="485">
        <v>264.58615983673218</v>
      </c>
      <c r="L13" s="106">
        <f>SUM(D13:INDEX(D13:K13,0,MATCH('RFPR cover'!$C$7,$D$6:$K$6,0)))</f>
        <v>2109.1355219688048</v>
      </c>
      <c r="M13" s="107">
        <f>SUM(D13:K13)</f>
        <v>2109.1355219688048</v>
      </c>
      <c r="N13" s="63"/>
      <c r="O13" s="63"/>
      <c r="P13"/>
      <c r="Q13"/>
      <c r="R13"/>
      <c r="S13"/>
      <c r="T13"/>
      <c r="V13" s="63"/>
      <c r="W13" s="63"/>
      <c r="X13" s="63"/>
      <c r="Y13" s="63"/>
      <c r="Z13" s="63"/>
      <c r="AA13" s="63"/>
      <c r="AB13" s="63"/>
      <c r="AC13" s="63"/>
      <c r="AD13" s="63"/>
    </row>
    <row r="14" spans="1:30">
      <c r="A14" s="35"/>
      <c r="B14" s="750" t="s">
        <v>195</v>
      </c>
      <c r="C14" s="156" t="str">
        <f>'RFPR cover'!$C$14</f>
        <v>£m 12/13</v>
      </c>
      <c r="D14" s="103">
        <f>D13-D12</f>
        <v>-5.272671465312726</v>
      </c>
      <c r="E14" s="104">
        <f t="shared" ref="E14:M14" si="1">E13-E12</f>
        <v>-13.822626575555773</v>
      </c>
      <c r="F14" s="104">
        <f t="shared" si="1"/>
        <v>-6.1962177074793772</v>
      </c>
      <c r="G14" s="104">
        <f t="shared" si="1"/>
        <v>23.551336026001422</v>
      </c>
      <c r="H14" s="104">
        <f t="shared" si="1"/>
        <v>3.9218585633689145</v>
      </c>
      <c r="I14" s="104">
        <f t="shared" si="1"/>
        <v>2.5813408329510139</v>
      </c>
      <c r="J14" s="104">
        <f t="shared" si="1"/>
        <v>21.631132660547081</v>
      </c>
      <c r="K14" s="104">
        <f t="shared" si="1"/>
        <v>0.3426640783928292</v>
      </c>
      <c r="L14" s="103">
        <f t="shared" si="1"/>
        <v>26.736816412913413</v>
      </c>
      <c r="M14" s="105">
        <f t="shared" si="1"/>
        <v>26.736816412913413</v>
      </c>
      <c r="N14" s="63"/>
      <c r="O14" s="924"/>
      <c r="P14"/>
      <c r="Q14"/>
      <c r="R14"/>
      <c r="S14"/>
      <c r="T14"/>
      <c r="V14" s="63"/>
      <c r="W14" s="63"/>
      <c r="X14" s="63"/>
      <c r="Y14" s="63"/>
      <c r="Z14" s="63"/>
      <c r="AA14" s="63"/>
      <c r="AB14" s="63"/>
      <c r="AC14" s="63"/>
      <c r="AD14" s="63"/>
    </row>
    <row r="15" spans="1:30">
      <c r="A15" s="35"/>
      <c r="B15" s="750"/>
      <c r="C15" s="156"/>
      <c r="D15" s="59"/>
      <c r="E15" s="59"/>
      <c r="F15" s="59"/>
      <c r="G15" s="59"/>
      <c r="H15" s="59"/>
      <c r="I15" s="59"/>
      <c r="J15" s="59"/>
      <c r="K15" s="59"/>
      <c r="L15" s="59"/>
      <c r="M15" s="59"/>
      <c r="P15"/>
      <c r="Q15"/>
      <c r="R15"/>
      <c r="S15"/>
      <c r="T15"/>
      <c r="V15" s="63"/>
      <c r="W15" s="63"/>
      <c r="X15" s="63"/>
      <c r="Y15" s="63"/>
      <c r="Z15" s="63"/>
      <c r="AA15" s="63"/>
      <c r="AB15" s="63"/>
      <c r="AC15" s="63"/>
      <c r="AD15" s="63"/>
    </row>
    <row r="16" spans="1:30">
      <c r="A16" s="35"/>
      <c r="B16" s="744" t="s">
        <v>178</v>
      </c>
      <c r="C16" s="137" t="s">
        <v>7</v>
      </c>
      <c r="D16" s="110">
        <f>1-INDEX(Data!$D$73:$D$100,MATCH('RFPR cover'!$C$5,Data!$B$73:$B$100,0),0)</f>
        <v>0.30000000000000004</v>
      </c>
      <c r="E16" s="111">
        <f>1-INDEX(Data!$D$73:$D$100,MATCH('RFPR cover'!$C$5,Data!$B$73:$B$100,0),0)</f>
        <v>0.30000000000000004</v>
      </c>
      <c r="F16" s="111">
        <f>1-INDEX(Data!$D$73:$D$100,MATCH('RFPR cover'!$C$5,Data!$B$73:$B$100,0),0)</f>
        <v>0.30000000000000004</v>
      </c>
      <c r="G16" s="111">
        <f>1-INDEX(Data!$D$73:$D$100,MATCH('RFPR cover'!$C$5,Data!$B$73:$B$100,0),0)</f>
        <v>0.30000000000000004</v>
      </c>
      <c r="H16" s="111">
        <f>1-INDEX(Data!$D$73:$D$100,MATCH('RFPR cover'!$C$5,Data!$B$73:$B$100,0),0)</f>
        <v>0.30000000000000004</v>
      </c>
      <c r="I16" s="111">
        <f>1-INDEX(Data!$D$73:$D$100,MATCH('RFPR cover'!$C$5,Data!$B$73:$B$100,0),0)</f>
        <v>0.30000000000000004</v>
      </c>
      <c r="J16" s="111">
        <f>1-INDEX(Data!$D$73:$D$100,MATCH('RFPR cover'!$C$5,Data!$B$73:$B$100,0),0)</f>
        <v>0.30000000000000004</v>
      </c>
      <c r="K16" s="112">
        <f>1-INDEX(Data!$D$73:$D$100,MATCH('RFPR cover'!$C$5,Data!$B$73:$B$100,0),0)</f>
        <v>0.30000000000000004</v>
      </c>
      <c r="L16" s="62"/>
      <c r="M16" s="62"/>
      <c r="P16"/>
      <c r="Q16"/>
      <c r="R16"/>
      <c r="S16"/>
      <c r="T16"/>
      <c r="V16" s="63"/>
      <c r="W16" s="63"/>
      <c r="X16" s="63"/>
      <c r="Y16" s="63"/>
      <c r="Z16" s="63"/>
      <c r="AA16" s="63"/>
      <c r="AB16" s="63"/>
      <c r="AC16" s="63"/>
      <c r="AD16" s="63"/>
    </row>
    <row r="17" spans="1:30">
      <c r="A17" s="35"/>
      <c r="B17" s="744"/>
      <c r="P17"/>
      <c r="Q17"/>
      <c r="R17"/>
      <c r="S17"/>
      <c r="T17"/>
      <c r="V17" s="63"/>
      <c r="W17" s="63"/>
      <c r="X17" s="63"/>
      <c r="Y17" s="63"/>
      <c r="Z17" s="63"/>
      <c r="AA17" s="63"/>
      <c r="AB17" s="63"/>
      <c r="AC17" s="63"/>
      <c r="AD17" s="63"/>
    </row>
    <row r="18" spans="1:30">
      <c r="A18" s="35"/>
      <c r="B18" s="751" t="s">
        <v>183</v>
      </c>
      <c r="C18" s="160" t="str">
        <f>'RFPR cover'!$C$14</f>
        <v>£m 12/13</v>
      </c>
      <c r="D18" s="96">
        <f>D14*D16</f>
        <v>-1.581801439593818</v>
      </c>
      <c r="E18" s="97">
        <f t="shared" ref="E18:K18" si="2">E14*E16</f>
        <v>-4.1467879726667327</v>
      </c>
      <c r="F18" s="97">
        <f t="shared" si="2"/>
        <v>-1.8588653122438135</v>
      </c>
      <c r="G18" s="97">
        <f t="shared" si="2"/>
        <v>7.0654008078004278</v>
      </c>
      <c r="H18" s="97">
        <f t="shared" si="2"/>
        <v>1.1765575690106744</v>
      </c>
      <c r="I18" s="97">
        <f t="shared" si="2"/>
        <v>0.77440224988530426</v>
      </c>
      <c r="J18" s="97">
        <f t="shared" si="2"/>
        <v>6.4893397981641252</v>
      </c>
      <c r="K18" s="97">
        <f t="shared" si="2"/>
        <v>0.10279922351784877</v>
      </c>
      <c r="L18" s="96">
        <f>SUM(D18:INDEX(D18:K18,0,MATCH('RFPR cover'!$C$7,$D$6:$K$6,0)))</f>
        <v>8.0210449238740171</v>
      </c>
      <c r="M18" s="98">
        <f>SUM(D18:K18)</f>
        <v>8.0210449238740171</v>
      </c>
      <c r="P18"/>
      <c r="Q18"/>
      <c r="R18"/>
      <c r="S18"/>
      <c r="T18"/>
      <c r="V18" s="63"/>
      <c r="W18" s="63"/>
      <c r="X18" s="63"/>
      <c r="Y18" s="63"/>
      <c r="Z18" s="63"/>
      <c r="AA18" s="63"/>
      <c r="AB18" s="63"/>
      <c r="AC18" s="63"/>
      <c r="AD18" s="63"/>
    </row>
    <row r="19" spans="1:30">
      <c r="A19" s="35"/>
      <c r="B19" s="751" t="s">
        <v>276</v>
      </c>
      <c r="C19" s="160" t="str">
        <f>'RFPR cover'!$C$14</f>
        <v>£m 12/13</v>
      </c>
      <c r="D19" s="93">
        <f>D14*(1-D16)</f>
        <v>-3.6908700257189078</v>
      </c>
      <c r="E19" s="94">
        <f t="shared" ref="E19:K19" si="3">E14*(1-E16)</f>
        <v>-9.6758386028890406</v>
      </c>
      <c r="F19" s="94">
        <f t="shared" si="3"/>
        <v>-4.3373523952355635</v>
      </c>
      <c r="G19" s="94">
        <f t="shared" si="3"/>
        <v>16.485935218200996</v>
      </c>
      <c r="H19" s="94">
        <f t="shared" si="3"/>
        <v>2.74530099435824</v>
      </c>
      <c r="I19" s="94">
        <f t="shared" si="3"/>
        <v>1.8069385830657096</v>
      </c>
      <c r="J19" s="94">
        <f t="shared" si="3"/>
        <v>15.141792862382955</v>
      </c>
      <c r="K19" s="94">
        <f t="shared" si="3"/>
        <v>0.23986485487498041</v>
      </c>
      <c r="L19" s="93">
        <f>SUM(D19:INDEX(D19:K19,0,MATCH('RFPR cover'!$C$7,$D$6:$K$6,0)))</f>
        <v>18.715771489039369</v>
      </c>
      <c r="M19" s="95">
        <f>SUM(D19:K19)</f>
        <v>18.715771489039369</v>
      </c>
      <c r="P19"/>
      <c r="Q19"/>
      <c r="R19"/>
      <c r="S19"/>
      <c r="T19"/>
      <c r="V19" s="63"/>
      <c r="W19" s="63"/>
      <c r="X19" s="63"/>
      <c r="Y19" s="63"/>
      <c r="Z19" s="63"/>
      <c r="AA19" s="63"/>
      <c r="AB19" s="63"/>
      <c r="AC19" s="63"/>
      <c r="AD19" s="63"/>
    </row>
    <row r="20" spans="1:30">
      <c r="A20" s="35"/>
      <c r="B20" s="744"/>
      <c r="P20"/>
      <c r="Q20"/>
      <c r="R20"/>
      <c r="S20"/>
      <c r="T20"/>
      <c r="V20" s="63"/>
      <c r="W20" s="63"/>
      <c r="X20" s="63"/>
      <c r="Y20" s="63"/>
      <c r="Z20" s="63"/>
      <c r="AA20" s="63"/>
      <c r="AB20" s="63"/>
      <c r="AC20" s="63"/>
      <c r="AD20" s="63"/>
    </row>
    <row r="21" spans="1:30">
      <c r="A21" s="35"/>
      <c r="B21" s="752" t="s">
        <v>182</v>
      </c>
      <c r="N21" s="63"/>
      <c r="P21"/>
      <c r="Q21"/>
      <c r="R21"/>
      <c r="S21"/>
      <c r="T21"/>
      <c r="V21" s="63"/>
      <c r="W21" s="63"/>
      <c r="X21" s="63"/>
      <c r="Y21" s="63"/>
      <c r="Z21" s="63"/>
      <c r="AA21" s="63"/>
      <c r="AB21" s="63"/>
      <c r="AC21" s="63"/>
      <c r="AD21" s="63"/>
    </row>
    <row r="22" spans="1:30">
      <c r="A22" s="270" t="s">
        <v>151</v>
      </c>
      <c r="B22" s="742" t="s">
        <v>606</v>
      </c>
      <c r="C22" s="156" t="str">
        <f>'RFPR cover'!$C$14</f>
        <v>£m 12/13</v>
      </c>
      <c r="D22" s="483">
        <v>0</v>
      </c>
      <c r="E22" s="582">
        <v>11.799136345564325</v>
      </c>
      <c r="F22" s="582">
        <v>-11.098072536161318</v>
      </c>
      <c r="G22" s="582">
        <v>-0.26729853626705197</v>
      </c>
      <c r="H22" s="582">
        <v>0</v>
      </c>
      <c r="I22" s="582">
        <v>0</v>
      </c>
      <c r="J22" s="582">
        <v>0</v>
      </c>
      <c r="K22" s="582">
        <v>0</v>
      </c>
      <c r="L22" s="583">
        <f>SUM(D22:INDEX(D22:K22,0,MATCH('RFPR cover'!$C$7,$D$6:$K$6,0)))</f>
        <v>0.43376527313595442</v>
      </c>
      <c r="M22" s="584">
        <f t="shared" ref="M22:M27" si="4">SUM(D22:K22)</f>
        <v>0.43376527313595442</v>
      </c>
      <c r="N22" s="572" t="s">
        <v>609</v>
      </c>
      <c r="P22"/>
      <c r="Q22"/>
      <c r="R22"/>
      <c r="S22"/>
      <c r="T22"/>
      <c r="V22" s="63"/>
      <c r="W22" s="63"/>
      <c r="X22" s="63"/>
      <c r="Y22" s="63"/>
      <c r="Z22" s="63"/>
      <c r="AA22" s="63"/>
      <c r="AB22" s="63"/>
      <c r="AC22" s="63"/>
      <c r="AD22" s="63"/>
    </row>
    <row r="23" spans="1:30">
      <c r="A23" s="270" t="s">
        <v>152</v>
      </c>
      <c r="B23" s="742" t="s">
        <v>607</v>
      </c>
      <c r="C23" s="156" t="str">
        <f>'RFPR cover'!$C$14</f>
        <v>£m 12/13</v>
      </c>
      <c r="D23" s="585">
        <v>0</v>
      </c>
      <c r="E23" s="586">
        <v>0</v>
      </c>
      <c r="F23" s="586">
        <v>-13.411143419370534</v>
      </c>
      <c r="G23" s="586">
        <v>-1.3268356449276484</v>
      </c>
      <c r="H23" s="586">
        <v>4.5524386062598117</v>
      </c>
      <c r="I23" s="586">
        <v>3.395</v>
      </c>
      <c r="J23" s="586">
        <v>3.395</v>
      </c>
      <c r="K23" s="586">
        <v>3.3955404580383717</v>
      </c>
      <c r="L23" s="587">
        <f>SUM(D23:INDEX(D23:K23,0,MATCH('RFPR cover'!$C$7,$D$6:$K$6,0)))</f>
        <v>0</v>
      </c>
      <c r="M23" s="588">
        <f t="shared" si="4"/>
        <v>0</v>
      </c>
      <c r="N23" s="573" t="s">
        <v>609</v>
      </c>
      <c r="O23"/>
      <c r="P23"/>
      <c r="Q23"/>
      <c r="R23"/>
      <c r="S23"/>
      <c r="T23"/>
      <c r="V23" s="63"/>
      <c r="W23" s="63"/>
      <c r="X23" s="63"/>
      <c r="Y23" s="63"/>
      <c r="Z23" s="63"/>
      <c r="AA23" s="63"/>
      <c r="AB23" s="63"/>
      <c r="AC23" s="63"/>
      <c r="AD23" s="63"/>
    </row>
    <row r="24" spans="1:30">
      <c r="A24" s="270" t="s">
        <v>153</v>
      </c>
      <c r="B24" s="742" t="s">
        <v>608</v>
      </c>
      <c r="C24" s="156" t="str">
        <f>'RFPR cover'!$C$14</f>
        <v>£m 12/13</v>
      </c>
      <c r="D24" s="585">
        <v>0</v>
      </c>
      <c r="E24" s="586">
        <v>0</v>
      </c>
      <c r="F24" s="586">
        <v>0</v>
      </c>
      <c r="G24" s="586">
        <v>0</v>
      </c>
      <c r="H24" s="586">
        <v>0</v>
      </c>
      <c r="I24" s="586">
        <v>0</v>
      </c>
      <c r="J24" s="586">
        <v>0</v>
      </c>
      <c r="K24" s="586">
        <v>-0.57216153578847651</v>
      </c>
      <c r="L24" s="587">
        <f>SUM(D24:INDEX(D24:K24,0,MATCH('RFPR cover'!$C$7,$D$6:$K$6,0)))</f>
        <v>-0.57216153578847651</v>
      </c>
      <c r="M24" s="588">
        <f t="shared" si="4"/>
        <v>-0.57216153578847651</v>
      </c>
      <c r="N24" s="573" t="s">
        <v>609</v>
      </c>
      <c r="O24"/>
      <c r="P24" s="324"/>
      <c r="Q24"/>
      <c r="R24"/>
      <c r="S24"/>
      <c r="T24"/>
      <c r="V24" s="63"/>
      <c r="W24" s="63"/>
      <c r="X24" s="63"/>
      <c r="Y24" s="63"/>
      <c r="Z24" s="63"/>
      <c r="AA24" s="63"/>
      <c r="AB24" s="63"/>
      <c r="AC24" s="63"/>
      <c r="AD24" s="63"/>
    </row>
    <row r="25" spans="1:30">
      <c r="A25" s="270" t="s">
        <v>168</v>
      </c>
      <c r="B25" s="742" t="s">
        <v>628</v>
      </c>
      <c r="C25" s="156" t="str">
        <f>'RFPR cover'!$C$14</f>
        <v>£m 12/13</v>
      </c>
      <c r="D25" s="585">
        <v>0</v>
      </c>
      <c r="E25" s="586">
        <v>0</v>
      </c>
      <c r="F25" s="586">
        <v>0</v>
      </c>
      <c r="G25" s="586">
        <v>0</v>
      </c>
      <c r="H25" s="586">
        <v>0</v>
      </c>
      <c r="I25" s="586">
        <v>0</v>
      </c>
      <c r="J25" s="586">
        <v>0</v>
      </c>
      <c r="K25" s="586">
        <v>0</v>
      </c>
      <c r="L25" s="587">
        <f>SUM(D25:INDEX(D25:K25,0,MATCH('RFPR cover'!$C$7,$D$6:$K$6,0)))</f>
        <v>0</v>
      </c>
      <c r="M25" s="588">
        <f t="shared" si="4"/>
        <v>0</v>
      </c>
      <c r="N25" s="573"/>
      <c r="O25"/>
      <c r="P25" s="324"/>
      <c r="Q25"/>
      <c r="R25"/>
      <c r="S25"/>
      <c r="T25"/>
      <c r="V25" s="63"/>
      <c r="W25" s="63"/>
      <c r="X25" s="63"/>
      <c r="Y25" s="63"/>
      <c r="Z25" s="63"/>
      <c r="AA25" s="63"/>
      <c r="AB25" s="63"/>
      <c r="AC25" s="63"/>
      <c r="AD25" s="63"/>
    </row>
    <row r="26" spans="1:30">
      <c r="A26" s="270" t="s">
        <v>169</v>
      </c>
      <c r="B26" s="742" t="s">
        <v>242</v>
      </c>
      <c r="C26" s="156"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c r="V26" s="63"/>
      <c r="W26" s="63"/>
      <c r="X26" s="63"/>
      <c r="Y26" s="63"/>
      <c r="Z26" s="63"/>
      <c r="AA26" s="63"/>
      <c r="AB26" s="63"/>
      <c r="AC26" s="63"/>
      <c r="AD26" s="63"/>
    </row>
    <row r="27" spans="1:30">
      <c r="A27" s="270" t="s">
        <v>170</v>
      </c>
      <c r="B27" s="742" t="s">
        <v>242</v>
      </c>
      <c r="C27" s="156"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c r="V27" s="63"/>
      <c r="W27" s="63"/>
      <c r="X27" s="63"/>
      <c r="Y27" s="63"/>
      <c r="Z27" s="63"/>
      <c r="AA27" s="63"/>
      <c r="AB27" s="63"/>
      <c r="AC27" s="63"/>
      <c r="AD27" s="63"/>
    </row>
    <row r="28" spans="1:30">
      <c r="A28" s="35"/>
      <c r="B28" s="752" t="s">
        <v>190</v>
      </c>
      <c r="C28" s="156" t="str">
        <f>'RFPR cover'!$C$14</f>
        <v>£m 12/13</v>
      </c>
      <c r="D28" s="103">
        <f>SUM(D22:D27)</f>
        <v>0</v>
      </c>
      <c r="E28" s="104">
        <f t="shared" ref="E28:K28" si="5">SUM(E22:E27)</f>
        <v>11.799136345564325</v>
      </c>
      <c r="F28" s="104">
        <f t="shared" si="5"/>
        <v>-24.50921595553185</v>
      </c>
      <c r="G28" s="104">
        <f t="shared" si="5"/>
        <v>-1.5941341811947003</v>
      </c>
      <c r="H28" s="104">
        <f t="shared" si="5"/>
        <v>4.5524386062598117</v>
      </c>
      <c r="I28" s="104">
        <f t="shared" si="5"/>
        <v>3.395</v>
      </c>
      <c r="J28" s="104">
        <f t="shared" si="5"/>
        <v>3.395</v>
      </c>
      <c r="K28" s="104">
        <f t="shared" si="5"/>
        <v>2.8233789222498951</v>
      </c>
      <c r="L28" s="103">
        <f>SUM(D28:INDEX(D28:K28,0,MATCH('RFPR cover'!$C$7,$D$6:$K$6,0)))</f>
        <v>-0.13839626265251903</v>
      </c>
      <c r="M28" s="105">
        <f>SUM(D28:K28)</f>
        <v>-0.13839626265251903</v>
      </c>
      <c r="N28" s="63"/>
      <c r="V28" s="63"/>
      <c r="W28" s="63"/>
      <c r="X28" s="63"/>
      <c r="Y28" s="63"/>
      <c r="Z28" s="63"/>
      <c r="AA28" s="63"/>
      <c r="AB28" s="63"/>
      <c r="AC28" s="63"/>
      <c r="AD28" s="63"/>
    </row>
    <row r="29" spans="1:30">
      <c r="A29" s="35"/>
      <c r="B29" s="744"/>
    </row>
    <row r="30" spans="1:30">
      <c r="A30" s="35"/>
      <c r="B30" s="751" t="s">
        <v>198</v>
      </c>
      <c r="C30" s="160" t="str">
        <f>'RFPR cover'!$C$14</f>
        <v>£m 12/13</v>
      </c>
      <c r="D30" s="96">
        <f t="shared" ref="D30:K30" si="6">D28*D16</f>
        <v>0</v>
      </c>
      <c r="E30" s="97">
        <f t="shared" si="6"/>
        <v>3.5397409036692977</v>
      </c>
      <c r="F30" s="97">
        <f t="shared" si="6"/>
        <v>-7.3527647866595558</v>
      </c>
      <c r="G30" s="97">
        <f t="shared" si="6"/>
        <v>-0.47824025435841017</v>
      </c>
      <c r="H30" s="97">
        <f t="shared" si="6"/>
        <v>1.3657315818779436</v>
      </c>
      <c r="I30" s="97">
        <f t="shared" si="6"/>
        <v>1.0185000000000002</v>
      </c>
      <c r="J30" s="97">
        <f t="shared" si="6"/>
        <v>1.0185000000000002</v>
      </c>
      <c r="K30" s="97">
        <f t="shared" si="6"/>
        <v>0.84701367667496863</v>
      </c>
      <c r="L30" s="96">
        <f>SUM(D30:INDEX(D30:K30,0,MATCH('RFPR cover'!$C$7,$D$6:$K$6,0)))</f>
        <v>-4.1518878795755998E-2</v>
      </c>
      <c r="M30" s="98">
        <f>SUM(D30:K30)</f>
        <v>-4.1518878795755998E-2</v>
      </c>
    </row>
    <row r="31" spans="1:30">
      <c r="A31" s="35"/>
      <c r="B31" s="751" t="s">
        <v>305</v>
      </c>
      <c r="C31" s="160" t="str">
        <f>'RFPR cover'!$C$14</f>
        <v>£m 12/13</v>
      </c>
      <c r="D31" s="93">
        <f t="shared" ref="D31:K31" si="7">D28*(1-D16)</f>
        <v>0</v>
      </c>
      <c r="E31" s="94">
        <f t="shared" si="7"/>
        <v>8.2593954418950268</v>
      </c>
      <c r="F31" s="94">
        <f t="shared" si="7"/>
        <v>-17.156451168872294</v>
      </c>
      <c r="G31" s="94">
        <f t="shared" si="7"/>
        <v>-1.1158939268362902</v>
      </c>
      <c r="H31" s="94">
        <f t="shared" si="7"/>
        <v>3.1867070243818678</v>
      </c>
      <c r="I31" s="94">
        <f t="shared" si="7"/>
        <v>2.3765000000000001</v>
      </c>
      <c r="J31" s="94">
        <f t="shared" si="7"/>
        <v>2.3765000000000001</v>
      </c>
      <c r="K31" s="94">
        <f t="shared" si="7"/>
        <v>1.9763652455749263</v>
      </c>
      <c r="L31" s="93">
        <f>SUM(D31:INDEX(D31:K31,0,MATCH('RFPR cover'!$C$7,$D$6:$K$6,0)))</f>
        <v>-9.6877383856763144E-2</v>
      </c>
      <c r="M31" s="95">
        <f>SUM(D31:K31)</f>
        <v>-9.6877383856763144E-2</v>
      </c>
    </row>
    <row r="32" spans="1:30">
      <c r="A32" s="35"/>
      <c r="B32" s="744"/>
    </row>
    <row r="33" spans="1:20">
      <c r="A33" s="35"/>
      <c r="B33" s="752" t="s">
        <v>181</v>
      </c>
    </row>
    <row r="34" spans="1:20">
      <c r="A34" s="35"/>
      <c r="B34" s="744" t="s">
        <v>180</v>
      </c>
      <c r="C34" s="156" t="str">
        <f>'RFPR cover'!$C$14</f>
        <v>£m 12/13</v>
      </c>
      <c r="D34" s="96">
        <f>D18+D30</f>
        <v>-1.581801439593818</v>
      </c>
      <c r="E34" s="97">
        <f t="shared" ref="E34:K34" si="8">E18+E30</f>
        <v>-0.60704706899743499</v>
      </c>
      <c r="F34" s="97">
        <f t="shared" si="8"/>
        <v>-9.2116300989033686</v>
      </c>
      <c r="G34" s="97">
        <f t="shared" si="8"/>
        <v>6.5871605534420175</v>
      </c>
      <c r="H34" s="97">
        <f t="shared" si="8"/>
        <v>2.5422891508886183</v>
      </c>
      <c r="I34" s="97">
        <f t="shared" si="8"/>
        <v>1.7929022498853044</v>
      </c>
      <c r="J34" s="97">
        <f t="shared" si="8"/>
        <v>7.5078397981641256</v>
      </c>
      <c r="K34" s="97">
        <f t="shared" si="8"/>
        <v>0.94981290019281739</v>
      </c>
      <c r="L34" s="96">
        <f>SUM(D34:INDEX(D34:K34,0,MATCH('RFPR cover'!$C$7,$D$6:$K$6,0)))</f>
        <v>7.9795260450782619</v>
      </c>
      <c r="M34" s="98">
        <f>SUM(D34:K34)</f>
        <v>7.9795260450782619</v>
      </c>
    </row>
    <row r="35" spans="1:20">
      <c r="A35" s="35"/>
      <c r="B35" s="744" t="s">
        <v>276</v>
      </c>
      <c r="C35" s="156" t="str">
        <f>'RFPR cover'!$C$14</f>
        <v>£m 12/13</v>
      </c>
      <c r="D35" s="99">
        <f>D19+D31</f>
        <v>-3.6908700257189078</v>
      </c>
      <c r="E35" s="100">
        <f t="shared" ref="E35:K35" si="9">E19+E31</f>
        <v>-1.4164431609940138</v>
      </c>
      <c r="F35" s="100">
        <f t="shared" si="9"/>
        <v>-21.493803564107857</v>
      </c>
      <c r="G35" s="100">
        <f t="shared" si="9"/>
        <v>15.370041291364707</v>
      </c>
      <c r="H35" s="100">
        <f t="shared" si="9"/>
        <v>5.9320080187401079</v>
      </c>
      <c r="I35" s="100">
        <f t="shared" si="9"/>
        <v>4.1834385830657101</v>
      </c>
      <c r="J35" s="100">
        <f t="shared" si="9"/>
        <v>17.518292862382957</v>
      </c>
      <c r="K35" s="100">
        <f t="shared" si="9"/>
        <v>2.2162301004499065</v>
      </c>
      <c r="L35" s="99">
        <f>SUM(D35:INDEX(D35:K35,0,MATCH('RFPR cover'!$C$7,$D$6:$K$6,0)))</f>
        <v>18.618894105182608</v>
      </c>
      <c r="M35" s="101">
        <f>SUM(D35:K35)</f>
        <v>18.618894105182608</v>
      </c>
    </row>
    <row r="36" spans="1:20">
      <c r="A36" s="35"/>
      <c r="B36" s="752" t="s">
        <v>11</v>
      </c>
      <c r="C36" s="157" t="str">
        <f>'RFPR cover'!$C$14</f>
        <v>£m 12/13</v>
      </c>
      <c r="D36" s="140">
        <f>SUM(D34:D35)</f>
        <v>-5.272671465312726</v>
      </c>
      <c r="E36" s="141">
        <f t="shared" ref="E36:K36" si="10">SUM(E34:E35)</f>
        <v>-2.0234902299914488</v>
      </c>
      <c r="F36" s="141">
        <f t="shared" si="10"/>
        <v>-30.705433663011227</v>
      </c>
      <c r="G36" s="141">
        <f t="shared" si="10"/>
        <v>21.957201844806725</v>
      </c>
      <c r="H36" s="141">
        <f t="shared" si="10"/>
        <v>8.474297169628727</v>
      </c>
      <c r="I36" s="141">
        <f t="shared" si="10"/>
        <v>5.9763408329510144</v>
      </c>
      <c r="J36" s="141">
        <f t="shared" si="10"/>
        <v>25.026132660547084</v>
      </c>
      <c r="K36" s="141">
        <f t="shared" si="10"/>
        <v>3.1660430006427238</v>
      </c>
      <c r="L36" s="140">
        <f>SUM(D36:INDEX(D36:K36,0,MATCH('RFPR cover'!$C$7,$D$6:$K$6,0)))</f>
        <v>26.598420150260875</v>
      </c>
      <c r="M36" s="142">
        <f>SUM(D36:K36)</f>
        <v>26.598420150260875</v>
      </c>
    </row>
    <row r="37" spans="1:20">
      <c r="A37" s="35"/>
      <c r="B37" s="744"/>
      <c r="J37" s="925"/>
    </row>
    <row r="38" spans="1:20">
      <c r="A38" s="35"/>
      <c r="B38" s="747" t="str">
        <f>Data!B51</f>
        <v>n/a</v>
      </c>
      <c r="C38" s="151"/>
      <c r="D38" s="82"/>
      <c r="E38" s="82"/>
      <c r="F38" s="82"/>
      <c r="G38" s="82"/>
      <c r="H38" s="82"/>
      <c r="I38" s="82"/>
      <c r="J38" s="82"/>
      <c r="K38" s="82"/>
      <c r="L38" s="82"/>
      <c r="M38" s="82"/>
      <c r="N38" s="82"/>
    </row>
    <row r="39" spans="1:20" s="35" customFormat="1">
      <c r="B39" s="745"/>
      <c r="C39" s="139"/>
      <c r="D39" s="321"/>
      <c r="E39" s="321"/>
      <c r="F39" s="321"/>
      <c r="G39" s="321"/>
      <c r="H39" s="321"/>
      <c r="I39" s="321"/>
      <c r="J39" s="321"/>
      <c r="K39" s="321"/>
      <c r="L39" s="321"/>
      <c r="M39" s="321"/>
      <c r="N39" s="321"/>
    </row>
    <row r="40" spans="1:20">
      <c r="A40" s="35"/>
      <c r="B40" s="306" t="s">
        <v>34</v>
      </c>
      <c r="C40" s="156" t="str">
        <f>'RFPR cover'!$C$14</f>
        <v>£m 12/13</v>
      </c>
      <c r="D40" s="633"/>
      <c r="E40" s="634"/>
      <c r="F40" s="634"/>
      <c r="G40" s="634"/>
      <c r="H40" s="634"/>
      <c r="I40" s="634"/>
      <c r="J40" s="634"/>
      <c r="K40" s="634"/>
      <c r="L40" s="635">
        <f>SUM(D40:INDEX(D40:K40,0,MATCH('RFPR cover'!$C$7,$D$6:$K$6,0)))</f>
        <v>0</v>
      </c>
      <c r="M40" s="636">
        <f>SUM(D40:K40)</f>
        <v>0</v>
      </c>
      <c r="N40" s="353"/>
      <c r="O40" s="63"/>
    </row>
    <row r="41" spans="1:20" ht="25.2">
      <c r="A41" s="35"/>
      <c r="B41" s="749" t="s">
        <v>492</v>
      </c>
      <c r="C41" s="156" t="str">
        <f>'RFPR cover'!$C$14</f>
        <v>£m 12/13</v>
      </c>
      <c r="D41" s="637"/>
      <c r="E41" s="638"/>
      <c r="F41" s="638"/>
      <c r="G41" s="638"/>
      <c r="H41" s="638"/>
      <c r="I41" s="638"/>
      <c r="J41" s="638"/>
      <c r="K41" s="638"/>
      <c r="L41" s="639">
        <f>SUM(D41:INDEX(D41:K41,0,MATCH('RFPR cover'!$C$7,$D$6:$K$6,0)))</f>
        <v>0</v>
      </c>
      <c r="M41" s="640">
        <f>SUM(D41:K41)</f>
        <v>0</v>
      </c>
      <c r="N41" s="353"/>
      <c r="O41" s="63"/>
    </row>
    <row r="42" spans="1:20">
      <c r="A42" s="35"/>
      <c r="B42" s="750" t="s">
        <v>195</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1002"/>
      <c r="P42" s="1002"/>
      <c r="Q42" s="1002"/>
      <c r="R42"/>
      <c r="S42"/>
      <c r="T42"/>
    </row>
    <row r="43" spans="1:20" ht="13.2">
      <c r="A43" s="35"/>
      <c r="B43" s="750"/>
      <c r="C43" s="156"/>
      <c r="D43" s="59"/>
      <c r="E43" s="59"/>
      <c r="F43" s="59"/>
      <c r="G43" s="59"/>
      <c r="H43" s="59"/>
      <c r="I43" s="59"/>
      <c r="J43" s="59"/>
      <c r="K43" s="59"/>
      <c r="L43" s="59"/>
      <c r="M43" s="59"/>
      <c r="N43" s="350"/>
      <c r="O43" s="64"/>
      <c r="P43" s="64"/>
      <c r="Q43" s="64"/>
      <c r="R43"/>
      <c r="S43"/>
      <c r="T43"/>
    </row>
    <row r="44" spans="1:20">
      <c r="A44" s="35"/>
      <c r="B44" s="744" t="s">
        <v>178</v>
      </c>
      <c r="C44" s="137" t="s">
        <v>7</v>
      </c>
      <c r="D44" s="110">
        <f>1-INDEX(Data!$D$73:$D$100,MATCH('RFPR cover'!$C$5,Data!$B$73:$B$100,0),0)</f>
        <v>0.30000000000000004</v>
      </c>
      <c r="E44" s="111">
        <f>1-INDEX(Data!$D$73:$D$100,MATCH('RFPR cover'!$C$5,Data!$B$73:$B$100,0),0)</f>
        <v>0.30000000000000004</v>
      </c>
      <c r="F44" s="111">
        <f>1-INDEX(Data!$D$73:$D$100,MATCH('RFPR cover'!$C$5,Data!$B$73:$B$100,0),0)</f>
        <v>0.30000000000000004</v>
      </c>
      <c r="G44" s="111">
        <f>1-INDEX(Data!$D$73:$D$100,MATCH('RFPR cover'!$C$5,Data!$B$73:$B$100,0),0)</f>
        <v>0.30000000000000004</v>
      </c>
      <c r="H44" s="111">
        <f>1-INDEX(Data!$D$73:$D$100,MATCH('RFPR cover'!$C$5,Data!$B$73:$B$100,0),0)</f>
        <v>0.30000000000000004</v>
      </c>
      <c r="I44" s="111">
        <f>1-INDEX(Data!$D$73:$D$100,MATCH('RFPR cover'!$C$5,Data!$B$73:$B$100,0),0)</f>
        <v>0.30000000000000004</v>
      </c>
      <c r="J44" s="111">
        <f>1-INDEX(Data!$D$73:$D$100,MATCH('RFPR cover'!$C$5,Data!$B$73:$B$100,0),0)</f>
        <v>0.30000000000000004</v>
      </c>
      <c r="K44" s="112">
        <f>1-INDEX(Data!$D$73:$D$100,MATCH('RFPR cover'!$C$5,Data!$B$73:$B$100,0),0)</f>
        <v>0.30000000000000004</v>
      </c>
      <c r="L44" s="62"/>
      <c r="M44" s="62"/>
      <c r="N44" s="351"/>
      <c r="O44"/>
      <c r="P44"/>
      <c r="Q44"/>
      <c r="R44"/>
      <c r="S44"/>
      <c r="T44"/>
    </row>
    <row r="45" spans="1:20">
      <c r="A45" s="35"/>
      <c r="B45" s="744"/>
      <c r="N45" s="352"/>
      <c r="O45"/>
      <c r="P45"/>
      <c r="Q45"/>
      <c r="R45"/>
      <c r="S45"/>
      <c r="T45"/>
    </row>
    <row r="46" spans="1:20">
      <c r="A46" s="35"/>
      <c r="B46" s="751" t="s">
        <v>183</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5">
        <f>SUM(D46:K46)</f>
        <v>0</v>
      </c>
      <c r="N46" s="354"/>
      <c r="O46"/>
      <c r="P46"/>
      <c r="Q46"/>
      <c r="R46"/>
      <c r="S46"/>
      <c r="T46"/>
    </row>
    <row r="47" spans="1:20">
      <c r="A47" s="35"/>
      <c r="B47" s="751" t="s">
        <v>276</v>
      </c>
      <c r="C47" s="160"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4"/>
      <c r="O47"/>
      <c r="P47"/>
      <c r="Q47"/>
      <c r="R47"/>
      <c r="S47"/>
      <c r="T47"/>
    </row>
    <row r="48" spans="1:20">
      <c r="A48" s="35"/>
      <c r="B48" s="744"/>
      <c r="N48" s="352"/>
      <c r="O48"/>
      <c r="P48"/>
      <c r="Q48"/>
      <c r="R48"/>
      <c r="S48"/>
      <c r="T48"/>
    </row>
    <row r="49" spans="1:20">
      <c r="A49" s="35"/>
      <c r="B49" s="752" t="s">
        <v>182</v>
      </c>
      <c r="N49" s="352"/>
      <c r="O49"/>
      <c r="P49"/>
      <c r="Q49"/>
      <c r="R49"/>
      <c r="S49"/>
      <c r="T49"/>
    </row>
    <row r="50" spans="1:20">
      <c r="A50" s="270" t="s">
        <v>151</v>
      </c>
      <c r="B50" s="742" t="s">
        <v>242</v>
      </c>
      <c r="C50" s="156" t="str">
        <f>'RFPR cover'!$C$14</f>
        <v>£m 12/13</v>
      </c>
      <c r="D50" s="581"/>
      <c r="E50" s="582"/>
      <c r="F50" s="582"/>
      <c r="G50" s="582"/>
      <c r="H50" s="582"/>
      <c r="I50" s="582"/>
      <c r="J50" s="582"/>
      <c r="K50" s="582"/>
      <c r="L50" s="641">
        <f>SUM(D50:INDEX(D50:K50,0,MATCH('RFPR cover'!$C$7,$D$6:$K$6,0)))</f>
        <v>0</v>
      </c>
      <c r="M50" s="642">
        <f t="shared" ref="M50:M56" si="14">SUM(D50:K50)</f>
        <v>0</v>
      </c>
      <c r="N50" s="572"/>
      <c r="O50"/>
      <c r="P50"/>
      <c r="Q50"/>
      <c r="R50"/>
      <c r="S50"/>
      <c r="T50"/>
    </row>
    <row r="51" spans="1:20">
      <c r="A51" s="270" t="s">
        <v>152</v>
      </c>
      <c r="B51" s="742" t="s">
        <v>242</v>
      </c>
      <c r="C51" s="156" t="str">
        <f>'RFPR cover'!$C$14</f>
        <v>£m 12/13</v>
      </c>
      <c r="D51" s="585"/>
      <c r="E51" s="586"/>
      <c r="F51" s="586"/>
      <c r="G51" s="586"/>
      <c r="H51" s="586"/>
      <c r="I51" s="586"/>
      <c r="J51" s="586"/>
      <c r="K51" s="586"/>
      <c r="L51" s="643">
        <f>SUM(D51:INDEX(D51:K51,0,MATCH('RFPR cover'!$C$7,$D$6:$K$6,0)))</f>
        <v>0</v>
      </c>
      <c r="M51" s="644">
        <f t="shared" si="14"/>
        <v>0</v>
      </c>
      <c r="N51" s="573"/>
      <c r="O51"/>
      <c r="P51"/>
      <c r="Q51"/>
      <c r="R51"/>
      <c r="S51"/>
      <c r="T51"/>
    </row>
    <row r="52" spans="1:20">
      <c r="A52" s="270" t="s">
        <v>153</v>
      </c>
      <c r="B52" s="742" t="s">
        <v>242</v>
      </c>
      <c r="C52" s="156" t="str">
        <f>'RFPR cover'!$C$14</f>
        <v>£m 12/13</v>
      </c>
      <c r="D52" s="585"/>
      <c r="E52" s="586"/>
      <c r="F52" s="586"/>
      <c r="G52" s="586"/>
      <c r="H52" s="586"/>
      <c r="I52" s="586"/>
      <c r="J52" s="586"/>
      <c r="K52" s="586"/>
      <c r="L52" s="643">
        <f>SUM(D52:INDEX(D52:K52,0,MATCH('RFPR cover'!$C$7,$D$6:$K$6,0)))</f>
        <v>0</v>
      </c>
      <c r="M52" s="644">
        <f t="shared" si="14"/>
        <v>0</v>
      </c>
      <c r="N52" s="573"/>
      <c r="O52"/>
      <c r="P52"/>
      <c r="Q52"/>
      <c r="R52"/>
      <c r="S52" s="65"/>
      <c r="T52"/>
    </row>
    <row r="53" spans="1:20">
      <c r="A53" s="270" t="s">
        <v>168</v>
      </c>
      <c r="B53" s="742" t="s">
        <v>242</v>
      </c>
      <c r="C53" s="156" t="str">
        <f>'RFPR cover'!$C$14</f>
        <v>£m 12/13</v>
      </c>
      <c r="D53" s="585"/>
      <c r="E53" s="586"/>
      <c r="F53" s="586"/>
      <c r="G53" s="586"/>
      <c r="H53" s="586"/>
      <c r="I53" s="586"/>
      <c r="J53" s="586"/>
      <c r="K53" s="586"/>
      <c r="L53" s="643">
        <f>SUM(D53:INDEX(D53:K53,0,MATCH('RFPR cover'!$C$7,$D$6:$K$6,0)))</f>
        <v>0</v>
      </c>
      <c r="M53" s="644">
        <f t="shared" si="14"/>
        <v>0</v>
      </c>
      <c r="N53" s="573"/>
      <c r="O53"/>
      <c r="P53"/>
      <c r="Q53"/>
      <c r="R53"/>
      <c r="S53"/>
      <c r="T53"/>
    </row>
    <row r="54" spans="1:20">
      <c r="A54" s="270" t="s">
        <v>169</v>
      </c>
      <c r="B54" s="742" t="s">
        <v>242</v>
      </c>
      <c r="C54" s="156" t="str">
        <f>'RFPR cover'!$C$14</f>
        <v>£m 12/13</v>
      </c>
      <c r="D54" s="585"/>
      <c r="E54" s="586"/>
      <c r="F54" s="586"/>
      <c r="G54" s="586"/>
      <c r="H54" s="586"/>
      <c r="I54" s="586"/>
      <c r="J54" s="586"/>
      <c r="K54" s="586"/>
      <c r="L54" s="643">
        <f>SUM(D54:INDEX(D54:K54,0,MATCH('RFPR cover'!$C$7,$D$6:$K$6,0)))</f>
        <v>0</v>
      </c>
      <c r="M54" s="644">
        <f t="shared" si="14"/>
        <v>0</v>
      </c>
      <c r="N54" s="573"/>
      <c r="O54"/>
      <c r="P54"/>
      <c r="Q54"/>
      <c r="R54"/>
      <c r="S54"/>
      <c r="T54"/>
    </row>
    <row r="55" spans="1:20">
      <c r="A55" s="270" t="s">
        <v>170</v>
      </c>
      <c r="B55" s="742" t="s">
        <v>242</v>
      </c>
      <c r="C55" s="156" t="str">
        <f>'RFPR cover'!$C$14</f>
        <v>£m 12/13</v>
      </c>
      <c r="D55" s="589"/>
      <c r="E55" s="590"/>
      <c r="F55" s="590"/>
      <c r="G55" s="590"/>
      <c r="H55" s="590"/>
      <c r="I55" s="590"/>
      <c r="J55" s="590"/>
      <c r="K55" s="590"/>
      <c r="L55" s="645">
        <f>SUM(D55:INDEX(D55:K55,0,MATCH('RFPR cover'!$C$7,$D$6:$K$6,0)))</f>
        <v>0</v>
      </c>
      <c r="M55" s="646">
        <f t="shared" si="14"/>
        <v>0</v>
      </c>
      <c r="N55" s="574"/>
      <c r="O55"/>
      <c r="P55"/>
      <c r="Q55"/>
      <c r="R55"/>
      <c r="S55"/>
      <c r="T55"/>
    </row>
    <row r="56" spans="1:20">
      <c r="A56" s="35"/>
      <c r="B56" s="752" t="s">
        <v>190</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44"/>
      <c r="N57" s="352"/>
    </row>
    <row r="58" spans="1:20">
      <c r="A58" s="35"/>
      <c r="B58" s="751" t="s">
        <v>198</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5">
        <f>SUM(D58:K58)</f>
        <v>0</v>
      </c>
      <c r="N58" s="354"/>
    </row>
    <row r="59" spans="1:20">
      <c r="A59" s="35"/>
      <c r="B59" s="751" t="s">
        <v>305</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76">
        <f>SUM(D59:K59)</f>
        <v>0</v>
      </c>
      <c r="N59" s="354"/>
    </row>
    <row r="60" spans="1:20">
      <c r="A60" s="35"/>
      <c r="B60" s="744"/>
      <c r="N60" s="352"/>
    </row>
    <row r="61" spans="1:20">
      <c r="A61" s="35"/>
      <c r="B61" s="752" t="s">
        <v>181</v>
      </c>
      <c r="N61" s="352"/>
    </row>
    <row r="62" spans="1:20">
      <c r="A62" s="35"/>
      <c r="B62" s="744" t="s">
        <v>180</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5">
        <f>SUM(D62:K62)</f>
        <v>0</v>
      </c>
      <c r="N62" s="354"/>
    </row>
    <row r="63" spans="1:20">
      <c r="A63" s="35"/>
      <c r="B63" s="744" t="s">
        <v>276</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76">
        <f>SUM(D63:K63)</f>
        <v>0</v>
      </c>
      <c r="N63" s="354"/>
    </row>
    <row r="64" spans="1:20">
      <c r="A64" s="35"/>
      <c r="B64" s="752"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52"/>
      <c r="C65" s="157"/>
      <c r="D65" s="157"/>
      <c r="E65" s="157"/>
      <c r="F65" s="157"/>
      <c r="G65" s="157"/>
      <c r="H65" s="157"/>
      <c r="I65" s="157"/>
      <c r="J65" s="157"/>
      <c r="K65" s="157"/>
      <c r="L65" s="157"/>
      <c r="M65" s="157"/>
    </row>
    <row r="66" spans="1:20">
      <c r="A66" s="35"/>
      <c r="B66" s="747" t="s">
        <v>253</v>
      </c>
      <c r="C66" s="151"/>
      <c r="D66" s="82"/>
      <c r="E66" s="82"/>
      <c r="F66" s="82"/>
      <c r="G66" s="82"/>
      <c r="H66" s="82"/>
      <c r="I66" s="82"/>
      <c r="J66" s="82"/>
      <c r="K66" s="82"/>
      <c r="L66" s="82"/>
      <c r="M66" s="82"/>
      <c r="N66" s="82"/>
    </row>
    <row r="67" spans="1:20">
      <c r="A67" s="35"/>
      <c r="B67" s="744"/>
      <c r="O67"/>
      <c r="P67"/>
      <c r="Q67"/>
      <c r="R67"/>
      <c r="S67"/>
      <c r="T67"/>
    </row>
    <row r="68" spans="1:20">
      <c r="A68" s="35"/>
      <c r="B68" s="752" t="s">
        <v>181</v>
      </c>
    </row>
    <row r="69" spans="1:20">
      <c r="A69" s="35"/>
      <c r="B69" s="744" t="s">
        <v>180</v>
      </c>
      <c r="C69" s="156" t="str">
        <f>'RFPR cover'!$C$14</f>
        <v>£m 12/13</v>
      </c>
      <c r="D69" s="96">
        <f>D34+D62</f>
        <v>-1.581801439593818</v>
      </c>
      <c r="E69" s="97">
        <f t="shared" ref="E69:K69" si="21">E34+E62</f>
        <v>-0.60704706899743499</v>
      </c>
      <c r="F69" s="97">
        <f t="shared" si="21"/>
        <v>-9.2116300989033686</v>
      </c>
      <c r="G69" s="97">
        <f t="shared" si="21"/>
        <v>6.5871605534420175</v>
      </c>
      <c r="H69" s="97">
        <f t="shared" si="21"/>
        <v>2.5422891508886183</v>
      </c>
      <c r="I69" s="97">
        <f t="shared" si="21"/>
        <v>1.7929022498853044</v>
      </c>
      <c r="J69" s="97">
        <f t="shared" si="21"/>
        <v>7.5078397981641256</v>
      </c>
      <c r="K69" s="97">
        <f t="shared" si="21"/>
        <v>0.94981290019281739</v>
      </c>
      <c r="L69" s="96">
        <f>SUM(D69:INDEX(D69:K69,0,MATCH('RFPR cover'!$C$7,$D$6:$K$6,0)))</f>
        <v>7.9795260450782619</v>
      </c>
      <c r="M69" s="98">
        <f>SUM(D69:K69)</f>
        <v>7.9795260450782619</v>
      </c>
    </row>
    <row r="70" spans="1:20">
      <c r="A70" s="35"/>
      <c r="B70" s="744" t="s">
        <v>276</v>
      </c>
      <c r="C70" s="156" t="str">
        <f>'RFPR cover'!$C$14</f>
        <v>£m 12/13</v>
      </c>
      <c r="D70" s="520">
        <f t="shared" ref="D70:K70" si="22">D35+D63</f>
        <v>-3.6908700257189078</v>
      </c>
      <c r="E70" s="521">
        <f t="shared" si="22"/>
        <v>-1.4164431609940138</v>
      </c>
      <c r="F70" s="521">
        <f t="shared" si="22"/>
        <v>-21.493803564107857</v>
      </c>
      <c r="G70" s="521">
        <f t="shared" si="22"/>
        <v>15.370041291364707</v>
      </c>
      <c r="H70" s="521">
        <f t="shared" si="22"/>
        <v>5.9320080187401079</v>
      </c>
      <c r="I70" s="521">
        <f t="shared" si="22"/>
        <v>4.1834385830657101</v>
      </c>
      <c r="J70" s="521">
        <f t="shared" si="22"/>
        <v>17.518292862382957</v>
      </c>
      <c r="K70" s="521">
        <f t="shared" si="22"/>
        <v>2.2162301004499065</v>
      </c>
      <c r="L70" s="520">
        <f>SUM(D70:INDEX(D70:K70,0,MATCH('RFPR cover'!$C$7,$D$6:$K$6,0)))</f>
        <v>18.618894105182608</v>
      </c>
      <c r="M70" s="522">
        <f>SUM(D70:K70)</f>
        <v>18.618894105182608</v>
      </c>
    </row>
    <row r="71" spans="1:20">
      <c r="A71" s="35"/>
      <c r="B71" s="752" t="s">
        <v>11</v>
      </c>
      <c r="C71" s="157" t="str">
        <f>'RFPR cover'!$C$14</f>
        <v>£m 12/13</v>
      </c>
      <c r="D71" s="146">
        <f>SUM(D69:D70)</f>
        <v>-5.272671465312726</v>
      </c>
      <c r="E71" s="147">
        <f t="shared" ref="E71:K71" si="23">SUM(E69:E70)</f>
        <v>-2.0234902299914488</v>
      </c>
      <c r="F71" s="147">
        <f t="shared" si="23"/>
        <v>-30.705433663011227</v>
      </c>
      <c r="G71" s="147">
        <f t="shared" si="23"/>
        <v>21.957201844806725</v>
      </c>
      <c r="H71" s="147">
        <f t="shared" si="23"/>
        <v>8.474297169628727</v>
      </c>
      <c r="I71" s="147">
        <f t="shared" si="23"/>
        <v>5.9763408329510144</v>
      </c>
      <c r="J71" s="147">
        <f t="shared" si="23"/>
        <v>25.026132660547084</v>
      </c>
      <c r="K71" s="147">
        <f t="shared" si="23"/>
        <v>3.1660430006427238</v>
      </c>
      <c r="L71" s="146">
        <f>SUM(D71:INDEX(D71:K71,0,MATCH('RFPR cover'!$C$7,$D$6:$K$6,0)))</f>
        <v>26.598420150260875</v>
      </c>
      <c r="M71" s="148">
        <f>SUM(D71:K71)</f>
        <v>26.598420150260875</v>
      </c>
    </row>
    <row r="72" spans="1:20">
      <c r="A72" s="35"/>
      <c r="B72" s="752"/>
      <c r="C72" s="157"/>
      <c r="D72" s="157"/>
      <c r="E72" s="157"/>
      <c r="F72" s="157"/>
      <c r="G72" s="157"/>
      <c r="H72" s="157"/>
      <c r="I72" s="157"/>
      <c r="J72" s="157"/>
      <c r="K72" s="157"/>
      <c r="L72" s="157"/>
      <c r="M72" s="157"/>
    </row>
    <row r="73" spans="1:20">
      <c r="A73" s="35"/>
      <c r="B73" s="744"/>
    </row>
    <row r="74" spans="1:20">
      <c r="A74" s="35"/>
      <c r="B74" s="747" t="s">
        <v>214</v>
      </c>
      <c r="C74" s="151"/>
      <c r="D74" s="81"/>
      <c r="E74" s="81"/>
      <c r="F74" s="81"/>
      <c r="G74" s="81"/>
      <c r="H74" s="81"/>
      <c r="I74" s="81"/>
      <c r="J74" s="81"/>
      <c r="K74" s="81"/>
      <c r="L74" s="81"/>
      <c r="M74" s="81"/>
      <c r="N74" s="81"/>
    </row>
    <row r="75" spans="1:20">
      <c r="A75" s="35"/>
      <c r="B75" s="369" t="s">
        <v>213</v>
      </c>
      <c r="C75" s="368"/>
      <c r="D75" s="368"/>
      <c r="E75" s="368"/>
      <c r="F75" s="368"/>
      <c r="G75" s="368"/>
      <c r="H75" s="368"/>
      <c r="I75" s="368"/>
      <c r="J75" s="368"/>
      <c r="K75" s="368"/>
      <c r="L75" s="368"/>
      <c r="M75" s="368"/>
      <c r="N75" s="368"/>
    </row>
    <row r="76" spans="1:20" s="35" customFormat="1">
      <c r="B76" s="429"/>
      <c r="C76" s="373"/>
      <c r="D76" s="373"/>
      <c r="E76" s="373"/>
      <c r="F76" s="373"/>
      <c r="G76" s="373"/>
      <c r="H76" s="373"/>
      <c r="I76" s="373"/>
      <c r="J76" s="373"/>
      <c r="K76" s="373"/>
      <c r="L76" s="373"/>
      <c r="M76" s="373"/>
      <c r="N76" s="373"/>
    </row>
    <row r="77" spans="1:20">
      <c r="A77" s="35"/>
      <c r="B77" s="751" t="s">
        <v>217</v>
      </c>
      <c r="C77" s="156" t="str">
        <f>'RFPR cover'!$C$14</f>
        <v>£m 12/13</v>
      </c>
      <c r="D77" s="647">
        <f>INDEX(Data!$C$119:$L$146,MATCH('RFPR cover'!$C$5,Data!$B$119:$B$146,0),MATCH('R4 - Totex'!D$6,Data!$C$118:$L$118,0))</f>
        <v>7.1281196754416492</v>
      </c>
      <c r="E77" s="648">
        <f>INDEX(Data!$C$119:$L$146,MATCH('RFPR cover'!$C$5,Data!$B$119:$B$146,0),MATCH('R4 - Totex'!E$6,Data!$C$118:$L$118,0))</f>
        <v>6.9674138399666772</v>
      </c>
      <c r="F77" s="648">
        <f>INDEX(Data!$C$119:$L$146,MATCH('RFPR cover'!$C$5,Data!$B$119:$B$146,0),MATCH('R4 - Totex'!F$6,Data!$C$118:$L$118,0))</f>
        <v>6.2034025893135132</v>
      </c>
      <c r="G77" s="648">
        <f>INDEX(Data!$C$119:$L$146,MATCH('RFPR cover'!$C$5,Data!$B$119:$B$146,0),MATCH('R4 - Totex'!G$6,Data!$C$118:$L$118,0))</f>
        <v>6.3085978915797085</v>
      </c>
      <c r="H77" s="648">
        <f>INDEX(Data!$C$119:$L$146,MATCH('RFPR cover'!$C$5,Data!$B$119:$B$146,0),MATCH('R4 - Totex'!H$6,Data!$C$118:$L$118,0))</f>
        <v>6.2376648400128394</v>
      </c>
      <c r="I77" s="648">
        <f>INDEX(Data!$C$119:$L$146,MATCH('RFPR cover'!$C$5,Data!$B$119:$B$146,0),MATCH('R4 - Totex'!I$6,Data!$C$118:$L$118,0))</f>
        <v>6.4865819943041139</v>
      </c>
      <c r="J77" s="648">
        <f>INDEX(Data!$C$119:$L$146,MATCH('RFPR cover'!$C$5,Data!$B$119:$B$146,0),MATCH('R4 - Totex'!J$6,Data!$C$118:$L$118,0))</f>
        <v>6.8152516624832584</v>
      </c>
      <c r="K77" s="649">
        <f>INDEX(Data!$C$119:$L$146,MATCH('RFPR cover'!$C$5,Data!$B$119:$B$146,0),MATCH('R4 - Totex'!K$6,Data!$C$118:$L$118,0))</f>
        <v>6.6271056201039169</v>
      </c>
      <c r="L77" s="99">
        <f>SUM(D77:INDEX(D77:K77,0,MATCH('RFPR cover'!$C$7,$D$6:$K$6,0)))</f>
        <v>52.774138113205673</v>
      </c>
      <c r="M77" s="101">
        <f>SUM(D77:K77)</f>
        <v>52.774138113205673</v>
      </c>
    </row>
    <row r="78" spans="1:20">
      <c r="A78" s="35"/>
      <c r="B78" s="226" t="s">
        <v>201</v>
      </c>
      <c r="C78" s="156" t="s">
        <v>7</v>
      </c>
      <c r="D78" s="854">
        <f>IF(INDEX(Data!$J$73:$J$100,MATCH('RFPR cover'!$C$5,Data!$B$73:$B$100,0),0)="Pre",INDEX(Data!$G$18:$G$27,MATCH('R4 - Totex'!D$6,Data!$C$18:$C$27,0),0),"n/a")</f>
        <v>0.2</v>
      </c>
      <c r="E78" s="854">
        <f>IF(INDEX(Data!$J$73:$J$100,MATCH('RFPR cover'!$C$5,Data!$B$73:$B$100,0),0)="Pre",INDEX(Data!$G$18:$G$27,MATCH('R4 - Totex'!E$6,Data!$C$18:$C$27,0),0),"n/a")</f>
        <v>0.2</v>
      </c>
      <c r="F78" s="854">
        <f>IF(INDEX(Data!$J$73:$J$100,MATCH('RFPR cover'!$C$5,Data!$B$73:$B$100,0),0)="Pre",INDEX(Data!$G$18:$G$27,MATCH('R4 - Totex'!F$6,Data!$C$18:$C$27,0),0),"n/a")</f>
        <v>0.19</v>
      </c>
      <c r="G78" s="854">
        <f>IF(INDEX(Data!$J$73:$J$100,MATCH('RFPR cover'!$C$5,Data!$B$73:$B$100,0),0)="Pre",INDEX(Data!$G$18:$G$27,MATCH('R4 - Totex'!G$6,Data!$C$18:$C$27,0),0),"n/a")</f>
        <v>0.19</v>
      </c>
      <c r="H78" s="854">
        <f>IF(INDEX(Data!$J$73:$J$100,MATCH('RFPR cover'!$C$5,Data!$B$73:$B$100,0),0)="Pre",INDEX(Data!$G$18:$G$27,MATCH('R4 - Totex'!H$6,Data!$C$18:$C$27,0),0),"n/a")</f>
        <v>0.19</v>
      </c>
      <c r="I78" s="854">
        <f>IF(INDEX(Data!$J$73:$J$100,MATCH('RFPR cover'!$C$5,Data!$B$73:$B$100,0),0)="Pre",INDEX(Data!$G$18:$G$27,MATCH('R4 - Totex'!I$6,Data!$C$18:$C$27,0),0),"n/a")</f>
        <v>0.19</v>
      </c>
      <c r="J78" s="854">
        <f>IF(INDEX(Data!$J$73:$J$100,MATCH('RFPR cover'!$C$5,Data!$B$73:$B$100,0),0)="Pre",INDEX(Data!$G$18:$G$27,MATCH('R4 - Totex'!J$6,Data!$C$18:$C$27,0),0),"n/a")</f>
        <v>0.19</v>
      </c>
      <c r="K78" s="854">
        <f>IF(INDEX(Data!$J$73:$J$100,MATCH('RFPR cover'!$C$5,Data!$B$73:$B$100,0),0)="Pre",INDEX(Data!$G$18:$G$27,MATCH('R4 - Totex'!K$6,Data!$C$18:$C$27,0),0),"n/a")</f>
        <v>0.19</v>
      </c>
      <c r="L78" s="852"/>
      <c r="M78" s="853"/>
    </row>
    <row r="79" spans="1:20">
      <c r="A79" s="35"/>
      <c r="B79" s="226" t="s">
        <v>210</v>
      </c>
      <c r="C79" s="156" t="str">
        <f>'RFPR cover'!$C$14</f>
        <v>£m 12/13</v>
      </c>
      <c r="D79" s="608">
        <f>IF(ISNUMBER(D78),D77*(1-D78),D77)</f>
        <v>5.7024957403533199</v>
      </c>
      <c r="E79" s="609">
        <f t="shared" ref="E79:K79" si="24">IF(ISNUMBER(E78),E77*(1-E78),E77)</f>
        <v>5.5739310719733419</v>
      </c>
      <c r="F79" s="609">
        <f t="shared" si="24"/>
        <v>5.0247560973439462</v>
      </c>
      <c r="G79" s="609">
        <f t="shared" si="24"/>
        <v>5.1099642921795638</v>
      </c>
      <c r="H79" s="609">
        <f t="shared" si="24"/>
        <v>5.0525085204104005</v>
      </c>
      <c r="I79" s="609">
        <f t="shared" si="24"/>
        <v>5.2541314153863325</v>
      </c>
      <c r="J79" s="609">
        <f t="shared" si="24"/>
        <v>5.5203538466114397</v>
      </c>
      <c r="K79" s="610">
        <f t="shared" si="24"/>
        <v>5.3679555522841733</v>
      </c>
      <c r="L79" s="653">
        <f>SUM(D79:INDEX(D79:K79,0,MATCH('RFPR cover'!$C$7,$D$6:$K$6,0)))</f>
        <v>42.606096536542516</v>
      </c>
      <c r="M79" s="654">
        <f>SUM(D79:K79)</f>
        <v>42.606096536542516</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44"/>
    </row>
    <row r="84" spans="1:20">
      <c r="A84" s="35"/>
      <c r="B84" s="746" t="s">
        <v>187</v>
      </c>
      <c r="C84" s="292"/>
      <c r="D84" s="294"/>
      <c r="E84" s="294"/>
      <c r="F84" s="294"/>
      <c r="G84" s="294"/>
      <c r="H84" s="294"/>
      <c r="I84" s="294"/>
      <c r="J84" s="294"/>
      <c r="K84" s="294"/>
      <c r="L84" s="294"/>
      <c r="M84" s="294"/>
      <c r="N84" s="294"/>
    </row>
    <row r="85" spans="1:20">
      <c r="A85" s="35"/>
      <c r="B85" s="752"/>
    </row>
    <row r="86" spans="1:20">
      <c r="A86" s="35"/>
      <c r="B86" s="751"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1.2022764892203943</v>
      </c>
      <c r="J86" s="114">
        <f>Data!I$34</f>
        <v>1.2717196280780627</v>
      </c>
      <c r="K86" s="115">
        <f>Data!J$34</f>
        <v>1.4354429345049555</v>
      </c>
    </row>
    <row r="87" spans="1:20">
      <c r="A87" s="35"/>
      <c r="B87" s="751"/>
      <c r="D87" s="137"/>
      <c r="E87" s="137"/>
      <c r="F87" s="137"/>
      <c r="G87" s="137"/>
      <c r="H87" s="137"/>
      <c r="I87" s="137"/>
      <c r="J87" s="137"/>
      <c r="K87" s="137"/>
    </row>
    <row r="88" spans="1:20">
      <c r="A88" s="35"/>
      <c r="B88" s="747" t="str">
        <f>B10</f>
        <v>Totex</v>
      </c>
      <c r="C88" s="151"/>
      <c r="D88" s="82"/>
      <c r="E88" s="82"/>
      <c r="F88" s="82"/>
      <c r="G88" s="82"/>
      <c r="H88" s="82"/>
      <c r="I88" s="82"/>
      <c r="J88" s="82"/>
      <c r="K88" s="82"/>
      <c r="L88" s="82"/>
      <c r="M88" s="82"/>
      <c r="N88" s="82"/>
    </row>
    <row r="89" spans="1:20" s="35" customFormat="1">
      <c r="B89" s="748"/>
      <c r="C89" s="139"/>
      <c r="D89" s="321"/>
      <c r="E89" s="321"/>
      <c r="F89" s="321"/>
      <c r="G89" s="321"/>
      <c r="H89" s="321"/>
      <c r="I89" s="321"/>
      <c r="J89" s="321"/>
      <c r="K89" s="321"/>
      <c r="L89" s="321"/>
      <c r="M89" s="321"/>
      <c r="N89" s="321"/>
    </row>
    <row r="90" spans="1:20">
      <c r="A90" s="35"/>
      <c r="B90" s="306" t="s">
        <v>34</v>
      </c>
      <c r="C90" s="156" t="s">
        <v>128</v>
      </c>
      <c r="D90" s="656">
        <f t="shared" ref="D90:K91" si="25">D12*D$86</f>
        <v>307.90539999999999</v>
      </c>
      <c r="E90" s="656">
        <f t="shared" si="25"/>
        <v>317.37949999999989</v>
      </c>
      <c r="F90" s="656">
        <f t="shared" si="25"/>
        <v>286.17789999999997</v>
      </c>
      <c r="G90" s="656">
        <f t="shared" si="25"/>
        <v>266.17189999999994</v>
      </c>
      <c r="H90" s="656">
        <f t="shared" si="25"/>
        <v>292.16690000000006</v>
      </c>
      <c r="I90" s="656">
        <f t="shared" si="25"/>
        <v>305.71350000000007</v>
      </c>
      <c r="J90" s="656">
        <f t="shared" si="25"/>
        <v>317.80340000417578</v>
      </c>
      <c r="K90" s="656">
        <f t="shared" si="25"/>
        <v>379.30645897519838</v>
      </c>
      <c r="L90" s="655">
        <f>SUM(D90:INDEX(D90:K90,0,MATCH('RFPR cover'!$C$7,$D$6:$K$6,0)))</f>
        <v>2472.6249589793742</v>
      </c>
      <c r="M90" s="656">
        <f>SUM(D90:K90)</f>
        <v>2472.6249589793742</v>
      </c>
      <c r="N90" s="63"/>
      <c r="O90" s="63"/>
    </row>
    <row r="91" spans="1:20" ht="25.2">
      <c r="A91" s="35"/>
      <c r="B91" s="749" t="s">
        <v>197</v>
      </c>
      <c r="C91" s="156" t="s">
        <v>128</v>
      </c>
      <c r="D91" s="656">
        <f t="shared" si="25"/>
        <v>302.3146981454563</v>
      </c>
      <c r="E91" s="656">
        <f t="shared" si="25"/>
        <v>302.40908838659567</v>
      </c>
      <c r="F91" s="656">
        <f t="shared" si="25"/>
        <v>279.21605339725039</v>
      </c>
      <c r="G91" s="656">
        <f t="shared" si="25"/>
        <v>293.44187816227401</v>
      </c>
      <c r="H91" s="656">
        <f t="shared" si="25"/>
        <v>296.82555665300777</v>
      </c>
      <c r="I91" s="656">
        <f t="shared" si="25"/>
        <v>308.81698539412167</v>
      </c>
      <c r="J91" s="656">
        <f t="shared" si="25"/>
        <v>345.31213598615398</v>
      </c>
      <c r="K91" s="656">
        <f t="shared" si="25"/>
        <v>379.79833370543605</v>
      </c>
      <c r="L91" s="657">
        <f>SUM(D91:INDEX(D91:K91,0,MATCH('RFPR cover'!$C$7,$D$6:$K$6,0)))</f>
        <v>2508.1347298302958</v>
      </c>
      <c r="M91" s="658">
        <f>SUM(D91:K91)</f>
        <v>2508.1347298302958</v>
      </c>
      <c r="N91" s="63"/>
      <c r="O91" s="63"/>
    </row>
    <row r="92" spans="1:20">
      <c r="A92" s="35"/>
      <c r="B92" s="750" t="s">
        <v>195</v>
      </c>
      <c r="C92" s="156" t="s">
        <v>128</v>
      </c>
      <c r="D92" s="103">
        <f>D91-D90</f>
        <v>-5.5907018545436813</v>
      </c>
      <c r="E92" s="104">
        <f t="shared" ref="E92:M92" si="26">E91-E90</f>
        <v>-14.970411613404224</v>
      </c>
      <c r="F92" s="104">
        <f t="shared" si="26"/>
        <v>-6.9618466027495742</v>
      </c>
      <c r="G92" s="104">
        <f t="shared" si="26"/>
        <v>27.269978162274072</v>
      </c>
      <c r="H92" s="104">
        <f t="shared" si="26"/>
        <v>4.6586566530077107</v>
      </c>
      <c r="I92" s="104">
        <f t="shared" si="26"/>
        <v>3.1034853941216056</v>
      </c>
      <c r="J92" s="104">
        <f t="shared" si="26"/>
        <v>27.508735981978191</v>
      </c>
      <c r="K92" s="105">
        <f t="shared" si="26"/>
        <v>0.4918747302376687</v>
      </c>
      <c r="L92" s="103">
        <f t="shared" si="26"/>
        <v>35.509770850921541</v>
      </c>
      <c r="M92" s="105">
        <f t="shared" si="26"/>
        <v>35.509770850921541</v>
      </c>
      <c r="N92" s="63"/>
      <c r="O92" s="1002"/>
      <c r="P92" s="1002"/>
      <c r="Q92" s="1002"/>
      <c r="R92"/>
      <c r="S92"/>
      <c r="T92"/>
    </row>
    <row r="93" spans="1:20" ht="13.2">
      <c r="A93" s="35"/>
      <c r="B93" s="750"/>
      <c r="C93" s="156"/>
      <c r="D93" s="59"/>
      <c r="E93" s="59"/>
      <c r="F93" s="59"/>
      <c r="G93" s="59"/>
      <c r="H93" s="59"/>
      <c r="I93" s="59"/>
      <c r="J93" s="59"/>
      <c r="K93" s="59"/>
      <c r="L93" s="59"/>
      <c r="M93" s="59"/>
      <c r="O93" s="64"/>
      <c r="P93" s="64"/>
      <c r="Q93" s="64"/>
      <c r="R93"/>
      <c r="S93"/>
      <c r="T93"/>
    </row>
    <row r="94" spans="1:20">
      <c r="A94" s="35"/>
      <c r="B94" s="744" t="s">
        <v>178</v>
      </c>
      <c r="C94" s="137" t="s">
        <v>7</v>
      </c>
      <c r="D94" s="110">
        <f>1-INDEX(Data!$D$73:$D$100,MATCH('RFPR cover'!$C$5,Data!$B$73:$B$100,0),0)</f>
        <v>0.30000000000000004</v>
      </c>
      <c r="E94" s="111">
        <f>1-INDEX(Data!$D$73:$D$100,MATCH('RFPR cover'!$C$5,Data!$B$73:$B$100,0),0)</f>
        <v>0.30000000000000004</v>
      </c>
      <c r="F94" s="111">
        <f>1-INDEX(Data!$D$73:$D$100,MATCH('RFPR cover'!$C$5,Data!$B$73:$B$100,0),0)</f>
        <v>0.30000000000000004</v>
      </c>
      <c r="G94" s="111">
        <f>1-INDEX(Data!$D$73:$D$100,MATCH('RFPR cover'!$C$5,Data!$B$73:$B$100,0),0)</f>
        <v>0.30000000000000004</v>
      </c>
      <c r="H94" s="111">
        <f>1-INDEX(Data!$D$73:$D$100,MATCH('RFPR cover'!$C$5,Data!$B$73:$B$100,0),0)</f>
        <v>0.30000000000000004</v>
      </c>
      <c r="I94" s="111">
        <f>1-INDEX(Data!$D$73:$D$100,MATCH('RFPR cover'!$C$5,Data!$B$73:$B$100,0),0)</f>
        <v>0.30000000000000004</v>
      </c>
      <c r="J94" s="111">
        <f>1-INDEX(Data!$D$73:$D$100,MATCH('RFPR cover'!$C$5,Data!$B$73:$B$100,0),0)</f>
        <v>0.30000000000000004</v>
      </c>
      <c r="K94" s="112">
        <f>1-INDEX(Data!$D$73:$D$100,MATCH('RFPR cover'!$C$5,Data!$B$73:$B$100,0),0)</f>
        <v>0.30000000000000004</v>
      </c>
      <c r="L94" s="62"/>
      <c r="M94" s="62"/>
      <c r="O94"/>
      <c r="P94"/>
      <c r="Q94"/>
      <c r="R94"/>
      <c r="S94"/>
      <c r="T94"/>
    </row>
    <row r="95" spans="1:20">
      <c r="A95" s="35"/>
      <c r="B95" s="744"/>
      <c r="O95"/>
      <c r="P95"/>
      <c r="Q95"/>
      <c r="R95"/>
      <c r="S95"/>
      <c r="T95"/>
    </row>
    <row r="96" spans="1:20">
      <c r="A96" s="35"/>
      <c r="B96" s="751" t="s">
        <v>183</v>
      </c>
      <c r="C96" s="156" t="s">
        <v>128</v>
      </c>
      <c r="D96" s="96">
        <f>D92*D94</f>
        <v>-1.6772105563631046</v>
      </c>
      <c r="E96" s="97">
        <f t="shared" ref="E96:K96" si="27">E92*E94</f>
        <v>-4.4911234840212675</v>
      </c>
      <c r="F96" s="97">
        <f t="shared" si="27"/>
        <v>-2.0885539808248725</v>
      </c>
      <c r="G96" s="97">
        <f t="shared" si="27"/>
        <v>8.1809934486822229</v>
      </c>
      <c r="H96" s="97">
        <f t="shared" si="27"/>
        <v>1.3975969959023133</v>
      </c>
      <c r="I96" s="97">
        <f t="shared" si="27"/>
        <v>0.9310456182364818</v>
      </c>
      <c r="J96" s="97">
        <f t="shared" si="27"/>
        <v>8.252620794593458</v>
      </c>
      <c r="K96" s="97">
        <f t="shared" si="27"/>
        <v>0.14756241907130063</v>
      </c>
      <c r="L96" s="96">
        <f>SUM(D96:INDEX(D96:K96,0,MATCH('RFPR cover'!$C$7,$D$6:$K$6,0)))</f>
        <v>10.652931255276533</v>
      </c>
      <c r="M96" s="98">
        <f>SUM(D96:K96)</f>
        <v>10.652931255276533</v>
      </c>
      <c r="O96"/>
      <c r="P96"/>
      <c r="Q96"/>
      <c r="R96"/>
      <c r="S96"/>
      <c r="T96"/>
    </row>
    <row r="97" spans="1:20">
      <c r="A97" s="35"/>
      <c r="B97" s="751" t="s">
        <v>276</v>
      </c>
      <c r="C97" s="156" t="s">
        <v>128</v>
      </c>
      <c r="D97" s="93">
        <f>D92*(1-D94)</f>
        <v>-3.9134912981805767</v>
      </c>
      <c r="E97" s="94">
        <f t="shared" ref="E97:K97" si="28">E92*(1-E94)</f>
        <v>-10.479288129382956</v>
      </c>
      <c r="F97" s="94">
        <f t="shared" si="28"/>
        <v>-4.8732926219247013</v>
      </c>
      <c r="G97" s="94">
        <f t="shared" si="28"/>
        <v>19.088984713591849</v>
      </c>
      <c r="H97" s="94">
        <f t="shared" si="28"/>
        <v>3.2610596571053971</v>
      </c>
      <c r="I97" s="94">
        <f t="shared" si="28"/>
        <v>2.1724397758851239</v>
      </c>
      <c r="J97" s="94">
        <f t="shared" si="28"/>
        <v>19.256115187384733</v>
      </c>
      <c r="K97" s="94">
        <f t="shared" si="28"/>
        <v>0.34431231116636807</v>
      </c>
      <c r="L97" s="93">
        <f>SUM(D97:INDEX(D97:K97,0,MATCH('RFPR cover'!$C$7,$D$6:$K$6,0)))</f>
        <v>24.856839595645241</v>
      </c>
      <c r="M97" s="95">
        <f>SUM(D97:K97)</f>
        <v>24.856839595645241</v>
      </c>
      <c r="O97"/>
      <c r="P97"/>
      <c r="Q97"/>
      <c r="R97"/>
      <c r="S97"/>
      <c r="T97"/>
    </row>
    <row r="98" spans="1:20">
      <c r="A98" s="35"/>
      <c r="B98" s="744"/>
      <c r="O98"/>
      <c r="P98"/>
      <c r="Q98"/>
      <c r="R98"/>
      <c r="S98"/>
      <c r="T98"/>
    </row>
    <row r="99" spans="1:20">
      <c r="A99" s="35"/>
      <c r="B99" s="752" t="s">
        <v>182</v>
      </c>
      <c r="N99" s="63"/>
      <c r="O99"/>
      <c r="P99"/>
      <c r="Q99"/>
      <c r="R99"/>
      <c r="S99"/>
      <c r="T99"/>
    </row>
    <row r="100" spans="1:20">
      <c r="A100" s="270" t="s">
        <v>151</v>
      </c>
      <c r="B100" s="226" t="str">
        <f t="shared" ref="B100:B105" si="29">B22</f>
        <v>Pensions prepayment (See Appendices within RFPR commentary documentation)</v>
      </c>
      <c r="C100" s="156" t="s">
        <v>128</v>
      </c>
      <c r="D100" s="591">
        <f t="shared" ref="D100:K105" si="30">D22*D$86</f>
        <v>0</v>
      </c>
      <c r="E100" s="591">
        <f t="shared" si="30"/>
        <v>12.778897470047131</v>
      </c>
      <c r="F100" s="591">
        <f t="shared" si="30"/>
        <v>-12.46939378674174</v>
      </c>
      <c r="G100" s="591">
        <f t="shared" si="30"/>
        <v>-0.30950368330538858</v>
      </c>
      <c r="H100" s="591">
        <f t="shared" si="30"/>
        <v>0</v>
      </c>
      <c r="I100" s="591">
        <f t="shared" si="30"/>
        <v>0</v>
      </c>
      <c r="J100" s="591">
        <f t="shared" si="30"/>
        <v>0</v>
      </c>
      <c r="K100" s="591">
        <f t="shared" si="30"/>
        <v>0</v>
      </c>
      <c r="L100" s="583">
        <f>SUM(D100:INDEX(D100:K100,0,MATCH('RFPR cover'!$C$7,$D$6:$K$6,0)))</f>
        <v>1.7763568394002505E-15</v>
      </c>
      <c r="M100" s="584">
        <f t="shared" ref="M100:M106" si="31">SUM(D100:K100)</f>
        <v>1.7763568394002505E-15</v>
      </c>
      <c r="N100" s="63"/>
      <c r="O100"/>
      <c r="P100"/>
      <c r="Q100"/>
      <c r="R100"/>
      <c r="S100"/>
      <c r="T100"/>
    </row>
    <row r="101" spans="1:20">
      <c r="A101" s="270" t="s">
        <v>152</v>
      </c>
      <c r="B101" s="226" t="str">
        <f t="shared" si="29"/>
        <v>Rail Electrification (See Appendices within RFRS commentary documentation)</v>
      </c>
      <c r="C101" s="156" t="s">
        <v>128</v>
      </c>
      <c r="D101" s="591">
        <f t="shared" si="30"/>
        <v>0</v>
      </c>
      <c r="E101" s="591">
        <f t="shared" si="30"/>
        <v>0</v>
      </c>
      <c r="F101" s="591">
        <f t="shared" si="30"/>
        <v>-15.068276755419697</v>
      </c>
      <c r="G101" s="591">
        <f t="shared" si="30"/>
        <v>-1.5363365807424632</v>
      </c>
      <c r="H101" s="591">
        <f t="shared" si="30"/>
        <v>5.4077035308084769</v>
      </c>
      <c r="I101" s="591">
        <f t="shared" si="30"/>
        <v>4.0817286809032387</v>
      </c>
      <c r="J101" s="591">
        <f t="shared" si="30"/>
        <v>4.3174881373250233</v>
      </c>
      <c r="K101" s="591">
        <f t="shared" si="30"/>
        <v>4.8741045593169012</v>
      </c>
      <c r="L101" s="587">
        <f>SUM(D101:INDEX(D101:K101,0,MATCH('RFPR cover'!$C$7,$D$6:$K$6,0)))</f>
        <v>2.0764115721914793</v>
      </c>
      <c r="M101" s="588">
        <f t="shared" si="31"/>
        <v>2.0764115721914793</v>
      </c>
      <c r="N101" s="63"/>
      <c r="O101"/>
      <c r="P101"/>
      <c r="Q101"/>
      <c r="R101"/>
      <c r="S101"/>
      <c r="T101"/>
    </row>
    <row r="102" spans="1:20">
      <c r="A102" s="270" t="s">
        <v>153</v>
      </c>
      <c r="B102" s="226" t="str">
        <f t="shared" si="29"/>
        <v>TIM neutral and Smart meter adjustments to Totex allowance</v>
      </c>
      <c r="C102" s="156" t="s">
        <v>128</v>
      </c>
      <c r="D102" s="591">
        <f t="shared" si="30"/>
        <v>0</v>
      </c>
      <c r="E102" s="591">
        <f t="shared" si="30"/>
        <v>0</v>
      </c>
      <c r="F102" s="591">
        <f t="shared" si="30"/>
        <v>0</v>
      </c>
      <c r="G102" s="591">
        <f t="shared" si="30"/>
        <v>0</v>
      </c>
      <c r="H102" s="591">
        <f t="shared" si="30"/>
        <v>0</v>
      </c>
      <c r="I102" s="591">
        <f t="shared" si="30"/>
        <v>0</v>
      </c>
      <c r="J102" s="591">
        <f t="shared" si="30"/>
        <v>0</v>
      </c>
      <c r="K102" s="591">
        <f t="shared" si="30"/>
        <v>-0.82130523394307287</v>
      </c>
      <c r="L102" s="587">
        <f>SUM(D102:INDEX(D102:K102,0,MATCH('RFPR cover'!$C$7,$D$6:$K$6,0)))</f>
        <v>-0.82130523394307287</v>
      </c>
      <c r="M102" s="588">
        <f t="shared" si="31"/>
        <v>-0.82130523394307287</v>
      </c>
      <c r="N102" s="63"/>
      <c r="O102"/>
      <c r="P102"/>
      <c r="Q102"/>
      <c r="R102"/>
      <c r="S102" s="65"/>
      <c r="T102"/>
    </row>
    <row r="103" spans="1:20">
      <c r="A103" s="270" t="s">
        <v>168</v>
      </c>
      <c r="B103" s="226" t="str">
        <f t="shared" si="29"/>
        <v>TIM neutral Green recovery adjustment to Totex allowance</v>
      </c>
      <c r="C103" s="156"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3"/>
      <c r="O103"/>
      <c r="P103"/>
      <c r="Q103"/>
      <c r="R103"/>
      <c r="S103"/>
      <c r="T103"/>
    </row>
    <row r="104" spans="1:20">
      <c r="A104" s="270" t="s">
        <v>169</v>
      </c>
      <c r="B104" s="226" t="str">
        <f t="shared" si="29"/>
        <v>[Enduring Value adjustment]</v>
      </c>
      <c r="C104" s="156"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3"/>
      <c r="O104"/>
      <c r="P104"/>
      <c r="Q104"/>
      <c r="R104"/>
      <c r="S104"/>
      <c r="T104"/>
    </row>
    <row r="105" spans="1:20">
      <c r="A105" s="270" t="s">
        <v>170</v>
      </c>
      <c r="B105" s="226" t="str">
        <f t="shared" si="29"/>
        <v>[Enduring Value adjustment]</v>
      </c>
      <c r="C105" s="156"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3"/>
      <c r="O105"/>
      <c r="P105"/>
      <c r="Q105"/>
      <c r="R105"/>
      <c r="S105"/>
      <c r="T105"/>
    </row>
    <row r="106" spans="1:20">
      <c r="A106" s="35"/>
      <c r="B106" s="752" t="s">
        <v>190</v>
      </c>
      <c r="C106" s="156" t="s">
        <v>128</v>
      </c>
      <c r="D106" s="103">
        <f>SUM(D100:D105)</f>
        <v>0</v>
      </c>
      <c r="E106" s="104">
        <f t="shared" ref="E106:K106" si="32">SUM(E100:E105)</f>
        <v>12.778897470047131</v>
      </c>
      <c r="F106" s="104">
        <f t="shared" si="32"/>
        <v>-27.537670542161436</v>
      </c>
      <c r="G106" s="104">
        <f t="shared" si="32"/>
        <v>-1.8458402640478517</v>
      </c>
      <c r="H106" s="104">
        <f t="shared" si="32"/>
        <v>5.4077035308084769</v>
      </c>
      <c r="I106" s="104">
        <f t="shared" si="32"/>
        <v>4.0817286809032387</v>
      </c>
      <c r="J106" s="104">
        <f t="shared" si="32"/>
        <v>4.3174881373250233</v>
      </c>
      <c r="K106" s="105">
        <f t="shared" si="32"/>
        <v>4.0527993253738286</v>
      </c>
      <c r="L106" s="103">
        <f>SUM(D106:INDEX(D106:K106,0,MATCH('RFPR cover'!$C$7,$D$6:$K$6,0)))</f>
        <v>1.2551063382484102</v>
      </c>
      <c r="M106" s="105">
        <f t="shared" si="31"/>
        <v>1.2551063382484102</v>
      </c>
      <c r="N106" s="63"/>
    </row>
    <row r="107" spans="1:20">
      <c r="A107" s="35"/>
      <c r="B107" s="744"/>
    </row>
    <row r="108" spans="1:20">
      <c r="A108" s="35"/>
      <c r="B108" s="751" t="s">
        <v>198</v>
      </c>
      <c r="C108" s="156" t="s">
        <v>128</v>
      </c>
      <c r="D108" s="96">
        <f t="shared" ref="D108:K108" si="33">D106*D94</f>
        <v>0</v>
      </c>
      <c r="E108" s="97">
        <f t="shared" si="33"/>
        <v>3.8336692410141398</v>
      </c>
      <c r="F108" s="97">
        <f t="shared" si="33"/>
        <v>-8.2613011626484312</v>
      </c>
      <c r="G108" s="97">
        <f t="shared" si="33"/>
        <v>-0.55375207921435565</v>
      </c>
      <c r="H108" s="97">
        <f t="shared" si="33"/>
        <v>1.6223110592425434</v>
      </c>
      <c r="I108" s="97">
        <f t="shared" si="33"/>
        <v>1.2245186042709717</v>
      </c>
      <c r="J108" s="97">
        <f t="shared" si="33"/>
        <v>1.2952464411975071</v>
      </c>
      <c r="K108" s="97">
        <f t="shared" si="33"/>
        <v>1.2158397976121487</v>
      </c>
      <c r="L108" s="96">
        <f>SUM(D108:INDEX(D108:K108,0,MATCH('RFPR cover'!$C$7,$D$6:$K$6,0)))</f>
        <v>0.37653190147452387</v>
      </c>
      <c r="M108" s="98">
        <f>SUM(D108:K108)</f>
        <v>0.37653190147452387</v>
      </c>
    </row>
    <row r="109" spans="1:20">
      <c r="A109" s="35"/>
      <c r="B109" s="751" t="s">
        <v>305</v>
      </c>
      <c r="C109" s="156" t="s">
        <v>128</v>
      </c>
      <c r="D109" s="93">
        <f t="shared" ref="D109:K109" si="34">D106*(1-D94)</f>
        <v>0</v>
      </c>
      <c r="E109" s="94">
        <f t="shared" si="34"/>
        <v>8.9452282290329901</v>
      </c>
      <c r="F109" s="94">
        <f t="shared" si="34"/>
        <v>-19.276369379513003</v>
      </c>
      <c r="G109" s="94">
        <f t="shared" si="34"/>
        <v>-1.2920881848334962</v>
      </c>
      <c r="H109" s="94">
        <f t="shared" si="34"/>
        <v>3.7853924715659337</v>
      </c>
      <c r="I109" s="94">
        <f t="shared" si="34"/>
        <v>2.857210076632267</v>
      </c>
      <c r="J109" s="94">
        <f t="shared" si="34"/>
        <v>3.0222416961275163</v>
      </c>
      <c r="K109" s="94">
        <f t="shared" si="34"/>
        <v>2.8369595277616799</v>
      </c>
      <c r="L109" s="93">
        <f>SUM(D109:INDEX(D109:K109,0,MATCH('RFPR cover'!$C$7,$D$6:$K$6,0)))</f>
        <v>0.87857443677388813</v>
      </c>
      <c r="M109" s="95">
        <f>SUM(D109:K109)</f>
        <v>0.87857443677388813</v>
      </c>
    </row>
    <row r="110" spans="1:20">
      <c r="A110" s="35"/>
      <c r="B110" s="744"/>
    </row>
    <row r="111" spans="1:20">
      <c r="A111" s="35"/>
      <c r="B111" s="752" t="s">
        <v>181</v>
      </c>
    </row>
    <row r="112" spans="1:20">
      <c r="A112" s="35"/>
      <c r="B112" s="744" t="s">
        <v>180</v>
      </c>
      <c r="C112" s="156" t="s">
        <v>128</v>
      </c>
      <c r="D112" s="96">
        <f>D96+D108</f>
        <v>-1.6772105563631046</v>
      </c>
      <c r="E112" s="97">
        <f t="shared" ref="E112:K112" si="35">E96+E108</f>
        <v>-0.65745424300712774</v>
      </c>
      <c r="F112" s="97">
        <f t="shared" si="35"/>
        <v>-10.349855143473304</v>
      </c>
      <c r="G112" s="97">
        <f t="shared" si="35"/>
        <v>7.6272413694678676</v>
      </c>
      <c r="H112" s="97">
        <f t="shared" si="35"/>
        <v>3.0199080551448567</v>
      </c>
      <c r="I112" s="97">
        <f t="shared" si="35"/>
        <v>2.1555642225074534</v>
      </c>
      <c r="J112" s="97">
        <f t="shared" si="35"/>
        <v>9.5478672357909655</v>
      </c>
      <c r="K112" s="97">
        <f t="shared" si="35"/>
        <v>1.3634022166834492</v>
      </c>
      <c r="L112" s="96">
        <f>SUM(D112:INDEX(D112:K112,0,MATCH('RFPR cover'!$C$7,$D$6:$K$6,0)))</f>
        <v>11.029463156751055</v>
      </c>
      <c r="M112" s="98">
        <f>SUM(D112:K112)</f>
        <v>11.029463156751055</v>
      </c>
    </row>
    <row r="113" spans="1:20">
      <c r="A113" s="35"/>
      <c r="B113" s="744" t="s">
        <v>276</v>
      </c>
      <c r="C113" s="156" t="s">
        <v>128</v>
      </c>
      <c r="D113" s="520">
        <f>D97+D109</f>
        <v>-3.9134912981805767</v>
      </c>
      <c r="E113" s="521">
        <f t="shared" ref="E113:K113" si="36">E97+E109</f>
        <v>-1.5340599003499662</v>
      </c>
      <c r="F113" s="521">
        <f t="shared" si="36"/>
        <v>-24.149662001437704</v>
      </c>
      <c r="G113" s="521">
        <f t="shared" si="36"/>
        <v>17.796896528758353</v>
      </c>
      <c r="H113" s="521">
        <f t="shared" si="36"/>
        <v>7.0464521286713309</v>
      </c>
      <c r="I113" s="521">
        <f t="shared" si="36"/>
        <v>5.0296498525173909</v>
      </c>
      <c r="J113" s="521">
        <f t="shared" si="36"/>
        <v>22.278356883512249</v>
      </c>
      <c r="K113" s="521">
        <f t="shared" si="36"/>
        <v>3.1812718389280481</v>
      </c>
      <c r="L113" s="520">
        <f>SUM(D113:INDEX(D113:K113,0,MATCH('RFPR cover'!$C$7,$D$6:$K$6,0)))</f>
        <v>25.735414032419122</v>
      </c>
      <c r="M113" s="522">
        <f>SUM(D113:K113)</f>
        <v>25.735414032419122</v>
      </c>
    </row>
    <row r="114" spans="1:20">
      <c r="A114" s="35"/>
      <c r="B114" s="752" t="s">
        <v>11</v>
      </c>
      <c r="C114" s="157" t="s">
        <v>128</v>
      </c>
      <c r="D114" s="146">
        <f>SUM(D112:D113)</f>
        <v>-5.5907018545436813</v>
      </c>
      <c r="E114" s="147">
        <f t="shared" ref="E114:K114" si="37">SUM(E112:E113)</f>
        <v>-2.1915141433570939</v>
      </c>
      <c r="F114" s="147">
        <f t="shared" si="37"/>
        <v>-34.49951714491101</v>
      </c>
      <c r="G114" s="147">
        <f t="shared" si="37"/>
        <v>25.42413789822622</v>
      </c>
      <c r="H114" s="147">
        <f t="shared" si="37"/>
        <v>10.066360183816187</v>
      </c>
      <c r="I114" s="147">
        <f t="shared" si="37"/>
        <v>7.1852140750248443</v>
      </c>
      <c r="J114" s="147">
        <f t="shared" si="37"/>
        <v>31.826224119303212</v>
      </c>
      <c r="K114" s="147">
        <f t="shared" si="37"/>
        <v>4.5446740556114973</v>
      </c>
      <c r="L114" s="146">
        <f>SUM(D114:INDEX(D114:K114,0,MATCH('RFPR cover'!$C$7,$D$6:$K$6,0)))</f>
        <v>36.764877189170171</v>
      </c>
      <c r="M114" s="148">
        <f>SUM(D114:K114)</f>
        <v>36.764877189170171</v>
      </c>
    </row>
    <row r="115" spans="1:20">
      <c r="A115" s="35"/>
      <c r="B115" s="744"/>
    </row>
    <row r="116" spans="1:20">
      <c r="A116" s="35"/>
      <c r="B116" s="747" t="str">
        <f>B38</f>
        <v>n/a</v>
      </c>
      <c r="C116" s="151"/>
      <c r="D116" s="82"/>
      <c r="E116" s="82"/>
      <c r="F116" s="82"/>
      <c r="G116" s="82"/>
      <c r="H116" s="82"/>
      <c r="I116" s="82"/>
      <c r="J116" s="82"/>
      <c r="K116" s="82"/>
      <c r="L116" s="82"/>
      <c r="M116" s="82"/>
      <c r="N116" s="82"/>
    </row>
    <row r="117" spans="1:20" s="35" customFormat="1">
      <c r="B117" s="745"/>
      <c r="C117" s="139"/>
      <c r="D117" s="321"/>
      <c r="E117" s="321"/>
      <c r="F117" s="321"/>
      <c r="G117" s="321"/>
      <c r="H117" s="321"/>
      <c r="I117" s="321"/>
      <c r="J117" s="321"/>
      <c r="K117" s="321"/>
      <c r="L117" s="321"/>
      <c r="M117" s="321"/>
      <c r="N117" s="321"/>
    </row>
    <row r="118" spans="1:20">
      <c r="A118" s="35"/>
      <c r="B118" s="306" t="s">
        <v>34</v>
      </c>
      <c r="C118" s="156" t="s">
        <v>128</v>
      </c>
      <c r="D118" s="655">
        <f t="shared" ref="D118:K119" si="38">D40*D$86</f>
        <v>0</v>
      </c>
      <c r="E118" s="655">
        <f t="shared" si="38"/>
        <v>0</v>
      </c>
      <c r="F118" s="655">
        <f t="shared" si="38"/>
        <v>0</v>
      </c>
      <c r="G118" s="655">
        <f t="shared" si="38"/>
        <v>0</v>
      </c>
      <c r="H118" s="655">
        <f t="shared" si="38"/>
        <v>0</v>
      </c>
      <c r="I118" s="655">
        <f t="shared" si="38"/>
        <v>0</v>
      </c>
      <c r="J118" s="655">
        <f t="shared" si="38"/>
        <v>0</v>
      </c>
      <c r="K118" s="655">
        <f t="shared" si="38"/>
        <v>0</v>
      </c>
      <c r="L118" s="655">
        <f>SUM(D118:INDEX(D118:K118,0,MATCH('RFPR cover'!$C$7,$D$6:$K$6,0)))</f>
        <v>0</v>
      </c>
      <c r="M118" s="656">
        <f>SUM(D118:K118)</f>
        <v>0</v>
      </c>
      <c r="N118" s="63"/>
      <c r="O118" s="63"/>
    </row>
    <row r="119" spans="1:20" ht="25.2">
      <c r="A119" s="35"/>
      <c r="B119" s="749" t="s">
        <v>197</v>
      </c>
      <c r="C119" s="156" t="s">
        <v>128</v>
      </c>
      <c r="D119" s="655">
        <f t="shared" si="38"/>
        <v>0</v>
      </c>
      <c r="E119" s="655">
        <f t="shared" si="38"/>
        <v>0</v>
      </c>
      <c r="F119" s="655">
        <f t="shared" si="38"/>
        <v>0</v>
      </c>
      <c r="G119" s="655">
        <f t="shared" si="38"/>
        <v>0</v>
      </c>
      <c r="H119" s="655">
        <f t="shared" si="38"/>
        <v>0</v>
      </c>
      <c r="I119" s="655">
        <f t="shared" si="38"/>
        <v>0</v>
      </c>
      <c r="J119" s="655">
        <f t="shared" si="38"/>
        <v>0</v>
      </c>
      <c r="K119" s="655">
        <f t="shared" si="38"/>
        <v>0</v>
      </c>
      <c r="L119" s="657">
        <f>SUM(D119:INDEX(D119:K119,0,MATCH('RFPR cover'!$C$7,$D$6:$K$6,0)))</f>
        <v>0</v>
      </c>
      <c r="M119" s="658">
        <f>SUM(D119:K119)</f>
        <v>0</v>
      </c>
      <c r="N119" s="63"/>
      <c r="O119" s="63"/>
    </row>
    <row r="120" spans="1:20">
      <c r="A120" s="35"/>
      <c r="B120" s="750" t="s">
        <v>195</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1002"/>
      <c r="P120" s="1002"/>
      <c r="Q120" s="1002"/>
      <c r="R120"/>
      <c r="S120"/>
      <c r="T120"/>
    </row>
    <row r="121" spans="1:20" ht="13.2">
      <c r="A121" s="35"/>
      <c r="B121" s="750"/>
      <c r="C121" s="156"/>
      <c r="D121" s="59"/>
      <c r="E121" s="59"/>
      <c r="F121" s="59"/>
      <c r="G121" s="59"/>
      <c r="H121" s="59"/>
      <c r="I121" s="59"/>
      <c r="J121" s="59"/>
      <c r="K121" s="59"/>
      <c r="L121" s="59"/>
      <c r="M121" s="59"/>
      <c r="O121" s="64"/>
      <c r="P121" s="64"/>
      <c r="Q121" s="64"/>
      <c r="R121"/>
      <c r="S121"/>
      <c r="T121"/>
    </row>
    <row r="122" spans="1:20">
      <c r="A122" s="35"/>
      <c r="B122" s="744" t="s">
        <v>178</v>
      </c>
      <c r="C122" s="137" t="s">
        <v>7</v>
      </c>
      <c r="D122" s="110">
        <f>1-INDEX(Data!$D$73:$D$100,MATCH('RFPR cover'!$C$5,Data!$B$73:$B$100,0),0)</f>
        <v>0.30000000000000004</v>
      </c>
      <c r="E122" s="111">
        <f>1-INDEX(Data!$D$73:$D$100,MATCH('RFPR cover'!$C$5,Data!$B$73:$B$100,0),0)</f>
        <v>0.30000000000000004</v>
      </c>
      <c r="F122" s="111">
        <f>1-INDEX(Data!$D$73:$D$100,MATCH('RFPR cover'!$C$5,Data!$B$73:$B$100,0),0)</f>
        <v>0.30000000000000004</v>
      </c>
      <c r="G122" s="111">
        <f>1-INDEX(Data!$D$73:$D$100,MATCH('RFPR cover'!$C$5,Data!$B$73:$B$100,0),0)</f>
        <v>0.30000000000000004</v>
      </c>
      <c r="H122" s="111">
        <f>1-INDEX(Data!$D$73:$D$100,MATCH('RFPR cover'!$C$5,Data!$B$73:$B$100,0),0)</f>
        <v>0.30000000000000004</v>
      </c>
      <c r="I122" s="111">
        <f>1-INDEX(Data!$D$73:$D$100,MATCH('RFPR cover'!$C$5,Data!$B$73:$B$100,0),0)</f>
        <v>0.30000000000000004</v>
      </c>
      <c r="J122" s="111">
        <f>1-INDEX(Data!$D$73:$D$100,MATCH('RFPR cover'!$C$5,Data!$B$73:$B$100,0),0)</f>
        <v>0.30000000000000004</v>
      </c>
      <c r="K122" s="112">
        <f>1-INDEX(Data!$D$73:$D$100,MATCH('RFPR cover'!$C$5,Data!$B$73:$B$100,0),0)</f>
        <v>0.30000000000000004</v>
      </c>
      <c r="L122" s="62"/>
      <c r="M122" s="62"/>
      <c r="O122"/>
      <c r="P122"/>
      <c r="Q122"/>
      <c r="R122"/>
      <c r="S122"/>
      <c r="T122"/>
    </row>
    <row r="123" spans="1:20">
      <c r="A123" s="35"/>
      <c r="B123" s="744"/>
      <c r="O123"/>
      <c r="P123"/>
      <c r="Q123"/>
      <c r="R123"/>
      <c r="S123"/>
      <c r="T123"/>
    </row>
    <row r="124" spans="1:20">
      <c r="A124" s="35"/>
      <c r="B124" s="751" t="s">
        <v>183</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51" t="s">
        <v>179</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44"/>
      <c r="O126"/>
      <c r="P126"/>
      <c r="Q126"/>
      <c r="R126"/>
      <c r="S126"/>
      <c r="T126"/>
    </row>
    <row r="127" spans="1:20">
      <c r="A127" s="35"/>
      <c r="B127" s="752" t="s">
        <v>182</v>
      </c>
      <c r="N127" s="63"/>
      <c r="O127"/>
      <c r="P127"/>
      <c r="Q127"/>
      <c r="R127"/>
      <c r="S127"/>
      <c r="T127"/>
    </row>
    <row r="128" spans="1:20">
      <c r="A128" s="270" t="s">
        <v>151</v>
      </c>
      <c r="B128" s="226" t="str">
        <f t="shared" ref="B128:B133" si="42">B50</f>
        <v>[Enduring Value adjustment]</v>
      </c>
      <c r="C128" s="156"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3"/>
      <c r="O128"/>
      <c r="P128"/>
      <c r="Q128"/>
      <c r="R128"/>
      <c r="S128"/>
      <c r="T128"/>
    </row>
    <row r="129" spans="1:20">
      <c r="A129" s="270" t="s">
        <v>152</v>
      </c>
      <c r="B129" s="226" t="str">
        <f t="shared" si="42"/>
        <v>[Enduring Value adjustment]</v>
      </c>
      <c r="C129" s="156"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3"/>
      <c r="O129"/>
      <c r="P129"/>
      <c r="Q129"/>
      <c r="R129"/>
      <c r="S129"/>
      <c r="T129"/>
    </row>
    <row r="130" spans="1:20">
      <c r="A130" s="270" t="s">
        <v>153</v>
      </c>
      <c r="B130" s="226" t="str">
        <f t="shared" si="42"/>
        <v>[Enduring Value adjustment]</v>
      </c>
      <c r="C130" s="156"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3"/>
      <c r="O130"/>
      <c r="P130"/>
      <c r="Q130"/>
      <c r="R130"/>
      <c r="S130" s="65"/>
      <c r="T130"/>
    </row>
    <row r="131" spans="1:20">
      <c r="A131" s="270" t="s">
        <v>168</v>
      </c>
      <c r="B131" s="226" t="str">
        <f t="shared" si="42"/>
        <v>[Enduring Value adjustment]</v>
      </c>
      <c r="C131" s="156"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3"/>
      <c r="O131"/>
      <c r="P131"/>
      <c r="Q131"/>
      <c r="R131"/>
      <c r="S131"/>
      <c r="T131"/>
    </row>
    <row r="132" spans="1:20">
      <c r="A132" s="270" t="s">
        <v>169</v>
      </c>
      <c r="B132" s="226" t="str">
        <f t="shared" si="42"/>
        <v>[Enduring Value adjustment]</v>
      </c>
      <c r="C132" s="156"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3"/>
      <c r="O132"/>
      <c r="P132"/>
      <c r="Q132"/>
      <c r="R132"/>
      <c r="S132"/>
      <c r="T132"/>
    </row>
    <row r="133" spans="1:20">
      <c r="A133" s="270" t="s">
        <v>170</v>
      </c>
      <c r="B133" s="226" t="str">
        <f t="shared" si="42"/>
        <v>[Enduring Value adjustment]</v>
      </c>
      <c r="C133" s="156"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3"/>
      <c r="O133"/>
      <c r="P133"/>
      <c r="Q133"/>
      <c r="R133"/>
      <c r="S133"/>
      <c r="T133"/>
    </row>
    <row r="134" spans="1:20">
      <c r="A134" s="35"/>
      <c r="B134" s="752" t="s">
        <v>190</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44"/>
    </row>
    <row r="136" spans="1:20">
      <c r="A136" s="35"/>
      <c r="B136" s="751" t="s">
        <v>198</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51" t="s">
        <v>305</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44"/>
    </row>
    <row r="139" spans="1:20">
      <c r="A139" s="35"/>
      <c r="B139" s="752" t="s">
        <v>181</v>
      </c>
    </row>
    <row r="140" spans="1:20">
      <c r="A140" s="35"/>
      <c r="B140" s="744" t="s">
        <v>180</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44" t="s">
        <v>276</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52"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52"/>
      <c r="C143" s="157"/>
      <c r="D143" s="157"/>
      <c r="E143" s="157"/>
      <c r="F143" s="157"/>
      <c r="G143" s="157"/>
      <c r="H143" s="157"/>
      <c r="I143" s="157"/>
      <c r="J143" s="157"/>
      <c r="K143" s="157"/>
      <c r="L143" s="157"/>
      <c r="M143" s="157"/>
    </row>
    <row r="144" spans="1:20">
      <c r="A144" s="35"/>
      <c r="B144" s="747" t="s">
        <v>253</v>
      </c>
      <c r="C144" s="151"/>
      <c r="D144" s="82"/>
      <c r="E144" s="82"/>
      <c r="F144" s="82"/>
      <c r="G144" s="82"/>
      <c r="H144" s="82"/>
      <c r="I144" s="82"/>
      <c r="J144" s="82"/>
      <c r="K144" s="82"/>
      <c r="L144" s="82"/>
      <c r="M144" s="82"/>
      <c r="N144" s="82"/>
    </row>
    <row r="145" spans="1:20">
      <c r="A145" s="35"/>
      <c r="B145" s="744"/>
      <c r="O145"/>
      <c r="P145"/>
      <c r="Q145"/>
      <c r="R145"/>
      <c r="S145"/>
      <c r="T145"/>
    </row>
    <row r="146" spans="1:20">
      <c r="A146" s="35"/>
      <c r="B146" s="752" t="s">
        <v>181</v>
      </c>
    </row>
    <row r="147" spans="1:20">
      <c r="A147" s="35"/>
      <c r="B147" s="744" t="s">
        <v>180</v>
      </c>
      <c r="C147" s="156" t="s">
        <v>128</v>
      </c>
      <c r="D147" s="96">
        <f>D112+D140</f>
        <v>-1.6772105563631046</v>
      </c>
      <c r="E147" s="97">
        <f t="shared" ref="E147:K147" si="51">E112+E140</f>
        <v>-0.65745424300712774</v>
      </c>
      <c r="F147" s="97">
        <f t="shared" si="51"/>
        <v>-10.349855143473304</v>
      </c>
      <c r="G147" s="97">
        <f t="shared" si="51"/>
        <v>7.6272413694678676</v>
      </c>
      <c r="H147" s="97">
        <f t="shared" si="51"/>
        <v>3.0199080551448567</v>
      </c>
      <c r="I147" s="97">
        <f t="shared" si="51"/>
        <v>2.1555642225074534</v>
      </c>
      <c r="J147" s="97">
        <f t="shared" si="51"/>
        <v>9.5478672357909655</v>
      </c>
      <c r="K147" s="97">
        <f t="shared" si="51"/>
        <v>1.3634022166834492</v>
      </c>
      <c r="L147" s="96">
        <f>SUM(D147:INDEX(D147:K147,0,MATCH('RFPR cover'!$C$7,$D$6:$K$6,0)))</f>
        <v>11.029463156751055</v>
      </c>
      <c r="M147" s="98">
        <f>SUM(D147:K147)</f>
        <v>11.029463156751055</v>
      </c>
    </row>
    <row r="148" spans="1:20">
      <c r="A148" s="35"/>
      <c r="B148" s="744" t="s">
        <v>276</v>
      </c>
      <c r="C148" s="156" t="s">
        <v>128</v>
      </c>
      <c r="D148" s="99">
        <f t="shared" ref="D148:K148" si="52">D113+D141</f>
        <v>-3.9134912981805767</v>
      </c>
      <c r="E148" s="100">
        <f t="shared" si="52"/>
        <v>-1.5340599003499662</v>
      </c>
      <c r="F148" s="100">
        <f t="shared" si="52"/>
        <v>-24.149662001437704</v>
      </c>
      <c r="G148" s="100">
        <f t="shared" si="52"/>
        <v>17.796896528758353</v>
      </c>
      <c r="H148" s="100">
        <f t="shared" si="52"/>
        <v>7.0464521286713309</v>
      </c>
      <c r="I148" s="100">
        <f t="shared" si="52"/>
        <v>5.0296498525173909</v>
      </c>
      <c r="J148" s="100">
        <f t="shared" si="52"/>
        <v>22.278356883512249</v>
      </c>
      <c r="K148" s="100">
        <f t="shared" si="52"/>
        <v>3.1812718389280481</v>
      </c>
      <c r="L148" s="99">
        <f>SUM(D148:INDEX(D148:K148,0,MATCH('RFPR cover'!$C$7,$D$6:$K$6,0)))</f>
        <v>25.735414032419122</v>
      </c>
      <c r="M148" s="101">
        <f>SUM(D148:K148)</f>
        <v>25.735414032419122</v>
      </c>
    </row>
    <row r="149" spans="1:20">
      <c r="A149" s="35"/>
      <c r="B149" s="752" t="s">
        <v>11</v>
      </c>
      <c r="C149" s="157" t="s">
        <v>128</v>
      </c>
      <c r="D149" s="140">
        <f>SUM(D147:D148)</f>
        <v>-5.5907018545436813</v>
      </c>
      <c r="E149" s="141">
        <f t="shared" ref="E149:K149" si="53">SUM(E147:E148)</f>
        <v>-2.1915141433570939</v>
      </c>
      <c r="F149" s="141">
        <f t="shared" si="53"/>
        <v>-34.49951714491101</v>
      </c>
      <c r="G149" s="141">
        <f t="shared" si="53"/>
        <v>25.42413789822622</v>
      </c>
      <c r="H149" s="141">
        <f t="shared" si="53"/>
        <v>10.066360183816187</v>
      </c>
      <c r="I149" s="141">
        <f t="shared" si="53"/>
        <v>7.1852140750248443</v>
      </c>
      <c r="J149" s="141">
        <f t="shared" si="53"/>
        <v>31.826224119303212</v>
      </c>
      <c r="K149" s="141">
        <f t="shared" si="53"/>
        <v>4.5446740556114973</v>
      </c>
      <c r="L149" s="140">
        <f>SUM(D149:INDEX(D149:K149,0,MATCH('RFPR cover'!$C$7,$D$6:$K$6,0)))</f>
        <v>36.764877189170171</v>
      </c>
      <c r="M149" s="142">
        <f>SUM(D149:K149)</f>
        <v>36.764877189170171</v>
      </c>
    </row>
    <row r="150" spans="1:20">
      <c r="A150" s="35"/>
      <c r="B150" s="751"/>
      <c r="D150" s="137"/>
      <c r="E150" s="137"/>
      <c r="F150" s="137"/>
      <c r="G150" s="137"/>
      <c r="H150" s="137"/>
      <c r="I150" s="137"/>
      <c r="J150" s="137"/>
      <c r="K150" s="137"/>
    </row>
    <row r="151" spans="1:20">
      <c r="A151" s="35"/>
      <c r="B151" s="744"/>
    </row>
    <row r="152" spans="1:20">
      <c r="A152" s="82"/>
      <c r="B152" s="743"/>
      <c r="C152" s="151"/>
      <c r="D152" s="82"/>
      <c r="E152" s="82"/>
      <c r="F152" s="82"/>
      <c r="G152" s="82"/>
      <c r="H152" s="82"/>
      <c r="I152" s="82"/>
      <c r="J152" s="82"/>
      <c r="K152" s="82"/>
      <c r="L152" s="82"/>
      <c r="M152" s="82"/>
      <c r="N152" s="82"/>
    </row>
    <row r="153" spans="1:20">
      <c r="B153" s="744"/>
    </row>
    <row r="154" spans="1:20">
      <c r="B154" s="744"/>
    </row>
  </sheetData>
  <mergeCells count="3">
    <mergeCell ref="O42:Q42"/>
    <mergeCell ref="O92:Q92"/>
    <mergeCell ref="O120:Q120"/>
  </mergeCells>
  <conditionalFormatting sqref="D6:K6">
    <cfRule type="expression" dxfId="75" priority="7">
      <formula>AND(D$5="Actuals",E$5="Forecast")</formula>
    </cfRule>
  </conditionalFormatting>
  <conditionalFormatting sqref="B118:M142">
    <cfRule type="expression" dxfId="74" priority="3">
      <formula>$B$38="n/a"</formula>
    </cfRule>
  </conditionalFormatting>
  <conditionalFormatting sqref="D5:K5">
    <cfRule type="expression" dxfId="73" priority="2">
      <formula>AND(D$5="Actuals",E$5="Forecast")</formula>
    </cfRule>
  </conditionalFormatting>
  <conditionalFormatting sqref="B38:N64">
    <cfRule type="expression" dxfId="72"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showGridLines="0" zoomScale="70" zoomScaleNormal="70" workbookViewId="0">
      <pane ySplit="6" topLeftCell="A7" activePane="bottomLeft" state="frozen"/>
      <selection activeCell="D26" sqref="D26"/>
      <selection pane="bottomLeft" activeCell="A22" sqref="A22"/>
    </sheetView>
  </sheetViews>
  <sheetFormatPr defaultRowHeight="12.6"/>
  <cols>
    <col min="1" max="1" width="8.36328125" customWidth="1"/>
    <col min="2" max="2" width="71.36328125" bestFit="1" customWidth="1"/>
    <col min="3" max="3" width="13.36328125" style="137" customWidth="1"/>
    <col min="4" max="11" width="11.08984375" customWidth="1"/>
    <col min="12" max="12" width="12.90625" customWidth="1"/>
    <col min="13" max="13" width="12.7265625" customWidth="1"/>
    <col min="14" max="14" width="5" customWidth="1"/>
    <col min="17" max="17" width="10.7265625" bestFit="1" customWidth="1"/>
  </cols>
  <sheetData>
    <row r="1" spans="1:28" s="37" customFormat="1" ht="21">
      <c r="A1" s="900" t="s">
        <v>258</v>
      </c>
      <c r="B1" s="901"/>
      <c r="C1" s="154"/>
      <c r="D1" s="132"/>
      <c r="E1" s="132"/>
      <c r="F1" s="132"/>
      <c r="G1" s="132"/>
      <c r="H1" s="132"/>
      <c r="I1" s="128"/>
      <c r="J1" s="128"/>
      <c r="K1" s="128"/>
      <c r="L1" s="128"/>
      <c r="M1" s="128"/>
      <c r="N1" s="129"/>
    </row>
    <row r="2" spans="1:28" s="37" customFormat="1" ht="21">
      <c r="A2" s="902" t="str">
        <f>'RFPR cover'!C5</f>
        <v>NGED-EMID</v>
      </c>
      <c r="B2" s="903"/>
      <c r="C2" s="155"/>
      <c r="D2" s="36"/>
      <c r="E2" s="36"/>
      <c r="F2" s="36"/>
      <c r="G2" s="36"/>
      <c r="H2" s="36"/>
      <c r="I2" s="27"/>
      <c r="J2" s="27"/>
      <c r="K2" s="27"/>
      <c r="L2" s="27"/>
      <c r="M2" s="27"/>
      <c r="N2" s="124"/>
    </row>
    <row r="3" spans="1:28" s="37" customFormat="1" ht="21">
      <c r="A3" s="904">
        <f>'RFPR cover'!C7</f>
        <v>2023</v>
      </c>
      <c r="B3" s="905"/>
      <c r="C3" s="136"/>
      <c r="D3" s="133"/>
      <c r="E3" s="133"/>
      <c r="F3" s="133"/>
      <c r="G3" s="133"/>
      <c r="H3" s="133"/>
      <c r="I3" s="28"/>
      <c r="J3" s="28"/>
      <c r="K3" s="28"/>
      <c r="L3" s="28"/>
      <c r="M3" s="28"/>
      <c r="N3" s="126"/>
    </row>
    <row r="4" spans="1:28" s="2" customFormat="1" ht="12.75" customHeight="1">
      <c r="B4" s="3"/>
      <c r="C4" s="137"/>
    </row>
    <row r="5" spans="1:28" s="2" customFormat="1" ht="12.75" customHeigh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28"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2023</v>
      </c>
      <c r="M6" s="120" t="s">
        <v>109</v>
      </c>
    </row>
    <row r="7" spans="1:28" s="2" customFormat="1">
      <c r="A7" s="35"/>
      <c r="C7" s="137"/>
    </row>
    <row r="8" spans="1:28" s="2" customFormat="1">
      <c r="A8" s="35"/>
      <c r="B8" s="117" t="s">
        <v>199</v>
      </c>
      <c r="C8" s="151"/>
      <c r="D8" s="81"/>
      <c r="E8" s="81"/>
      <c r="F8" s="81"/>
      <c r="G8" s="81"/>
      <c r="H8" s="81"/>
      <c r="I8" s="81"/>
      <c r="J8" s="81"/>
      <c r="K8" s="81"/>
      <c r="L8" s="81"/>
      <c r="M8" s="81"/>
      <c r="N8" s="81"/>
    </row>
    <row r="9" spans="1:28" s="2" customFormat="1">
      <c r="A9" s="35"/>
      <c r="B9" s="368" t="s">
        <v>381</v>
      </c>
      <c r="C9" s="368"/>
      <c r="D9" s="368"/>
      <c r="E9" s="368"/>
      <c r="F9" s="368"/>
      <c r="G9" s="368"/>
      <c r="H9" s="368"/>
      <c r="I9" s="368"/>
      <c r="J9" s="368"/>
      <c r="K9" s="368"/>
      <c r="L9" s="368"/>
      <c r="M9" s="368"/>
      <c r="N9" s="368"/>
      <c r="AA9" s="921"/>
    </row>
    <row r="10" spans="1:28" s="2" customFormat="1">
      <c r="A10" s="35"/>
      <c r="B10" s="12"/>
      <c r="C10" s="137"/>
    </row>
    <row r="11" spans="1:28" s="2" customFormat="1">
      <c r="A11" s="225" t="s">
        <v>151</v>
      </c>
      <c r="B11" s="35" t="str">
        <f>Data!B153</f>
        <v>Broad measure of customer service</v>
      </c>
      <c r="C11" s="156" t="str">
        <f>'RFPR cover'!$C$14</f>
        <v>£m 12/13</v>
      </c>
      <c r="D11" s="593">
        <v>5.557900000000001</v>
      </c>
      <c r="E11" s="593">
        <v>5.4398</v>
      </c>
      <c r="F11" s="593">
        <v>5.5037321234432266</v>
      </c>
      <c r="G11" s="593">
        <v>5.6283200000000022</v>
      </c>
      <c r="H11" s="596">
        <v>4.54</v>
      </c>
      <c r="I11" s="596">
        <v>4.54</v>
      </c>
      <c r="J11" s="596">
        <v>4.2202468274757248</v>
      </c>
      <c r="K11" s="596">
        <v>4.5279226178010434</v>
      </c>
      <c r="L11" s="655">
        <f>SUM(D11:INDEX(D11:K11,0,MATCH('RFPR cover'!$C$7,$D$6:$K$6,0)))</f>
        <v>39.957921568720003</v>
      </c>
      <c r="M11" s="656">
        <f t="shared" ref="M11:M17" si="1">SUM(D11:K11)</f>
        <v>39.957921568720003</v>
      </c>
      <c r="O11" s="324"/>
      <c r="P11" s="915"/>
      <c r="Q11" s="915"/>
      <c r="R11" s="916"/>
      <c r="S11" s="915"/>
      <c r="T11" s="915"/>
      <c r="U11" s="915"/>
      <c r="AA11" s="915"/>
      <c r="AB11" s="915"/>
    </row>
    <row r="12" spans="1:28" s="2" customFormat="1">
      <c r="A12" s="225" t="s">
        <v>152</v>
      </c>
      <c r="B12" s="35" t="str">
        <f>Data!B154</f>
        <v>Interruptions-related quality of service</v>
      </c>
      <c r="C12" s="156" t="str">
        <f>'RFPR cover'!$C$14</f>
        <v>£m 12/13</v>
      </c>
      <c r="D12" s="593">
        <v>17.100000000000001</v>
      </c>
      <c r="E12" s="593">
        <v>17.100000000000001</v>
      </c>
      <c r="F12" s="593">
        <v>14.162494928384536</v>
      </c>
      <c r="G12" s="593">
        <v>16.804320987654314</v>
      </c>
      <c r="H12" s="596">
        <v>17.024035797905661</v>
      </c>
      <c r="I12" s="596">
        <v>15.181163813813798</v>
      </c>
      <c r="J12" s="596">
        <v>16.100432098765435</v>
      </c>
      <c r="K12" s="596">
        <v>17.100000000000001</v>
      </c>
      <c r="L12" s="659">
        <f>SUM(D12:INDEX(D12:K12,0,MATCH('RFPR cover'!$C$7,$D$6:$K$6,0)))</f>
        <v>130.57244762652374</v>
      </c>
      <c r="M12" s="660">
        <f t="shared" si="1"/>
        <v>130.57244762652374</v>
      </c>
      <c r="O12" s="324"/>
      <c r="P12" s="915"/>
      <c r="Q12" s="960"/>
      <c r="R12" s="916"/>
      <c r="S12" s="915"/>
      <c r="T12" s="915"/>
      <c r="U12" s="915"/>
      <c r="AA12" s="915"/>
      <c r="AB12" s="943"/>
    </row>
    <row r="13" spans="1:28" s="2" customFormat="1">
      <c r="A13" s="225" t="s">
        <v>153</v>
      </c>
      <c r="B13" s="35" t="str">
        <f>Data!B155</f>
        <v>Incentive on connections engagement</v>
      </c>
      <c r="C13" s="156" t="str">
        <f>'RFPR cover'!$C$14</f>
        <v>£m 12/13</v>
      </c>
      <c r="D13" s="593">
        <v>0</v>
      </c>
      <c r="E13" s="593">
        <v>0</v>
      </c>
      <c r="F13" s="593">
        <v>0</v>
      </c>
      <c r="G13" s="593">
        <v>0</v>
      </c>
      <c r="H13" s="596">
        <v>0</v>
      </c>
      <c r="I13" s="596">
        <v>0</v>
      </c>
      <c r="J13" s="596">
        <v>0</v>
      </c>
      <c r="K13" s="596">
        <v>0</v>
      </c>
      <c r="L13" s="659">
        <f>SUM(D13:INDEX(D13:K13,0,MATCH('RFPR cover'!$C$7,$D$6:$K$6,0)))</f>
        <v>0</v>
      </c>
      <c r="M13" s="660">
        <f t="shared" si="1"/>
        <v>0</v>
      </c>
      <c r="O13" s="324"/>
      <c r="P13" s="915"/>
      <c r="Q13" s="915"/>
      <c r="R13" s="916"/>
      <c r="S13" s="915"/>
      <c r="T13" s="915"/>
      <c r="U13" s="915"/>
      <c r="AA13" s="915"/>
      <c r="AB13" s="943"/>
    </row>
    <row r="14" spans="1:28" s="2" customFormat="1">
      <c r="A14" s="225" t="s">
        <v>168</v>
      </c>
      <c r="B14" s="35" t="str">
        <f>Data!B156</f>
        <v>Time to Connect Incentive</v>
      </c>
      <c r="C14" s="156" t="str">
        <f>'RFPR cover'!$C$14</f>
        <v>£m 12/13</v>
      </c>
      <c r="D14" s="593">
        <v>1.5435000000000005</v>
      </c>
      <c r="E14" s="593">
        <v>1.3147285263061528</v>
      </c>
      <c r="F14" s="593">
        <v>1.6000000000000003</v>
      </c>
      <c r="G14" s="593">
        <v>1.6</v>
      </c>
      <c r="H14" s="596">
        <v>1.5866877118774394</v>
      </c>
      <c r="I14" s="596">
        <v>1.3458458285614006</v>
      </c>
      <c r="J14" s="596">
        <v>1.3199827829071047</v>
      </c>
      <c r="K14" s="596">
        <v>1.4374868478485101</v>
      </c>
      <c r="L14" s="659">
        <f>SUM(D14:INDEX(D14:K14,0,MATCH('RFPR cover'!$C$7,$D$6:$K$6,0)))</f>
        <v>11.748231697500607</v>
      </c>
      <c r="M14" s="660">
        <f t="shared" si="1"/>
        <v>11.748231697500607</v>
      </c>
      <c r="O14" s="324"/>
      <c r="P14" s="915"/>
      <c r="Q14" s="915"/>
      <c r="R14" s="916"/>
      <c r="S14" s="915"/>
      <c r="T14" s="915"/>
      <c r="U14" s="915"/>
      <c r="AA14" s="915"/>
      <c r="AB14" s="943"/>
    </row>
    <row r="15" spans="1:28" s="2" customFormat="1">
      <c r="A15" s="225" t="s">
        <v>169</v>
      </c>
      <c r="B15" s="35" t="str">
        <f>Data!B157</f>
        <v>Losses discretionary reward scheme</v>
      </c>
      <c r="C15" s="156" t="str">
        <f>'RFPR cover'!$C$14</f>
        <v>£m 12/13</v>
      </c>
      <c r="D15" s="593">
        <v>0</v>
      </c>
      <c r="E15" s="593">
        <v>0.04</v>
      </c>
      <c r="F15" s="593">
        <v>0</v>
      </c>
      <c r="G15" s="593">
        <v>0</v>
      </c>
      <c r="H15" s="596">
        <v>0</v>
      </c>
      <c r="I15" s="596">
        <v>0</v>
      </c>
      <c r="J15" s="596">
        <v>0</v>
      </c>
      <c r="K15" s="596">
        <v>0</v>
      </c>
      <c r="L15" s="659">
        <f>SUM(D15:INDEX(D15:K15,0,MATCH('RFPR cover'!$C$7,$D$6:$K$6,0)))</f>
        <v>0.04</v>
      </c>
      <c r="M15" s="660">
        <f t="shared" si="1"/>
        <v>0.04</v>
      </c>
      <c r="O15" s="324"/>
      <c r="P15" s="915"/>
      <c r="Q15" s="915"/>
      <c r="R15" s="916"/>
      <c r="S15" s="915"/>
      <c r="T15" s="915"/>
      <c r="U15" s="915"/>
      <c r="AA15" s="915"/>
      <c r="AB15" s="915"/>
    </row>
    <row r="16" spans="1:28" s="2" customFormat="1">
      <c r="A16" s="225" t="s">
        <v>170</v>
      </c>
      <c r="B16" s="35" t="str">
        <f>Data!B158</f>
        <v/>
      </c>
      <c r="C16" s="156" t="str">
        <f>'RFPR cover'!$C$14</f>
        <v>£m 12/13</v>
      </c>
      <c r="D16" s="595">
        <v>0</v>
      </c>
      <c r="E16" s="596">
        <v>0</v>
      </c>
      <c r="F16" s="596">
        <v>0</v>
      </c>
      <c r="G16" s="596">
        <v>0</v>
      </c>
      <c r="H16" s="596">
        <v>0</v>
      </c>
      <c r="I16" s="596">
        <v>0</v>
      </c>
      <c r="J16" s="596">
        <v>0</v>
      </c>
      <c r="K16" s="596"/>
      <c r="L16" s="659">
        <f>SUM(D16:INDEX(D16:K16,0,MATCH('RFPR cover'!$C$7,$D$6:$K$6,0)))</f>
        <v>0</v>
      </c>
      <c r="M16" s="660">
        <f t="shared" si="1"/>
        <v>0</v>
      </c>
      <c r="P16" s="915"/>
      <c r="Q16" s="915"/>
      <c r="R16" s="916"/>
    </row>
    <row r="17" spans="1:18" s="2" customFormat="1">
      <c r="A17" s="225" t="s">
        <v>469</v>
      </c>
      <c r="B17" s="35" t="str">
        <f>Data!B159</f>
        <v/>
      </c>
      <c r="C17" s="156" t="str">
        <f>'RFPR cover'!$C$14</f>
        <v>£m 12/13</v>
      </c>
      <c r="D17" s="953">
        <v>0</v>
      </c>
      <c r="E17" s="818">
        <v>0</v>
      </c>
      <c r="F17" s="818">
        <v>0</v>
      </c>
      <c r="G17" s="818">
        <v>0</v>
      </c>
      <c r="H17" s="818">
        <v>0</v>
      </c>
      <c r="I17" s="818">
        <v>0</v>
      </c>
      <c r="J17" s="818">
        <v>0</v>
      </c>
      <c r="K17" s="819"/>
      <c r="L17" s="659">
        <f>SUM(D17:INDEX(D17:K17,0,MATCH('RFPR cover'!$C$7,$D$6:$K$6,0)))</f>
        <v>0</v>
      </c>
      <c r="M17" s="660">
        <f t="shared" si="1"/>
        <v>0</v>
      </c>
      <c r="P17" s="915"/>
      <c r="Q17" s="915"/>
      <c r="R17" s="916"/>
    </row>
    <row r="18" spans="1:18" s="2" customFormat="1">
      <c r="A18" s="35"/>
      <c r="B18" s="12" t="s">
        <v>203</v>
      </c>
      <c r="C18" s="157" t="str">
        <f>'RFPR cover'!$C$14</f>
        <v>£m 12/13</v>
      </c>
      <c r="D18" s="608">
        <f>SUM(D11:D17)</f>
        <v>24.201400000000003</v>
      </c>
      <c r="E18" s="608">
        <f t="shared" ref="E18:K18" si="2">SUM(E11:E17)</f>
        <v>23.89452852630615</v>
      </c>
      <c r="F18" s="608">
        <f t="shared" si="2"/>
        <v>21.266227051827762</v>
      </c>
      <c r="G18" s="608">
        <f t="shared" si="2"/>
        <v>24.032640987654318</v>
      </c>
      <c r="H18" s="608">
        <f t="shared" si="2"/>
        <v>23.150723509783099</v>
      </c>
      <c r="I18" s="608">
        <f t="shared" si="2"/>
        <v>21.067009642375201</v>
      </c>
      <c r="J18" s="608">
        <f t="shared" si="2"/>
        <v>21.640661709148262</v>
      </c>
      <c r="K18" s="608">
        <f t="shared" si="2"/>
        <v>23.065409465649555</v>
      </c>
      <c r="L18" s="608">
        <f>SUM(L11:L17)</f>
        <v>182.31860089274434</v>
      </c>
      <c r="M18" s="608">
        <f>SUM(M11:M17)</f>
        <v>182.31860089274434</v>
      </c>
      <c r="P18" s="915"/>
      <c r="Q18" s="915"/>
      <c r="R18" s="916"/>
    </row>
    <row r="19" spans="1:18" s="2" customFormat="1">
      <c r="A19" s="35"/>
      <c r="B19" s="12"/>
      <c r="C19" s="157"/>
      <c r="D19" s="157"/>
      <c r="E19" s="157"/>
      <c r="F19" s="157"/>
      <c r="G19" s="157"/>
      <c r="H19" s="157"/>
      <c r="I19" s="157"/>
      <c r="J19" s="157"/>
      <c r="K19" s="157"/>
      <c r="L19" s="157"/>
      <c r="M19" s="157"/>
    </row>
    <row r="20" spans="1:18" s="2" customFormat="1">
      <c r="A20" s="35"/>
      <c r="B20" s="12" t="s">
        <v>364</v>
      </c>
      <c r="C20" s="157"/>
      <c r="D20" s="157"/>
      <c r="E20" s="157"/>
      <c r="F20" s="157"/>
      <c r="G20" s="157"/>
      <c r="H20" s="157"/>
      <c r="I20" s="157"/>
      <c r="J20" s="157"/>
      <c r="K20" s="157"/>
      <c r="L20" s="157"/>
      <c r="M20" s="157"/>
    </row>
    <row r="21" spans="1:18" s="2" customFormat="1" ht="49.5" customHeight="1">
      <c r="A21" s="270" t="str">
        <f>A11</f>
        <v>a</v>
      </c>
      <c r="B21" s="1003" t="s">
        <v>651</v>
      </c>
      <c r="C21" s="1003"/>
      <c r="D21" s="1003"/>
      <c r="E21" s="1003"/>
      <c r="F21" s="1003"/>
      <c r="G21" s="1003"/>
      <c r="H21" s="1003"/>
      <c r="I21" s="1003"/>
      <c r="J21" s="1003"/>
      <c r="K21" s="1003"/>
      <c r="L21" s="1003"/>
      <c r="M21" s="1003"/>
      <c r="O21" s="324"/>
    </row>
    <row r="22" spans="1:18" s="2" customFormat="1" ht="33" customHeight="1">
      <c r="A22" s="270" t="str">
        <f>A12</f>
        <v>b</v>
      </c>
      <c r="B22" s="1003" t="s">
        <v>663</v>
      </c>
      <c r="C22" s="1003"/>
      <c r="D22" s="1003"/>
      <c r="E22" s="1003"/>
      <c r="F22" s="1003"/>
      <c r="G22" s="1003"/>
      <c r="H22" s="1003"/>
      <c r="I22" s="1003"/>
      <c r="J22" s="1003"/>
      <c r="K22" s="1003"/>
      <c r="L22" s="1003"/>
      <c r="M22" s="1003"/>
      <c r="O22" s="324"/>
    </row>
    <row r="23" spans="1:18" s="2" customFormat="1">
      <c r="A23" s="270" t="str">
        <f>A13</f>
        <v>c</v>
      </c>
      <c r="B23" s="1004"/>
      <c r="C23" s="1004"/>
      <c r="D23" s="1004"/>
      <c r="E23" s="1004"/>
      <c r="F23" s="1004"/>
      <c r="G23" s="1004"/>
      <c r="H23" s="1004"/>
      <c r="I23" s="1004"/>
      <c r="J23" s="1004"/>
      <c r="K23" s="1004"/>
      <c r="L23" s="1004"/>
      <c r="M23" s="1004"/>
    </row>
    <row r="24" spans="1:18" s="2" customFormat="1">
      <c r="A24" s="270" t="str">
        <f>A14</f>
        <v>d</v>
      </c>
      <c r="B24" s="1004" t="s">
        <v>662</v>
      </c>
      <c r="C24" s="1004"/>
      <c r="D24" s="1004"/>
      <c r="E24" s="1004"/>
      <c r="F24" s="1004"/>
      <c r="G24" s="1004"/>
      <c r="H24" s="1004"/>
      <c r="I24" s="1004"/>
      <c r="J24" s="1004"/>
      <c r="K24" s="1004"/>
      <c r="L24" s="1004"/>
      <c r="M24" s="1004"/>
    </row>
    <row r="25" spans="1:18" s="2" customFormat="1">
      <c r="A25" s="270" t="str">
        <f>A15</f>
        <v>e</v>
      </c>
      <c r="B25" s="1004"/>
      <c r="C25" s="1004"/>
      <c r="D25" s="1004"/>
      <c r="E25" s="1004"/>
      <c r="F25" s="1004"/>
      <c r="G25" s="1004"/>
      <c r="H25" s="1004"/>
      <c r="I25" s="1004"/>
      <c r="J25" s="1004"/>
      <c r="K25" s="1004"/>
      <c r="L25" s="1004"/>
      <c r="M25" s="1004"/>
    </row>
    <row r="26" spans="1:18" s="2" customFormat="1">
      <c r="A26" s="270" t="s">
        <v>170</v>
      </c>
      <c r="B26" s="814"/>
      <c r="C26" s="814"/>
      <c r="D26" s="814"/>
      <c r="E26" s="814"/>
      <c r="F26" s="814"/>
      <c r="G26" s="814"/>
      <c r="H26" s="814"/>
      <c r="I26" s="814"/>
      <c r="J26" s="814"/>
      <c r="K26" s="814"/>
      <c r="L26" s="814"/>
      <c r="M26" s="814"/>
    </row>
    <row r="27" spans="1:18" s="2" customFormat="1">
      <c r="A27" s="270" t="s">
        <v>469</v>
      </c>
      <c r="B27" s="814"/>
      <c r="C27" s="814"/>
      <c r="D27" s="814"/>
      <c r="E27" s="814"/>
      <c r="F27" s="814"/>
      <c r="G27" s="814"/>
      <c r="H27" s="814"/>
      <c r="I27" s="814"/>
      <c r="J27" s="814"/>
      <c r="K27" s="814"/>
      <c r="L27" s="814"/>
      <c r="M27" s="814"/>
    </row>
    <row r="28" spans="1:18" s="532" customFormat="1">
      <c r="A28" s="38"/>
      <c r="B28" s="536"/>
      <c r="C28" s="536"/>
      <c r="D28" s="536"/>
      <c r="E28" s="536"/>
      <c r="F28" s="536"/>
      <c r="G28" s="536"/>
      <c r="H28" s="536"/>
      <c r="I28" s="536"/>
      <c r="J28" s="536"/>
      <c r="K28" s="536"/>
      <c r="L28" s="536"/>
      <c r="M28" s="536"/>
    </row>
    <row r="29" spans="1:18" s="2" customFormat="1">
      <c r="B29" s="12"/>
      <c r="C29" s="137"/>
      <c r="D29" s="52"/>
      <c r="E29" s="52"/>
      <c r="F29" s="52"/>
      <c r="G29" s="52"/>
      <c r="H29" s="52"/>
      <c r="I29" s="52"/>
      <c r="J29" s="52"/>
      <c r="K29" s="52"/>
    </row>
    <row r="30" spans="1:18" s="2" customFormat="1">
      <c r="A30" s="35"/>
      <c r="B30" s="117" t="s">
        <v>200</v>
      </c>
      <c r="C30" s="151"/>
      <c r="D30" s="81"/>
      <c r="E30" s="81"/>
      <c r="F30" s="81"/>
      <c r="G30" s="81"/>
      <c r="H30" s="81"/>
      <c r="I30" s="81"/>
      <c r="J30" s="81"/>
      <c r="K30" s="81"/>
      <c r="L30" s="81"/>
      <c r="M30" s="81"/>
      <c r="N30" s="81"/>
    </row>
    <row r="31" spans="1:18" s="2" customFormat="1">
      <c r="A31" s="35"/>
      <c r="B31" s="35"/>
      <c r="C31" s="35"/>
      <c r="D31" s="35"/>
      <c r="E31" s="35"/>
      <c r="F31" s="35"/>
      <c r="G31" s="35"/>
      <c r="H31" s="35"/>
      <c r="I31" s="35"/>
      <c r="J31" s="35"/>
      <c r="K31" s="35"/>
      <c r="L31" s="35"/>
      <c r="M31" s="35"/>
      <c r="N31" s="35"/>
      <c r="O31" s="35"/>
      <c r="P31" s="35"/>
    </row>
    <row r="32" spans="1:18" s="2" customFormat="1">
      <c r="A32" s="35"/>
      <c r="B32" s="368" t="s">
        <v>211</v>
      </c>
      <c r="C32" s="292"/>
      <c r="D32" s="294"/>
      <c r="E32" s="294"/>
      <c r="F32" s="294"/>
      <c r="G32" s="294"/>
      <c r="H32" s="294"/>
      <c r="I32" s="294"/>
      <c r="J32" s="294"/>
      <c r="K32" s="294"/>
      <c r="L32" s="294"/>
      <c r="M32" s="294"/>
      <c r="N32" s="294"/>
    </row>
    <row r="33" spans="1:14" s="2" customFormat="1">
      <c r="A33" s="35"/>
      <c r="B33" s="369" t="s">
        <v>241</v>
      </c>
      <c r="C33" s="292"/>
      <c r="D33" s="294"/>
      <c r="E33" s="294"/>
      <c r="F33" s="294"/>
      <c r="G33" s="294"/>
      <c r="H33" s="294"/>
      <c r="I33" s="294"/>
      <c r="J33" s="294"/>
      <c r="K33" s="294"/>
      <c r="L33" s="294"/>
      <c r="M33" s="294"/>
      <c r="N33" s="294"/>
    </row>
    <row r="34" spans="1:14" s="2" customFormat="1">
      <c r="A34" s="35"/>
      <c r="B34" s="369" t="s">
        <v>470</v>
      </c>
      <c r="C34" s="292"/>
      <c r="D34" s="294"/>
      <c r="E34" s="294"/>
      <c r="F34" s="294"/>
      <c r="G34" s="294"/>
      <c r="H34" s="294"/>
      <c r="I34" s="294"/>
      <c r="J34" s="294"/>
      <c r="K34" s="294"/>
      <c r="L34" s="294"/>
      <c r="M34" s="294"/>
      <c r="N34" s="294"/>
    </row>
    <row r="35" spans="1:14" s="2" customFormat="1">
      <c r="A35" s="35"/>
      <c r="B35" s="369" t="s">
        <v>209</v>
      </c>
      <c r="C35" s="292"/>
      <c r="D35" s="294"/>
      <c r="E35" s="294"/>
      <c r="F35" s="294"/>
      <c r="G35" s="294"/>
      <c r="H35" s="294"/>
      <c r="I35" s="294"/>
      <c r="J35" s="294"/>
      <c r="K35" s="294"/>
      <c r="L35" s="294"/>
      <c r="M35" s="294"/>
      <c r="N35" s="294"/>
    </row>
    <row r="36" spans="1:14" s="2" customFormat="1">
      <c r="A36" s="35"/>
      <c r="B36" s="369" t="s">
        <v>202</v>
      </c>
      <c r="C36" s="292"/>
      <c r="D36" s="294"/>
      <c r="E36" s="294"/>
      <c r="F36" s="294"/>
      <c r="G36" s="294"/>
      <c r="H36" s="294"/>
      <c r="I36" s="294"/>
      <c r="J36" s="294"/>
      <c r="K36" s="294"/>
      <c r="L36" s="294"/>
      <c r="M36" s="294"/>
      <c r="N36" s="294"/>
    </row>
    <row r="37" spans="1:14" s="2" customFormat="1">
      <c r="A37" s="35"/>
      <c r="B37" s="369" t="s">
        <v>208</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55">
        <f>D51</f>
        <v>4.5018990000000008</v>
      </c>
      <c r="E39" s="655">
        <f t="shared" ref="E39:K39" si="4">E51</f>
        <v>4.4062380000000001</v>
      </c>
      <c r="F39" s="655">
        <f t="shared" si="4"/>
        <v>4.4580230199890138</v>
      </c>
      <c r="G39" s="655">
        <f t="shared" si="4"/>
        <v>4.558939200000002</v>
      </c>
      <c r="H39" s="655">
        <f t="shared" si="4"/>
        <v>3.6774000000000004</v>
      </c>
      <c r="I39" s="655">
        <f t="shared" si="4"/>
        <v>3.6774000000000004</v>
      </c>
      <c r="J39" s="655">
        <f t="shared" si="4"/>
        <v>3.1651851206067936</v>
      </c>
      <c r="K39" s="655">
        <f t="shared" si="4"/>
        <v>3.3959419633507828</v>
      </c>
      <c r="L39" s="655">
        <f>SUM(D39:INDEX(D39:K39,0,MATCH('RFPR cover'!$C$7,$D$6:$K$6,0)))</f>
        <v>31.841026303946588</v>
      </c>
      <c r="M39" s="656">
        <f t="shared" ref="M39:M45" si="5">SUM(D39:K39)</f>
        <v>31.841026303946588</v>
      </c>
    </row>
    <row r="40" spans="1:14" s="2" customFormat="1">
      <c r="A40" s="161" t="str">
        <f t="shared" si="3"/>
        <v>b</v>
      </c>
      <c r="B40" s="35" t="str">
        <f>$B$12&amp;""</f>
        <v>Interruptions-related quality of service</v>
      </c>
      <c r="C40" s="156" t="str">
        <f>'RFPR cover'!$C$14</f>
        <v>£m 12/13</v>
      </c>
      <c r="D40" s="655">
        <f>D55</f>
        <v>13.851000000000003</v>
      </c>
      <c r="E40" s="655">
        <f t="shared" ref="E40:K40" si="6">E55</f>
        <v>13.851000000000003</v>
      </c>
      <c r="F40" s="655">
        <f t="shared" si="6"/>
        <v>11.471620891991474</v>
      </c>
      <c r="G40" s="655">
        <f t="shared" si="6"/>
        <v>13.611499999999996</v>
      </c>
      <c r="H40" s="655">
        <f t="shared" si="6"/>
        <v>13.789468996303587</v>
      </c>
      <c r="I40" s="655">
        <f t="shared" si="6"/>
        <v>12.296742689189177</v>
      </c>
      <c r="J40" s="655">
        <f t="shared" si="6"/>
        <v>12.075324074074075</v>
      </c>
      <c r="K40" s="655">
        <f t="shared" si="6"/>
        <v>12.825000000000001</v>
      </c>
      <c r="L40" s="659">
        <f>SUM(D40:INDEX(D40:K40,0,MATCH('RFPR cover'!$C$7,$D$6:$K$6,0)))</f>
        <v>103.7716566515583</v>
      </c>
      <c r="M40" s="660">
        <f t="shared" si="5"/>
        <v>103.7716566515583</v>
      </c>
    </row>
    <row r="41" spans="1:14" s="2" customFormat="1">
      <c r="A41" s="161" t="str">
        <f t="shared" si="3"/>
        <v>c</v>
      </c>
      <c r="B41" s="35" t="str">
        <f>$B$13&amp;""</f>
        <v>Incentive on connections engagement</v>
      </c>
      <c r="C41" s="156" t="str">
        <f>'RFPR cover'!$C$14</f>
        <v>£m 12/13</v>
      </c>
      <c r="D41" s="655">
        <f>D59</f>
        <v>0</v>
      </c>
      <c r="E41" s="655">
        <f t="shared" ref="E41:K41" si="7">E59</f>
        <v>0</v>
      </c>
      <c r="F41" s="655">
        <f t="shared" si="7"/>
        <v>0</v>
      </c>
      <c r="G41" s="655">
        <f t="shared" si="7"/>
        <v>0</v>
      </c>
      <c r="H41" s="655">
        <f t="shared" si="7"/>
        <v>0</v>
      </c>
      <c r="I41" s="655">
        <f t="shared" si="7"/>
        <v>0</v>
      </c>
      <c r="J41" s="655">
        <f t="shared" si="7"/>
        <v>0</v>
      </c>
      <c r="K41" s="655">
        <f t="shared" si="7"/>
        <v>0</v>
      </c>
      <c r="L41" s="659">
        <f>SUM(D41:INDEX(D41:K41,0,MATCH('RFPR cover'!$C$7,$D$6:$K$6,0)))</f>
        <v>0</v>
      </c>
      <c r="M41" s="660">
        <f t="shared" si="5"/>
        <v>0</v>
      </c>
    </row>
    <row r="42" spans="1:14" s="2" customFormat="1">
      <c r="A42" s="161" t="str">
        <f t="shared" si="3"/>
        <v>d</v>
      </c>
      <c r="B42" s="35" t="str">
        <f>$B$14&amp;""</f>
        <v>Time to Connect Incentive</v>
      </c>
      <c r="C42" s="156" t="str">
        <f>'RFPR cover'!$C$14</f>
        <v>£m 12/13</v>
      </c>
      <c r="D42" s="655">
        <f>D63</f>
        <v>1.2502350000000004</v>
      </c>
      <c r="E42" s="655">
        <f t="shared" ref="E42:K42" si="8">E63</f>
        <v>1.0649301063079839</v>
      </c>
      <c r="F42" s="655">
        <f t="shared" si="8"/>
        <v>1.2960000000000003</v>
      </c>
      <c r="G42" s="655">
        <f t="shared" si="8"/>
        <v>1.2960000000000003</v>
      </c>
      <c r="H42" s="655">
        <f t="shared" si="8"/>
        <v>1.285217046620726</v>
      </c>
      <c r="I42" s="655">
        <f t="shared" si="8"/>
        <v>1.0901351211347345</v>
      </c>
      <c r="J42" s="655">
        <f t="shared" si="8"/>
        <v>0.98998708718032846</v>
      </c>
      <c r="K42" s="655">
        <f t="shared" si="8"/>
        <v>1.0781151358863825</v>
      </c>
      <c r="L42" s="659">
        <f>SUM(D42:INDEX(D42:K42,0,MATCH('RFPR cover'!$C$7,$D$6:$K$6,0)))</f>
        <v>9.3506194971301575</v>
      </c>
      <c r="M42" s="660">
        <f t="shared" si="5"/>
        <v>9.3506194971301575</v>
      </c>
    </row>
    <row r="43" spans="1:14" s="2" customFormat="1">
      <c r="A43" s="161" t="str">
        <f t="shared" si="3"/>
        <v>e</v>
      </c>
      <c r="B43" s="35" t="str">
        <f>$B$15&amp;""</f>
        <v>Losses discretionary reward scheme</v>
      </c>
      <c r="C43" s="156" t="str">
        <f>'RFPR cover'!$C$14</f>
        <v>£m 12/13</v>
      </c>
      <c r="D43" s="655">
        <f>D67</f>
        <v>0</v>
      </c>
      <c r="E43" s="655">
        <f t="shared" ref="E43:K43" si="9">E67</f>
        <v>3.2400000000000005E-2</v>
      </c>
      <c r="F43" s="655">
        <f t="shared" si="9"/>
        <v>0</v>
      </c>
      <c r="G43" s="655">
        <f t="shared" si="9"/>
        <v>0</v>
      </c>
      <c r="H43" s="655">
        <f t="shared" si="9"/>
        <v>0</v>
      </c>
      <c r="I43" s="655">
        <f t="shared" si="9"/>
        <v>0</v>
      </c>
      <c r="J43" s="655">
        <f t="shared" si="9"/>
        <v>0</v>
      </c>
      <c r="K43" s="655">
        <f t="shared" si="9"/>
        <v>0</v>
      </c>
      <c r="L43" s="659">
        <f>SUM(D43:INDEX(D43:K43,0,MATCH('RFPR cover'!$C$7,$D$6:$K$6,0)))</f>
        <v>3.2400000000000005E-2</v>
      </c>
      <c r="M43" s="660">
        <f t="shared" si="5"/>
        <v>3.2400000000000005E-2</v>
      </c>
    </row>
    <row r="44" spans="1:14" s="2" customFormat="1">
      <c r="A44" s="161" t="str">
        <f t="shared" si="3"/>
        <v>f</v>
      </c>
      <c r="B44" s="35" t="str">
        <f>$B$16&amp;""</f>
        <v/>
      </c>
      <c r="C44" s="156" t="str">
        <f>'RFPR cover'!$C$14</f>
        <v>£m 12/13</v>
      </c>
      <c r="D44" s="655">
        <f>D71</f>
        <v>0</v>
      </c>
      <c r="E44" s="655">
        <f t="shared" ref="E44:K44" si="10">E71</f>
        <v>0</v>
      </c>
      <c r="F44" s="655">
        <f t="shared" si="10"/>
        <v>0</v>
      </c>
      <c r="G44" s="655">
        <f t="shared" si="10"/>
        <v>0</v>
      </c>
      <c r="H44" s="655">
        <f t="shared" si="10"/>
        <v>0</v>
      </c>
      <c r="I44" s="655">
        <f t="shared" si="10"/>
        <v>0</v>
      </c>
      <c r="J44" s="655">
        <f t="shared" si="10"/>
        <v>0</v>
      </c>
      <c r="K44" s="655">
        <f t="shared" si="10"/>
        <v>0</v>
      </c>
      <c r="L44" s="659">
        <f>SUM(D44:INDEX(D44:K44,0,MATCH('RFPR cover'!$C$7,$D$6:$K$6,0)))</f>
        <v>0</v>
      </c>
      <c r="M44" s="660">
        <f t="shared" si="5"/>
        <v>0</v>
      </c>
    </row>
    <row r="45" spans="1:14" s="2" customFormat="1">
      <c r="A45" s="161" t="str">
        <f t="shared" si="3"/>
        <v>g</v>
      </c>
      <c r="B45" s="35" t="str">
        <f>$B$17&amp;""</f>
        <v/>
      </c>
      <c r="C45" s="156" t="str">
        <f>'RFPR cover'!$C$14</f>
        <v>£m 12/13</v>
      </c>
      <c r="D45" s="655">
        <f>D75</f>
        <v>0</v>
      </c>
      <c r="E45" s="655">
        <f t="shared" ref="E45:K45" si="11">E75</f>
        <v>0</v>
      </c>
      <c r="F45" s="655">
        <f t="shared" si="11"/>
        <v>0</v>
      </c>
      <c r="G45" s="655">
        <f t="shared" si="11"/>
        <v>0</v>
      </c>
      <c r="H45" s="655">
        <f t="shared" si="11"/>
        <v>0</v>
      </c>
      <c r="I45" s="655">
        <f t="shared" si="11"/>
        <v>0</v>
      </c>
      <c r="J45" s="655">
        <f t="shared" si="11"/>
        <v>0</v>
      </c>
      <c r="K45" s="655">
        <f t="shared" si="11"/>
        <v>0</v>
      </c>
      <c r="L45" s="659">
        <f>SUM(D45:INDEX(D45:K45,0,MATCH('RFPR cover'!$C$7,$D$6:$K$6,0)))</f>
        <v>0</v>
      </c>
      <c r="M45" s="660">
        <f t="shared" si="5"/>
        <v>0</v>
      </c>
    </row>
    <row r="46" spans="1:14" s="2" customFormat="1">
      <c r="B46" s="12" t="s">
        <v>204</v>
      </c>
      <c r="C46" s="157" t="str">
        <f>'RFPR cover'!$C$14</f>
        <v>£m 12/13</v>
      </c>
      <c r="D46" s="608">
        <f>SUM(D39:D45)</f>
        <v>19.603134000000004</v>
      </c>
      <c r="E46" s="608">
        <f t="shared" ref="E46:M46" si="12">SUM(E39:E45)</f>
        <v>19.354568106307983</v>
      </c>
      <c r="F46" s="608">
        <f t="shared" si="12"/>
        <v>17.225643911980487</v>
      </c>
      <c r="G46" s="608">
        <f t="shared" si="12"/>
        <v>19.466439199999996</v>
      </c>
      <c r="H46" s="609">
        <f t="shared" si="12"/>
        <v>18.752086042924315</v>
      </c>
      <c r="I46" s="609">
        <f t="shared" si="12"/>
        <v>17.064277810323912</v>
      </c>
      <c r="J46" s="609">
        <f t="shared" si="12"/>
        <v>16.230496281861196</v>
      </c>
      <c r="K46" s="609">
        <f t="shared" si="12"/>
        <v>17.299057099237164</v>
      </c>
      <c r="L46" s="608">
        <f t="shared" si="12"/>
        <v>144.99570245263504</v>
      </c>
      <c r="M46" s="608">
        <f t="shared" si="12"/>
        <v>144.99570245263504</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53">
        <f>INDEX($D$11:$K$17,MATCH($A49,$A$11:$A$17,0),0)</f>
        <v>5.557900000000001</v>
      </c>
      <c r="E49" s="753">
        <f t="shared" ref="E49:K49" si="13">INDEX($D$11:$K$17,MATCH($A49,$A$11:$A$17,0),0)</f>
        <v>5.4398</v>
      </c>
      <c r="F49" s="753">
        <f t="shared" si="13"/>
        <v>5.5037321234432266</v>
      </c>
      <c r="G49" s="753">
        <f t="shared" si="13"/>
        <v>5.6283200000000022</v>
      </c>
      <c r="H49" s="753">
        <f t="shared" si="13"/>
        <v>4.54</v>
      </c>
      <c r="I49" s="753">
        <f t="shared" si="13"/>
        <v>4.54</v>
      </c>
      <c r="J49" s="753">
        <f t="shared" si="13"/>
        <v>4.2202468274757248</v>
      </c>
      <c r="K49" s="753">
        <f t="shared" si="13"/>
        <v>4.5279226178010434</v>
      </c>
      <c r="L49" s="753">
        <f>SUM(D49:INDEX(D49:K49,0,MATCH('RFPR cover'!$C$7,$D$6:$K$6,0)))</f>
        <v>39.957921568720003</v>
      </c>
      <c r="M49" s="754">
        <f>SUM(D49:K49)</f>
        <v>39.957921568720003</v>
      </c>
    </row>
    <row r="50" spans="1:13" s="2" customFormat="1">
      <c r="A50" s="161"/>
      <c r="B50" s="35" t="s">
        <v>201</v>
      </c>
      <c r="C50" s="295" t="s">
        <v>202</v>
      </c>
      <c r="D50" s="855">
        <f>IF($C50=$B$33,$B$33,INDEX(Data!$G$14:$G$30,MATCH('R5 - Output Incentives'!D$6+RIGHT('R5 - Output Incentives'!$C50,2),Data!$C$14:$C$30,0),0))</f>
        <v>0.19</v>
      </c>
      <c r="E50" s="856">
        <f>IF($C50=$B$33,$B$33,INDEX(Data!$G$14:$G$30,MATCH('R5 - Output Incentives'!E$6+RIGHT('R5 - Output Incentives'!$C50,2),Data!$C$14:$C$30,0),0))</f>
        <v>0.19</v>
      </c>
      <c r="F50" s="856">
        <f>IF($C50=$B$33,$B$33,INDEX(Data!$G$14:$G$30,MATCH('R5 - Output Incentives'!F$6+RIGHT('R5 - Output Incentives'!$C50,2),Data!$C$14:$C$30,0),0))</f>
        <v>0.19</v>
      </c>
      <c r="G50" s="856">
        <f>IF($C50=$B$33,$B$33,INDEX(Data!$G$14:$G$30,MATCH('R5 - Output Incentives'!G$6+RIGHT('R5 - Output Incentives'!$C50,2),Data!$C$14:$C$30,0),0))</f>
        <v>0.19</v>
      </c>
      <c r="H50" s="856">
        <f>IF($C50=$B$33,$B$33,INDEX(Data!$G$14:$G$30,MATCH('R5 - Output Incentives'!H$6+RIGHT('R5 - Output Incentives'!$C50,2),Data!$C$14:$C$30,0),0))</f>
        <v>0.19</v>
      </c>
      <c r="I50" s="856">
        <f>IF($C50=$B$33,$B$33,INDEX(Data!$G$14:$G$30,MATCH('R5 - Output Incentives'!I$6+RIGHT('R5 - Output Incentives'!$C50,2),Data!$C$14:$C$30,0),0))</f>
        <v>0.19</v>
      </c>
      <c r="J50" s="856">
        <f>IF($C50=$B$33,$B$33,INDEX(Data!$G$14:$G$30,MATCH('R5 - Output Incentives'!J$6+RIGHT('R5 - Output Incentives'!$C50,2),Data!$C$14:$C$30,0),0))</f>
        <v>0.25</v>
      </c>
      <c r="K50" s="857">
        <f>IF($C50=$B$33,$B$33,INDEX(Data!$G$14:$G$30,MATCH('R5 - Output Incentives'!K$6+RIGHT('R5 - Output Incentives'!$C50,2),Data!$C$14:$C$30,0),0))</f>
        <v>0.25</v>
      </c>
      <c r="L50" s="755"/>
      <c r="M50" s="756"/>
    </row>
    <row r="51" spans="1:13" s="2" customFormat="1">
      <c r="A51" s="161"/>
      <c r="B51" s="35" t="s">
        <v>210</v>
      </c>
      <c r="C51" s="156"/>
      <c r="D51" s="608">
        <f>IFERROR(D49*(1-D50),0)</f>
        <v>4.5018990000000008</v>
      </c>
      <c r="E51" s="609">
        <f t="shared" ref="E51:K51" si="14">IFERROR(E49*(1-E50),0)</f>
        <v>4.4062380000000001</v>
      </c>
      <c r="F51" s="609">
        <f t="shared" si="14"/>
        <v>4.4580230199890138</v>
      </c>
      <c r="G51" s="609">
        <f t="shared" si="14"/>
        <v>4.558939200000002</v>
      </c>
      <c r="H51" s="609">
        <f t="shared" si="14"/>
        <v>3.6774000000000004</v>
      </c>
      <c r="I51" s="609">
        <f t="shared" si="14"/>
        <v>3.6774000000000004</v>
      </c>
      <c r="J51" s="609">
        <f t="shared" si="14"/>
        <v>3.1651851206067936</v>
      </c>
      <c r="K51" s="609">
        <f t="shared" si="14"/>
        <v>3.3959419633507828</v>
      </c>
      <c r="L51" s="653">
        <f>SUM(D51:INDEX(D51:K51,0,MATCH('RFPR cover'!$C$7,$D$6:$K$6,0)))</f>
        <v>31.841026303946588</v>
      </c>
      <c r="M51" s="654">
        <f>SUM(D51:K51)</f>
        <v>31.841026303946588</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53">
        <f>INDEX($D$11:$K$17,MATCH($A53,$A$11:$A$17,0),0)</f>
        <v>17.100000000000001</v>
      </c>
      <c r="E53" s="753">
        <f t="shared" ref="E53:K53" si="15">INDEX($D$11:$K$17,MATCH($A53,$A$11:$A$17,0),0)</f>
        <v>17.100000000000001</v>
      </c>
      <c r="F53" s="753">
        <f t="shared" si="15"/>
        <v>14.162494928384536</v>
      </c>
      <c r="G53" s="753">
        <f t="shared" si="15"/>
        <v>16.804320987654314</v>
      </c>
      <c r="H53" s="753">
        <f t="shared" si="15"/>
        <v>17.024035797905661</v>
      </c>
      <c r="I53" s="753">
        <f t="shared" si="15"/>
        <v>15.181163813813798</v>
      </c>
      <c r="J53" s="753">
        <f t="shared" si="15"/>
        <v>16.100432098765435</v>
      </c>
      <c r="K53" s="753">
        <f t="shared" si="15"/>
        <v>17.100000000000001</v>
      </c>
      <c r="L53" s="655">
        <f>SUM(D53:INDEX(D53:K53,0,MATCH('RFPR cover'!$C$7,$D$6:$K$6,0)))</f>
        <v>130.57244762652374</v>
      </c>
      <c r="M53" s="656">
        <f>SUM(D53:K53)</f>
        <v>130.57244762652374</v>
      </c>
    </row>
    <row r="54" spans="1:13" s="2" customFormat="1">
      <c r="A54" s="161"/>
      <c r="B54" s="35" t="s">
        <v>201</v>
      </c>
      <c r="C54" s="295" t="s">
        <v>202</v>
      </c>
      <c r="D54" s="855">
        <f>IF($C54=$B$33,$B$33,INDEX(Data!$G$14:$G$30,MATCH('R5 - Output Incentives'!D$6+RIGHT('R5 - Output Incentives'!$C54,2),Data!$C$14:$C$30,0),0))</f>
        <v>0.19</v>
      </c>
      <c r="E54" s="856">
        <f>IF($C54=$B$33,$B$33,INDEX(Data!$G$14:$G$30,MATCH('R5 - Output Incentives'!E$6+RIGHT('R5 - Output Incentives'!$C54,2),Data!$C$14:$C$30,0),0))</f>
        <v>0.19</v>
      </c>
      <c r="F54" s="856">
        <f>IF($C54=$B$33,$B$33,INDEX(Data!$G$14:$G$30,MATCH('R5 - Output Incentives'!F$6+RIGHT('R5 - Output Incentives'!$C54,2),Data!$C$14:$C$30,0),0))</f>
        <v>0.19</v>
      </c>
      <c r="G54" s="856">
        <f>IF($C54=$B$33,$B$33,INDEX(Data!$G$14:$G$30,MATCH('R5 - Output Incentives'!G$6+RIGHT('R5 - Output Incentives'!$C54,2),Data!$C$14:$C$30,0),0))</f>
        <v>0.19</v>
      </c>
      <c r="H54" s="856">
        <f>IF($C54=$B$33,$B$33,INDEX(Data!$G$14:$G$30,MATCH('R5 - Output Incentives'!H$6+RIGHT('R5 - Output Incentives'!$C54,2),Data!$C$14:$C$30,0),0))</f>
        <v>0.19</v>
      </c>
      <c r="I54" s="856">
        <f>IF($C54=$B$33,$B$33,INDEX(Data!$G$14:$G$30,MATCH('R5 - Output Incentives'!I$6+RIGHT('R5 - Output Incentives'!$C54,2),Data!$C$14:$C$30,0),0))</f>
        <v>0.19</v>
      </c>
      <c r="J54" s="856">
        <f>IF($C54=$B$33,$B$33,INDEX(Data!$G$14:$G$30,MATCH('R5 - Output Incentives'!J$6+RIGHT('R5 - Output Incentives'!$C54,2),Data!$C$14:$C$30,0),0))</f>
        <v>0.25</v>
      </c>
      <c r="K54" s="857">
        <f>IF($C54=$B$33,$B$33,INDEX(Data!$G$14:$G$30,MATCH('R5 - Output Incentives'!K$6+RIGHT('R5 - Output Incentives'!$C54,2),Data!$C$14:$C$30,0),0))</f>
        <v>0.25</v>
      </c>
      <c r="L54" s="755"/>
      <c r="M54" s="756"/>
    </row>
    <row r="55" spans="1:13" s="2" customFormat="1">
      <c r="A55" s="161"/>
      <c r="B55" s="35" t="s">
        <v>210</v>
      </c>
      <c r="C55" s="156"/>
      <c r="D55" s="608">
        <f>IFERROR(D53*(1-D54),0)</f>
        <v>13.851000000000003</v>
      </c>
      <c r="E55" s="609">
        <f t="shared" ref="E55:K55" si="16">IFERROR(E53*(1-E54),0)</f>
        <v>13.851000000000003</v>
      </c>
      <c r="F55" s="609">
        <f t="shared" si="16"/>
        <v>11.471620891991474</v>
      </c>
      <c r="G55" s="609">
        <f t="shared" si="16"/>
        <v>13.611499999999996</v>
      </c>
      <c r="H55" s="609">
        <f t="shared" si="16"/>
        <v>13.789468996303587</v>
      </c>
      <c r="I55" s="609">
        <f t="shared" si="16"/>
        <v>12.296742689189177</v>
      </c>
      <c r="J55" s="609">
        <f t="shared" si="16"/>
        <v>12.075324074074075</v>
      </c>
      <c r="K55" s="609">
        <f t="shared" si="16"/>
        <v>12.825000000000001</v>
      </c>
      <c r="L55" s="653">
        <f>SUM(D55:INDEX(D55:K55,0,MATCH('RFPR cover'!$C$7,$D$6:$K$6,0)))</f>
        <v>103.7716566515583</v>
      </c>
      <c r="M55" s="654">
        <f>SUM(D55:K55)</f>
        <v>103.7716566515583</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53">
        <f>INDEX($D$11:$K$17,MATCH($A57,$A$11:$A$17,0),0)</f>
        <v>0</v>
      </c>
      <c r="E57" s="753">
        <f t="shared" ref="E57:K57" si="17">INDEX($D$11:$K$17,MATCH($A57,$A$11:$A$17,0),0)</f>
        <v>0</v>
      </c>
      <c r="F57" s="753">
        <f t="shared" si="17"/>
        <v>0</v>
      </c>
      <c r="G57" s="753">
        <f t="shared" si="17"/>
        <v>0</v>
      </c>
      <c r="H57" s="753">
        <f t="shared" si="17"/>
        <v>0</v>
      </c>
      <c r="I57" s="753">
        <f t="shared" si="17"/>
        <v>0</v>
      </c>
      <c r="J57" s="753">
        <f t="shared" si="17"/>
        <v>0</v>
      </c>
      <c r="K57" s="753">
        <f t="shared" si="17"/>
        <v>0</v>
      </c>
      <c r="L57" s="655">
        <f>SUM(D57:INDEX(D57:K57,0,MATCH('RFPR cover'!$C$7,$D$6:$K$6,0)))</f>
        <v>0</v>
      </c>
      <c r="M57" s="656">
        <f>SUM(D57:K57)</f>
        <v>0</v>
      </c>
    </row>
    <row r="58" spans="1:13" s="2" customFormat="1">
      <c r="A58" s="161"/>
      <c r="B58" s="35" t="s">
        <v>201</v>
      </c>
      <c r="C58" s="295" t="s">
        <v>208</v>
      </c>
      <c r="D58" s="855">
        <f>IF($C58=$B$33,$B$33,INDEX(Data!$G$14:$G$30,MATCH('R5 - Output Incentives'!D$6+RIGHT('R5 - Output Incentives'!$C58,2),Data!$C$14:$C$30,0),0))</f>
        <v>0.19</v>
      </c>
      <c r="E58" s="856">
        <f>IF($C58=$B$33,$B$33,INDEX(Data!$G$14:$G$30,MATCH('R5 - Output Incentives'!E$6+RIGHT('R5 - Output Incentives'!$C58,2),Data!$C$14:$C$30,0),0))</f>
        <v>0.19</v>
      </c>
      <c r="F58" s="856">
        <f>IF($C58=$B$33,$B$33,INDEX(Data!$G$14:$G$30,MATCH('R5 - Output Incentives'!F$6+RIGHT('R5 - Output Incentives'!$C58,2),Data!$C$14:$C$30,0),0))</f>
        <v>0.19</v>
      </c>
      <c r="G58" s="856">
        <f>IF($C58=$B$33,$B$33,INDEX(Data!$G$14:$G$30,MATCH('R5 - Output Incentives'!G$6+RIGHT('R5 - Output Incentives'!$C58,2),Data!$C$14:$C$30,0),0))</f>
        <v>0.19</v>
      </c>
      <c r="H58" s="856">
        <f>IF($C58=$B$33,$B$33,INDEX(Data!$G$14:$G$30,MATCH('R5 - Output Incentives'!H$6+RIGHT('R5 - Output Incentives'!$C58,2),Data!$C$14:$C$30,0),0))</f>
        <v>0.19</v>
      </c>
      <c r="I58" s="856">
        <f>IF($C58=$B$33,$B$33,INDEX(Data!$G$14:$G$30,MATCH('R5 - Output Incentives'!I$6+RIGHT('R5 - Output Incentives'!$C58,2),Data!$C$14:$C$30,0),0))</f>
        <v>0.25</v>
      </c>
      <c r="J58" s="856">
        <f>IF($C58=$B$33,$B$33,INDEX(Data!$G$14:$G$30,MATCH('R5 - Output Incentives'!J$6+RIGHT('R5 - Output Incentives'!$C58,2),Data!$C$14:$C$30,0),0))</f>
        <v>0.25</v>
      </c>
      <c r="K58" s="857">
        <f>IF($C58=$B$33,$B$33,INDEX(Data!$G$14:$G$30,MATCH('R5 - Output Incentives'!K$6+RIGHT('R5 - Output Incentives'!$C58,2),Data!$C$14:$C$30,0),0))</f>
        <v>0.25</v>
      </c>
      <c r="L58" s="755"/>
      <c r="M58" s="756"/>
    </row>
    <row r="59" spans="1:13" s="2" customFormat="1">
      <c r="A59" s="161"/>
      <c r="B59" s="35" t="s">
        <v>210</v>
      </c>
      <c r="C59" s="156"/>
      <c r="D59" s="608">
        <f>IFERROR(D57*(1-D58),0)</f>
        <v>0</v>
      </c>
      <c r="E59" s="609">
        <f t="shared" ref="E59:K59" si="18">IFERROR(E57*(1-E58),0)</f>
        <v>0</v>
      </c>
      <c r="F59" s="609">
        <f t="shared" si="18"/>
        <v>0</v>
      </c>
      <c r="G59" s="609">
        <f t="shared" si="18"/>
        <v>0</v>
      </c>
      <c r="H59" s="609">
        <f t="shared" si="18"/>
        <v>0</v>
      </c>
      <c r="I59" s="609">
        <f t="shared" si="18"/>
        <v>0</v>
      </c>
      <c r="J59" s="609">
        <f t="shared" si="18"/>
        <v>0</v>
      </c>
      <c r="K59" s="609">
        <f t="shared" si="18"/>
        <v>0</v>
      </c>
      <c r="L59" s="653">
        <f>SUM(D59:INDEX(D59:K59,0,MATCH('RFPR cover'!$C$7,$D$6:$K$6,0)))</f>
        <v>0</v>
      </c>
      <c r="M59" s="654">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53">
        <f>INDEX($D$11:$K$17,MATCH($A61,$A$11:$A$17,0),0)</f>
        <v>1.5435000000000005</v>
      </c>
      <c r="E61" s="753">
        <f t="shared" ref="E61:K61" si="19">INDEX($D$11:$K$17,MATCH($A61,$A$11:$A$17,0),0)</f>
        <v>1.3147285263061528</v>
      </c>
      <c r="F61" s="753">
        <f t="shared" si="19"/>
        <v>1.6000000000000003</v>
      </c>
      <c r="G61" s="753">
        <f t="shared" si="19"/>
        <v>1.6</v>
      </c>
      <c r="H61" s="753">
        <f t="shared" si="19"/>
        <v>1.5866877118774394</v>
      </c>
      <c r="I61" s="753">
        <f t="shared" si="19"/>
        <v>1.3458458285614006</v>
      </c>
      <c r="J61" s="753">
        <f t="shared" si="19"/>
        <v>1.3199827829071047</v>
      </c>
      <c r="K61" s="753">
        <f t="shared" si="19"/>
        <v>1.4374868478485101</v>
      </c>
      <c r="L61" s="655">
        <f>SUM(D61:INDEX(D61:K61,0,MATCH('RFPR cover'!$C$7,$D$6:$K$6,0)))</f>
        <v>11.748231697500607</v>
      </c>
      <c r="M61" s="656">
        <f>SUM(D61:K61)</f>
        <v>11.748231697500607</v>
      </c>
    </row>
    <row r="62" spans="1:13" s="2" customFormat="1">
      <c r="A62" s="161"/>
      <c r="B62" s="35" t="s">
        <v>201</v>
      </c>
      <c r="C62" s="295" t="s">
        <v>202</v>
      </c>
      <c r="D62" s="855">
        <f>IF($C62=$B$33,$B$33,INDEX(Data!$G$14:$G$30,MATCH('R5 - Output Incentives'!D$6+RIGHT('R5 - Output Incentives'!$C62,2),Data!$C$14:$C$30,0),0))</f>
        <v>0.19</v>
      </c>
      <c r="E62" s="856">
        <f>IF($C62=$B$33,$B$33,INDEX(Data!$G$14:$G$30,MATCH('R5 - Output Incentives'!E$6+RIGHT('R5 - Output Incentives'!$C62,2),Data!$C$14:$C$30,0),0))</f>
        <v>0.19</v>
      </c>
      <c r="F62" s="856">
        <f>IF($C62=$B$33,$B$33,INDEX(Data!$G$14:$G$30,MATCH('R5 - Output Incentives'!F$6+RIGHT('R5 - Output Incentives'!$C62,2),Data!$C$14:$C$30,0),0))</f>
        <v>0.19</v>
      </c>
      <c r="G62" s="856">
        <f>IF($C62=$B$33,$B$33,INDEX(Data!$G$14:$G$30,MATCH('R5 - Output Incentives'!G$6+RIGHT('R5 - Output Incentives'!$C62,2),Data!$C$14:$C$30,0),0))</f>
        <v>0.19</v>
      </c>
      <c r="H62" s="856">
        <f>IF($C62=$B$33,$B$33,INDEX(Data!$G$14:$G$30,MATCH('R5 - Output Incentives'!H$6+RIGHT('R5 - Output Incentives'!$C62,2),Data!$C$14:$C$30,0),0))</f>
        <v>0.19</v>
      </c>
      <c r="I62" s="856">
        <f>IF($C62=$B$33,$B$33,INDEX(Data!$G$14:$G$30,MATCH('R5 - Output Incentives'!I$6+RIGHT('R5 - Output Incentives'!$C62,2),Data!$C$14:$C$30,0),0))</f>
        <v>0.19</v>
      </c>
      <c r="J62" s="856">
        <f>IF($C62=$B$33,$B$33,INDEX(Data!$G$14:$G$30,MATCH('R5 - Output Incentives'!J$6+RIGHT('R5 - Output Incentives'!$C62,2),Data!$C$14:$C$30,0),0))</f>
        <v>0.25</v>
      </c>
      <c r="K62" s="857">
        <f>IF($C62=$B$33,$B$33,INDEX(Data!$G$14:$G$30,MATCH('R5 - Output Incentives'!K$6+RIGHT('R5 - Output Incentives'!$C62,2),Data!$C$14:$C$30,0),0))</f>
        <v>0.25</v>
      </c>
      <c r="L62" s="755"/>
      <c r="M62" s="756"/>
    </row>
    <row r="63" spans="1:13" s="2" customFormat="1">
      <c r="A63" s="161"/>
      <c r="B63" s="35" t="s">
        <v>210</v>
      </c>
      <c r="C63" s="156"/>
      <c r="D63" s="608">
        <f>IFERROR(D61*(1-D62),0)</f>
        <v>1.2502350000000004</v>
      </c>
      <c r="E63" s="609">
        <f t="shared" ref="E63:K63" si="20">IFERROR(E61*(1-E62),0)</f>
        <v>1.0649301063079839</v>
      </c>
      <c r="F63" s="609">
        <f t="shared" si="20"/>
        <v>1.2960000000000003</v>
      </c>
      <c r="G63" s="609">
        <f t="shared" si="20"/>
        <v>1.2960000000000003</v>
      </c>
      <c r="H63" s="609">
        <f t="shared" si="20"/>
        <v>1.285217046620726</v>
      </c>
      <c r="I63" s="609">
        <f t="shared" si="20"/>
        <v>1.0901351211347345</v>
      </c>
      <c r="J63" s="609">
        <f t="shared" si="20"/>
        <v>0.98998708718032846</v>
      </c>
      <c r="K63" s="609">
        <f t="shared" si="20"/>
        <v>1.0781151358863825</v>
      </c>
      <c r="L63" s="653">
        <f>SUM(D63:INDEX(D63:K63,0,MATCH('RFPR cover'!$C$7,$D$6:$K$6,0)))</f>
        <v>9.3506194971301575</v>
      </c>
      <c r="M63" s="654">
        <f>SUM(D63:K63)</f>
        <v>9.3506194971301575</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53">
        <f>INDEX($D$11:$K$17,MATCH($A65,$A$11:$A$17,0),0)</f>
        <v>0</v>
      </c>
      <c r="E65" s="753">
        <f t="shared" ref="E65:K65" si="21">INDEX($D$11:$K$17,MATCH($A65,$A$11:$A$17,0),0)</f>
        <v>0.04</v>
      </c>
      <c r="F65" s="753">
        <f t="shared" si="21"/>
        <v>0</v>
      </c>
      <c r="G65" s="753">
        <f t="shared" si="21"/>
        <v>0</v>
      </c>
      <c r="H65" s="753">
        <f t="shared" si="21"/>
        <v>0</v>
      </c>
      <c r="I65" s="753">
        <f t="shared" si="21"/>
        <v>0</v>
      </c>
      <c r="J65" s="753">
        <f t="shared" si="21"/>
        <v>0</v>
      </c>
      <c r="K65" s="753">
        <f t="shared" si="21"/>
        <v>0</v>
      </c>
      <c r="L65" s="655">
        <f>SUM(D65:INDEX(D65:K65,0,MATCH('RFPR cover'!$C$7,$D$6:$K$6,0)))</f>
        <v>0.04</v>
      </c>
      <c r="M65" s="656">
        <f>SUM(D65:K65)</f>
        <v>0.04</v>
      </c>
    </row>
    <row r="66" spans="1:14" s="2" customFormat="1">
      <c r="A66" s="161"/>
      <c r="B66" s="35" t="s">
        <v>201</v>
      </c>
      <c r="C66" s="295" t="s">
        <v>209</v>
      </c>
      <c r="D66" s="855">
        <f>IF($C66=$B$33,$B$33,INDEX(Data!$G$14:$G$30,MATCH('R5 - Output Incentives'!D$6+RIGHT('R5 - Output Incentives'!$C66,2),Data!$C$14:$C$30,0),0))</f>
        <v>0.2</v>
      </c>
      <c r="E66" s="856">
        <f>IF($C66=$B$33,$B$33,INDEX(Data!$G$14:$G$30,MATCH('R5 - Output Incentives'!E$6+RIGHT('R5 - Output Incentives'!$C66,2),Data!$C$14:$C$30,0),0))</f>
        <v>0.19</v>
      </c>
      <c r="F66" s="856">
        <f>IF($C66=$B$33,$B$33,INDEX(Data!$G$14:$G$30,MATCH('R5 - Output Incentives'!F$6+RIGHT('R5 - Output Incentives'!$C66,2),Data!$C$14:$C$30,0),0))</f>
        <v>0.19</v>
      </c>
      <c r="G66" s="856">
        <f>IF($C66=$B$33,$B$33,INDEX(Data!$G$14:$G$30,MATCH('R5 - Output Incentives'!G$6+RIGHT('R5 - Output Incentives'!$C66,2),Data!$C$14:$C$30,0),0))</f>
        <v>0.19</v>
      </c>
      <c r="H66" s="856">
        <f>IF($C66=$B$33,$B$33,INDEX(Data!$G$14:$G$30,MATCH('R5 - Output Incentives'!H$6+RIGHT('R5 - Output Incentives'!$C66,2),Data!$C$14:$C$30,0),0))</f>
        <v>0.19</v>
      </c>
      <c r="I66" s="856">
        <f>IF($C66=$B$33,$B$33,INDEX(Data!$G$14:$G$30,MATCH('R5 - Output Incentives'!I$6+RIGHT('R5 - Output Incentives'!$C66,2),Data!$C$14:$C$30,0),0))</f>
        <v>0.19</v>
      </c>
      <c r="J66" s="856">
        <f>IF($C66=$B$33,$B$33,INDEX(Data!$G$14:$G$30,MATCH('R5 - Output Incentives'!J$6+RIGHT('R5 - Output Incentives'!$C66,2),Data!$C$14:$C$30,0),0))</f>
        <v>0.19</v>
      </c>
      <c r="K66" s="857">
        <f>IF($C66=$B$33,$B$33,INDEX(Data!$G$14:$G$30,MATCH('R5 - Output Incentives'!K$6+RIGHT('R5 - Output Incentives'!$C66,2),Data!$C$14:$C$30,0),0))</f>
        <v>0.25</v>
      </c>
      <c r="L66" s="755"/>
      <c r="M66" s="756"/>
    </row>
    <row r="67" spans="1:14" s="2" customFormat="1">
      <c r="A67" s="161"/>
      <c r="B67" s="35" t="s">
        <v>210</v>
      </c>
      <c r="C67" s="156"/>
      <c r="D67" s="608">
        <f>IFERROR(D65*(1-D66),0)</f>
        <v>0</v>
      </c>
      <c r="E67" s="609">
        <f t="shared" ref="E67:K67" si="22">IFERROR(E65*(1-E66),0)</f>
        <v>3.2400000000000005E-2</v>
      </c>
      <c r="F67" s="609">
        <f t="shared" si="22"/>
        <v>0</v>
      </c>
      <c r="G67" s="609">
        <f t="shared" si="22"/>
        <v>0</v>
      </c>
      <c r="H67" s="609">
        <f t="shared" si="22"/>
        <v>0</v>
      </c>
      <c r="I67" s="609">
        <f t="shared" si="22"/>
        <v>0</v>
      </c>
      <c r="J67" s="609">
        <f t="shared" si="22"/>
        <v>0</v>
      </c>
      <c r="K67" s="609">
        <f t="shared" si="22"/>
        <v>0</v>
      </c>
      <c r="L67" s="653">
        <f>SUM(D67:INDEX(D67:K67,0,MATCH('RFPR cover'!$C$7,$D$6:$K$6,0)))</f>
        <v>3.2400000000000005E-2</v>
      </c>
      <c r="M67" s="654">
        <f>SUM(D67:K67)</f>
        <v>3.2400000000000005E-2</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53">
        <f>INDEX($D$11:$K$17,MATCH($A69,$A$11:$A$17,0),0)</f>
        <v>0</v>
      </c>
      <c r="E69" s="753">
        <f t="shared" ref="E69:K69" si="23">INDEX($D$11:$K$17,MATCH($A69,$A$11:$A$17,0),0)</f>
        <v>0</v>
      </c>
      <c r="F69" s="753">
        <f t="shared" si="23"/>
        <v>0</v>
      </c>
      <c r="G69" s="753">
        <f t="shared" si="23"/>
        <v>0</v>
      </c>
      <c r="H69" s="753">
        <f t="shared" si="23"/>
        <v>0</v>
      </c>
      <c r="I69" s="753">
        <f t="shared" si="23"/>
        <v>0</v>
      </c>
      <c r="J69" s="753">
        <f t="shared" si="23"/>
        <v>0</v>
      </c>
      <c r="K69" s="753">
        <f t="shared" si="23"/>
        <v>0</v>
      </c>
      <c r="L69" s="655">
        <f>SUM(D69:INDEX(D69:K69,0,MATCH('RFPR cover'!$C$7,$D$6:$K$6,0)))</f>
        <v>0</v>
      </c>
      <c r="M69" s="656">
        <f>SUM(D69:K69)</f>
        <v>0</v>
      </c>
    </row>
    <row r="70" spans="1:14" s="2" customFormat="1">
      <c r="A70" s="161"/>
      <c r="B70" s="35" t="s">
        <v>201</v>
      </c>
      <c r="C70" s="295" t="s">
        <v>209</v>
      </c>
      <c r="D70" s="855">
        <f>IF($C70=$B$33,$B$33,INDEX(Data!$G$14:$G$30,MATCH('R5 - Output Incentives'!D$6+RIGHT('R5 - Output Incentives'!$C70,2),Data!$C$14:$C$30,0),0))</f>
        <v>0.2</v>
      </c>
      <c r="E70" s="856">
        <f>IF($C70=$B$33,$B$33,INDEX(Data!$G$14:$G$30,MATCH('R5 - Output Incentives'!E$6+RIGHT('R5 - Output Incentives'!$C70,2),Data!$C$14:$C$30,0),0))</f>
        <v>0.19</v>
      </c>
      <c r="F70" s="856">
        <f>IF($C70=$B$33,$B$33,INDEX(Data!$G$14:$G$30,MATCH('R5 - Output Incentives'!F$6+RIGHT('R5 - Output Incentives'!$C70,2),Data!$C$14:$C$30,0),0))</f>
        <v>0.19</v>
      </c>
      <c r="G70" s="856">
        <f>IF($C70=$B$33,$B$33,INDEX(Data!$G$14:$G$30,MATCH('R5 - Output Incentives'!G$6+RIGHT('R5 - Output Incentives'!$C70,2),Data!$C$14:$C$30,0),0))</f>
        <v>0.19</v>
      </c>
      <c r="H70" s="856">
        <f>IF($C70=$B$33,$B$33,INDEX(Data!$G$14:$G$30,MATCH('R5 - Output Incentives'!H$6+RIGHT('R5 - Output Incentives'!$C70,2),Data!$C$14:$C$30,0),0))</f>
        <v>0.19</v>
      </c>
      <c r="I70" s="856">
        <f>IF($C70=$B$33,$B$33,INDEX(Data!$G$14:$G$30,MATCH('R5 - Output Incentives'!I$6+RIGHT('R5 - Output Incentives'!$C70,2),Data!$C$14:$C$30,0),0))</f>
        <v>0.19</v>
      </c>
      <c r="J70" s="856">
        <f>IF($C70=$B$33,$B$33,INDEX(Data!$G$14:$G$30,MATCH('R5 - Output Incentives'!J$6+RIGHT('R5 - Output Incentives'!$C70,2),Data!$C$14:$C$30,0),0))</f>
        <v>0.19</v>
      </c>
      <c r="K70" s="857">
        <f>IF($C70=$B$33,$B$33,INDEX(Data!$G$14:$G$30,MATCH('R5 - Output Incentives'!K$6+RIGHT('R5 - Output Incentives'!$C70,2),Data!$C$14:$C$30,0),0))</f>
        <v>0.25</v>
      </c>
      <c r="L70" s="755"/>
      <c r="M70" s="756"/>
    </row>
    <row r="71" spans="1:14" s="2" customFormat="1">
      <c r="A71" s="161"/>
      <c r="B71" s="35" t="s">
        <v>210</v>
      </c>
      <c r="C71" s="156"/>
      <c r="D71" s="608">
        <f>IFERROR(D69*(1-D70),0)</f>
        <v>0</v>
      </c>
      <c r="E71" s="609">
        <f t="shared" ref="E71:K71" si="24">IFERROR(E69*(1-E70),0)</f>
        <v>0</v>
      </c>
      <c r="F71" s="609">
        <f t="shared" si="24"/>
        <v>0</v>
      </c>
      <c r="G71" s="609">
        <f t="shared" si="24"/>
        <v>0</v>
      </c>
      <c r="H71" s="609">
        <f t="shared" si="24"/>
        <v>0</v>
      </c>
      <c r="I71" s="609">
        <f t="shared" si="24"/>
        <v>0</v>
      </c>
      <c r="J71" s="609">
        <f t="shared" si="24"/>
        <v>0</v>
      </c>
      <c r="K71" s="609">
        <f t="shared" si="24"/>
        <v>0</v>
      </c>
      <c r="L71" s="653">
        <f>SUM(D71:INDEX(D71:K71,0,MATCH('RFPR cover'!$C$7,$D$6:$K$6,0)))</f>
        <v>0</v>
      </c>
      <c r="M71" s="654">
        <f>SUM(D71:K71)</f>
        <v>0</v>
      </c>
    </row>
    <row r="72" spans="1:14" s="2" customFormat="1">
      <c r="A72" s="161"/>
      <c r="B72" s="51"/>
      <c r="C72" s="157"/>
      <c r="D72" s="157"/>
      <c r="E72" s="157"/>
      <c r="F72" s="157"/>
      <c r="G72" s="157"/>
      <c r="H72" s="157"/>
      <c r="I72" s="157"/>
      <c r="J72" s="157"/>
      <c r="K72" s="157"/>
      <c r="L72" s="157"/>
      <c r="M72" s="157"/>
    </row>
    <row r="73" spans="1:14" s="2" customFormat="1">
      <c r="A73" s="161" t="s">
        <v>469</v>
      </c>
      <c r="B73" s="172" t="str">
        <f>INDEX($B$11:$B$17,MATCH($A73,$A$11:$A$17,0),0)&amp;""</f>
        <v/>
      </c>
      <c r="C73" s="156" t="str">
        <f>'RFPR cover'!$C$14</f>
        <v>£m 12/13</v>
      </c>
      <c r="D73" s="753">
        <f>INDEX($D$11:$K$17,MATCH($A73,$A$11:$A$17,0),0)</f>
        <v>0</v>
      </c>
      <c r="E73" s="753">
        <f t="shared" ref="E73:K73" si="25">INDEX($D$11:$K$17,MATCH($A73,$A$11:$A$17,0),0)</f>
        <v>0</v>
      </c>
      <c r="F73" s="753">
        <f t="shared" si="25"/>
        <v>0</v>
      </c>
      <c r="G73" s="753">
        <f t="shared" si="25"/>
        <v>0</v>
      </c>
      <c r="H73" s="753">
        <f t="shared" si="25"/>
        <v>0</v>
      </c>
      <c r="I73" s="753">
        <f t="shared" si="25"/>
        <v>0</v>
      </c>
      <c r="J73" s="753">
        <f t="shared" si="25"/>
        <v>0</v>
      </c>
      <c r="K73" s="753">
        <f t="shared" si="25"/>
        <v>0</v>
      </c>
      <c r="L73" s="655">
        <f>SUM(D73:INDEX(D73:K73,0,MATCH('RFPR cover'!$C$7,$D$6:$K$6,0)))</f>
        <v>0</v>
      </c>
      <c r="M73" s="656">
        <f>SUM(D73:K73)</f>
        <v>0</v>
      </c>
    </row>
    <row r="74" spans="1:14" s="2" customFormat="1">
      <c r="A74" s="161"/>
      <c r="B74" s="35" t="s">
        <v>201</v>
      </c>
      <c r="C74" s="295" t="s">
        <v>209</v>
      </c>
      <c r="D74" s="855">
        <f>IF($C74=$B$33,$B$33,INDEX(Data!$G$14:$G$30,MATCH('R5 - Output Incentives'!D$6+RIGHT('R5 - Output Incentives'!$C74,2),Data!$C$14:$C$30,0),0))</f>
        <v>0.2</v>
      </c>
      <c r="E74" s="856">
        <f>IF($C74=$B$33,$B$33,INDEX(Data!$G$14:$G$30,MATCH('R5 - Output Incentives'!E$6+RIGHT('R5 - Output Incentives'!$C74,2),Data!$C$14:$C$30,0),0))</f>
        <v>0.19</v>
      </c>
      <c r="F74" s="856">
        <f>IF($C74=$B$33,$B$33,INDEX(Data!$G$14:$G$30,MATCH('R5 - Output Incentives'!F$6+RIGHT('R5 - Output Incentives'!$C74,2),Data!$C$14:$C$30,0),0))</f>
        <v>0.19</v>
      </c>
      <c r="G74" s="856">
        <f>IF($C74=$B$33,$B$33,INDEX(Data!$G$14:$G$30,MATCH('R5 - Output Incentives'!G$6+RIGHT('R5 - Output Incentives'!$C74,2),Data!$C$14:$C$30,0),0))</f>
        <v>0.19</v>
      </c>
      <c r="H74" s="856">
        <f>IF($C74=$B$33,$B$33,INDEX(Data!$G$14:$G$30,MATCH('R5 - Output Incentives'!H$6+RIGHT('R5 - Output Incentives'!$C74,2),Data!$C$14:$C$30,0),0))</f>
        <v>0.19</v>
      </c>
      <c r="I74" s="856">
        <f>IF($C74=$B$33,$B$33,INDEX(Data!$G$14:$G$30,MATCH('R5 - Output Incentives'!I$6+RIGHT('R5 - Output Incentives'!$C74,2),Data!$C$14:$C$30,0),0))</f>
        <v>0.19</v>
      </c>
      <c r="J74" s="856">
        <f>IF($C74=$B$33,$B$33,INDEX(Data!$G$14:$G$30,MATCH('R5 - Output Incentives'!J$6+RIGHT('R5 - Output Incentives'!$C74,2),Data!$C$14:$C$30,0),0))</f>
        <v>0.19</v>
      </c>
      <c r="K74" s="857">
        <f>IF($C74=$B$33,$B$33,INDEX(Data!$G$14:$G$30,MATCH('R5 - Output Incentives'!K$6+RIGHT('R5 - Output Incentives'!$C74,2),Data!$C$14:$C$30,0),0))</f>
        <v>0.25</v>
      </c>
      <c r="L74" s="755"/>
      <c r="M74" s="756"/>
    </row>
    <row r="75" spans="1:14" s="2" customFormat="1">
      <c r="A75" s="161"/>
      <c r="B75" s="35" t="s">
        <v>210</v>
      </c>
      <c r="C75" s="156"/>
      <c r="D75" s="608">
        <f>IFERROR(D73*(1-D74),0)</f>
        <v>0</v>
      </c>
      <c r="E75" s="609">
        <f t="shared" ref="E75:K75" si="26">IFERROR(E73*(1-E74),0)</f>
        <v>0</v>
      </c>
      <c r="F75" s="609">
        <f t="shared" si="26"/>
        <v>0</v>
      </c>
      <c r="G75" s="609">
        <f t="shared" si="26"/>
        <v>0</v>
      </c>
      <c r="H75" s="609">
        <f t="shared" si="26"/>
        <v>0</v>
      </c>
      <c r="I75" s="609">
        <f t="shared" si="26"/>
        <v>0</v>
      </c>
      <c r="J75" s="609">
        <f t="shared" si="26"/>
        <v>0</v>
      </c>
      <c r="K75" s="609">
        <f t="shared" si="26"/>
        <v>0</v>
      </c>
      <c r="L75" s="653">
        <f>SUM(D75:INDEX(D75:K75,0,MATCH('RFPR cover'!$C$7,$D$6:$K$6,0)))</f>
        <v>0</v>
      </c>
      <c r="M75" s="654">
        <f>SUM(D75:K75)</f>
        <v>0</v>
      </c>
    </row>
    <row r="76" spans="1:14" s="532" customFormat="1" ht="14.25" customHeight="1">
      <c r="A76" s="531"/>
      <c r="C76" s="533"/>
      <c r="D76" s="534"/>
      <c r="E76" s="534"/>
      <c r="F76" s="534"/>
      <c r="G76" s="534"/>
      <c r="H76" s="534"/>
      <c r="I76" s="534"/>
      <c r="J76" s="534"/>
      <c r="K76" s="534"/>
      <c r="L76" s="535"/>
      <c r="M76" s="535"/>
    </row>
    <row r="77" spans="1:14" s="2" customFormat="1">
      <c r="B77" s="117" t="s">
        <v>386</v>
      </c>
      <c r="C77" s="151"/>
      <c r="D77" s="134"/>
      <c r="E77" s="134"/>
      <c r="F77" s="134"/>
      <c r="G77" s="134"/>
      <c r="H77" s="134"/>
      <c r="I77" s="134"/>
      <c r="J77" s="134"/>
      <c r="K77" s="134"/>
      <c r="L77" s="81"/>
      <c r="M77" s="81"/>
      <c r="N77" s="81"/>
    </row>
    <row r="78" spans="1:14" s="2" customFormat="1">
      <c r="B78" s="368" t="s">
        <v>385</v>
      </c>
      <c r="C78" s="292"/>
      <c r="D78" s="293"/>
      <c r="E78" s="293"/>
      <c r="F78" s="293"/>
      <c r="G78" s="293"/>
      <c r="H78" s="293"/>
      <c r="I78" s="293"/>
      <c r="J78" s="293"/>
      <c r="K78" s="293"/>
      <c r="L78" s="294"/>
      <c r="M78" s="294"/>
      <c r="N78" s="294"/>
    </row>
    <row r="79" spans="1:14" s="2" customFormat="1">
      <c r="B79" s="368" t="s">
        <v>387</v>
      </c>
      <c r="C79" s="292"/>
      <c r="D79" s="293"/>
      <c r="E79" s="293"/>
      <c r="F79" s="293"/>
      <c r="G79" s="293"/>
      <c r="H79" s="293"/>
      <c r="I79" s="293"/>
      <c r="J79" s="293"/>
      <c r="K79" s="293"/>
      <c r="L79" s="294"/>
      <c r="M79" s="294"/>
      <c r="N79" s="294"/>
    </row>
    <row r="80" spans="1:14" s="532" customFormat="1">
      <c r="B80" s="537"/>
      <c r="C80" s="538"/>
      <c r="D80" s="539"/>
      <c r="E80" s="539"/>
      <c r="F80" s="539"/>
      <c r="G80" s="539"/>
      <c r="H80" s="539"/>
      <c r="I80" s="539"/>
      <c r="J80" s="539"/>
      <c r="K80" s="539"/>
    </row>
    <row r="81" spans="1:23" s="2" customFormat="1">
      <c r="B81" s="12"/>
      <c r="C81" s="540" t="s">
        <v>388</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3" s="2" customFormat="1">
      <c r="A82" s="3" t="str">
        <f>A11</f>
        <v>a</v>
      </c>
      <c r="B82" s="130" t="str">
        <f>B11&amp;""</f>
        <v>Broad measure of customer service</v>
      </c>
      <c r="C82" s="137" t="s">
        <v>128</v>
      </c>
      <c r="D82" s="593">
        <v>3.7392125424749985</v>
      </c>
      <c r="E82" s="593">
        <v>3.5075040761761183</v>
      </c>
      <c r="F82" s="593">
        <v>5.8931344465106772</v>
      </c>
      <c r="G82" s="593">
        <v>5.8803477720000048</v>
      </c>
      <c r="H82" s="593">
        <v>6.1837947914234412</v>
      </c>
      <c r="I82" s="593">
        <v>6.5170045266578134</v>
      </c>
      <c r="J82" s="611">
        <v>5.3929280882803718</v>
      </c>
      <c r="K82" s="611">
        <v>5.45833526106059</v>
      </c>
      <c r="P82" s="916"/>
      <c r="Q82" s="916"/>
      <c r="R82" s="915"/>
      <c r="S82" s="915"/>
      <c r="T82" s="915"/>
      <c r="U82" s="915"/>
      <c r="V82" s="915"/>
      <c r="W82" s="915"/>
    </row>
    <row r="83" spans="1:23" s="2" customFormat="1">
      <c r="A83" s="3"/>
      <c r="B83" s="130"/>
      <c r="C83" s="137"/>
      <c r="D83" s="137"/>
      <c r="E83" s="137"/>
      <c r="F83" s="137"/>
      <c r="G83" s="137"/>
      <c r="H83" s="137"/>
      <c r="I83" s="137"/>
      <c r="J83" s="137"/>
      <c r="K83" s="137"/>
      <c r="L83" s="137"/>
    </row>
    <row r="84" spans="1:23" s="2" customFormat="1">
      <c r="A84" s="3"/>
      <c r="B84" s="130"/>
      <c r="C84" s="540" t="s">
        <v>388</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row>
    <row r="85" spans="1:23" s="2" customFormat="1">
      <c r="A85" s="3" t="str">
        <f>A12</f>
        <v>b</v>
      </c>
      <c r="B85" s="130" t="str">
        <f>B12&amp;""</f>
        <v>Interruptions-related quality of service</v>
      </c>
      <c r="C85" s="137" t="s">
        <v>128</v>
      </c>
      <c r="D85" s="593">
        <v>25.42355461232999</v>
      </c>
      <c r="E85" s="593">
        <v>28.25863458984</v>
      </c>
      <c r="F85" s="593">
        <v>20.670442760017579</v>
      </c>
      <c r="G85" s="593">
        <v>21.327014282394693</v>
      </c>
      <c r="H85" s="593">
        <v>18.204001200609014</v>
      </c>
      <c r="I85" s="593">
        <v>21.854245767776085</v>
      </c>
      <c r="J85" s="593">
        <v>22.40602169985376</v>
      </c>
      <c r="K85" s="611">
        <v>21.210070168527587</v>
      </c>
      <c r="P85" s="915"/>
      <c r="Q85" s="915"/>
      <c r="R85" s="915"/>
      <c r="S85" s="915"/>
      <c r="T85" s="915"/>
      <c r="U85" s="915"/>
      <c r="V85" s="915"/>
      <c r="W85" s="915"/>
    </row>
    <row r="86" spans="1:23" s="2" customFormat="1">
      <c r="A86" s="3"/>
      <c r="B86" s="130"/>
      <c r="C86" s="137"/>
      <c r="D86" s="137"/>
      <c r="E86" s="137"/>
      <c r="F86" s="137"/>
      <c r="G86" s="137"/>
      <c r="H86" s="137"/>
      <c r="I86" s="137"/>
      <c r="J86" s="137"/>
      <c r="K86" s="137"/>
      <c r="L86" s="137"/>
      <c r="M86" s="959"/>
    </row>
    <row r="87" spans="1:23" s="2" customFormat="1">
      <c r="A87" s="3"/>
      <c r="B87" s="130"/>
      <c r="C87" s="540" t="s">
        <v>388</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row>
    <row r="88" spans="1:23" s="2" customFormat="1">
      <c r="A88" s="3" t="str">
        <f>A13</f>
        <v>c</v>
      </c>
      <c r="B88" s="130" t="str">
        <f>B13&amp;""</f>
        <v>Incentive on connections engagement</v>
      </c>
      <c r="C88" s="137" t="s">
        <v>128</v>
      </c>
      <c r="D88" s="593">
        <v>0</v>
      </c>
      <c r="E88" s="593">
        <v>0</v>
      </c>
      <c r="F88" s="593">
        <v>0</v>
      </c>
      <c r="G88" s="593">
        <v>0</v>
      </c>
      <c r="H88" s="593">
        <v>0</v>
      </c>
      <c r="I88" s="593">
        <v>0</v>
      </c>
      <c r="J88" s="593">
        <v>0</v>
      </c>
      <c r="K88" s="593">
        <v>0</v>
      </c>
    </row>
    <row r="89" spans="1:23" s="2" customFormat="1">
      <c r="A89" s="3"/>
      <c r="B89" s="130"/>
      <c r="C89" s="137"/>
      <c r="D89" s="137"/>
      <c r="E89" s="137"/>
      <c r="F89" s="137"/>
      <c r="G89" s="137"/>
      <c r="H89" s="137"/>
      <c r="I89" s="137"/>
      <c r="J89" s="137"/>
      <c r="K89" s="137"/>
      <c r="L89" s="137"/>
    </row>
    <row r="90" spans="1:23" s="2" customFormat="1">
      <c r="A90" s="3"/>
      <c r="B90" s="130"/>
      <c r="C90" s="540" t="s">
        <v>388</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row>
    <row r="91" spans="1:23" s="2" customFormat="1">
      <c r="A91" s="3" t="str">
        <f>A14</f>
        <v>d</v>
      </c>
      <c r="B91" s="130" t="str">
        <f>B14&amp;""</f>
        <v>Time to Connect Incentive</v>
      </c>
      <c r="C91" s="137" t="s">
        <v>128</v>
      </c>
      <c r="D91" s="593">
        <v>0</v>
      </c>
      <c r="E91" s="593">
        <v>0</v>
      </c>
      <c r="F91" s="593">
        <v>1.6365988985388784</v>
      </c>
      <c r="G91" s="593">
        <v>1.4239283999999999</v>
      </c>
      <c r="H91" s="593">
        <v>1.7977022580974764</v>
      </c>
      <c r="I91" s="593">
        <v>1.8526322672933482</v>
      </c>
      <c r="J91" s="593">
        <v>1.8873222904598217</v>
      </c>
      <c r="K91" s="593">
        <v>1.6180787977947133</v>
      </c>
      <c r="P91" s="915"/>
      <c r="Q91" s="915"/>
      <c r="R91" s="915"/>
      <c r="S91" s="915"/>
      <c r="T91" s="915"/>
      <c r="U91" s="915"/>
      <c r="V91" s="915"/>
      <c r="W91" s="915"/>
    </row>
    <row r="92" spans="1:23" s="2" customFormat="1">
      <c r="A92" s="3"/>
      <c r="B92" s="130"/>
      <c r="C92" s="137"/>
      <c r="D92" s="137"/>
      <c r="E92" s="137"/>
      <c r="F92" s="137"/>
      <c r="G92" s="137"/>
      <c r="H92" s="137"/>
      <c r="I92" s="137"/>
      <c r="J92" s="137"/>
      <c r="K92" s="137"/>
      <c r="L92" s="137"/>
    </row>
    <row r="93" spans="1:23" s="2" customFormat="1">
      <c r="A93" s="3"/>
      <c r="B93" s="130"/>
      <c r="C93" s="540" t="s">
        <v>388</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23" s="2" customFormat="1">
      <c r="A94" s="3" t="str">
        <f>A15</f>
        <v>e</v>
      </c>
      <c r="B94" s="130" t="str">
        <f>B15&amp;""</f>
        <v>Losses discretionary reward scheme</v>
      </c>
      <c r="C94" s="137" t="s">
        <v>128</v>
      </c>
      <c r="D94" s="593">
        <v>0</v>
      </c>
      <c r="E94" s="593">
        <v>0</v>
      </c>
      <c r="F94" s="593">
        <v>4.4839999999999998E-2</v>
      </c>
      <c r="G94" s="593">
        <v>0</v>
      </c>
      <c r="H94" s="593">
        <v>0</v>
      </c>
      <c r="I94" s="593">
        <v>0</v>
      </c>
      <c r="J94" s="593">
        <v>0</v>
      </c>
      <c r="K94" s="593">
        <v>0</v>
      </c>
    </row>
    <row r="95" spans="1:23" s="2" customFormat="1">
      <c r="A95" s="3"/>
      <c r="B95" s="130"/>
      <c r="C95" s="137"/>
      <c r="D95" s="137"/>
      <c r="E95" s="137"/>
      <c r="F95" s="137"/>
      <c r="G95" s="137"/>
      <c r="H95" s="137"/>
      <c r="I95" s="137"/>
      <c r="J95" s="137"/>
      <c r="K95" s="137"/>
      <c r="L95" s="137"/>
    </row>
    <row r="96" spans="1:23" s="2" customFormat="1">
      <c r="A96" s="3"/>
      <c r="B96" s="130"/>
      <c r="C96" s="540" t="s">
        <v>388</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30" t="str">
        <f>B16&amp;""</f>
        <v/>
      </c>
      <c r="C97" s="137" t="s">
        <v>128</v>
      </c>
      <c r="D97" s="622"/>
      <c r="E97" s="623"/>
      <c r="F97" s="623"/>
      <c r="G97" s="623"/>
      <c r="H97" s="611"/>
      <c r="I97" s="611"/>
      <c r="J97" s="611"/>
      <c r="K97" s="611"/>
    </row>
    <row r="98" spans="1:13" s="2" customFormat="1">
      <c r="A98" s="3"/>
      <c r="B98" s="130"/>
      <c r="C98" s="137"/>
      <c r="D98" s="137"/>
      <c r="E98" s="137"/>
      <c r="F98" s="137"/>
      <c r="G98" s="137"/>
      <c r="H98" s="137"/>
      <c r="I98" s="137"/>
      <c r="J98" s="137"/>
      <c r="K98" s="137"/>
      <c r="L98" s="137"/>
    </row>
    <row r="99" spans="1:13" s="2" customFormat="1">
      <c r="A99" s="3"/>
      <c r="B99" s="130"/>
      <c r="C99" s="540" t="s">
        <v>388</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30" t="str">
        <f>B17&amp;""</f>
        <v/>
      </c>
      <c r="C100" s="137" t="s">
        <v>128</v>
      </c>
      <c r="D100" s="622"/>
      <c r="E100" s="623"/>
      <c r="F100" s="623"/>
      <c r="G100" s="623"/>
      <c r="H100" s="611"/>
      <c r="I100" s="611"/>
      <c r="J100" s="611"/>
      <c r="K100" s="611"/>
    </row>
    <row r="101" spans="1:13" s="2" customFormat="1">
      <c r="A101" s="3"/>
      <c r="B101" s="130"/>
      <c r="C101" s="137"/>
      <c r="D101" s="137"/>
      <c r="E101" s="137"/>
      <c r="F101" s="137"/>
      <c r="G101" s="137"/>
      <c r="H101" s="137"/>
      <c r="I101" s="137"/>
      <c r="J101" s="137"/>
      <c r="K101" s="137"/>
      <c r="L101" s="137"/>
      <c r="M101" s="137"/>
    </row>
    <row r="102" spans="1:13" s="2" customFormat="1">
      <c r="B102" s="12" t="s">
        <v>158</v>
      </c>
      <c r="C102" s="158" t="s">
        <v>128</v>
      </c>
      <c r="D102" s="608">
        <f>SUM(D82,D85,D88,D91,D94,D97,D100)</f>
        <v>29.162767154804989</v>
      </c>
      <c r="E102" s="608">
        <f t="shared" ref="E102:K102" si="34">SUM(E82,E85,E88,E91,E94,E97,E100)</f>
        <v>31.766138666016118</v>
      </c>
      <c r="F102" s="608">
        <f t="shared" si="34"/>
        <v>28.245016105067137</v>
      </c>
      <c r="G102" s="608">
        <f t="shared" si="34"/>
        <v>28.631290454394698</v>
      </c>
      <c r="H102" s="609">
        <f>SUM(H82,H85,H88,H91,H94,H97,H100)</f>
        <v>26.185498250129932</v>
      </c>
      <c r="I102" s="609">
        <f t="shared" si="34"/>
        <v>30.223882561727248</v>
      </c>
      <c r="J102" s="609">
        <f t="shared" si="34"/>
        <v>29.686272078593952</v>
      </c>
      <c r="K102" s="609">
        <f t="shared" si="34"/>
        <v>28.286484227382889</v>
      </c>
    </row>
    <row r="103" spans="1:13" s="2" customFormat="1">
      <c r="C103" s="137"/>
    </row>
    <row r="104" spans="1:13" s="2" customFormat="1">
      <c r="A104" s="35"/>
      <c r="B104" s="12" t="s">
        <v>364</v>
      </c>
      <c r="C104" s="157"/>
      <c r="D104" s="157"/>
      <c r="E104" s="157"/>
      <c r="F104" s="157"/>
      <c r="G104" s="157"/>
      <c r="H104" s="157"/>
      <c r="I104" s="157"/>
      <c r="J104" s="157"/>
      <c r="K104" s="157"/>
      <c r="L104" s="157"/>
      <c r="M104" s="157"/>
    </row>
    <row r="105" spans="1:13" s="2" customFormat="1">
      <c r="A105" s="270" t="str">
        <f>A82</f>
        <v>a</v>
      </c>
      <c r="B105" s="1003" t="str">
        <f>+B21</f>
        <v>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-£0.320m. 2023 actuals are subject to change until Ofgem confirm our performance KPIs later in 2023.</v>
      </c>
      <c r="C105" s="1003"/>
      <c r="D105" s="1003"/>
      <c r="E105" s="1003"/>
      <c r="F105" s="1003"/>
      <c r="G105" s="1003"/>
      <c r="H105" s="1003"/>
      <c r="I105" s="1003"/>
      <c r="J105" s="1003"/>
      <c r="K105" s="1003"/>
      <c r="L105" s="1003"/>
      <c r="M105" s="1003"/>
    </row>
    <row r="106" spans="1:13" s="2" customFormat="1">
      <c r="A106" s="270" t="str">
        <f>A85</f>
        <v>b</v>
      </c>
      <c r="B106" s="1003" t="str">
        <f t="shared" ref="B106:B108" si="35">+B22</f>
        <v>The 2021 and 2022 actuals have been updated to equal the final Ofgem approved values for Interruptions related quality of service performance. This has decreased the Output Incentive in 2021 by -£0.001m and increased the Output Incentive in 2022 by £0.071m. 2023 actuals are subject to change until Ofgem confirm our performance KPIs later in 2023.</v>
      </c>
      <c r="C106" s="1003"/>
      <c r="D106" s="1003"/>
      <c r="E106" s="1003"/>
      <c r="F106" s="1003"/>
      <c r="G106" s="1003"/>
      <c r="H106" s="1003"/>
      <c r="I106" s="1003"/>
      <c r="J106" s="1003"/>
      <c r="K106" s="1003"/>
      <c r="L106" s="1003"/>
      <c r="M106" s="1003"/>
    </row>
    <row r="107" spans="1:13" s="2" customFormat="1">
      <c r="A107" s="270" t="str">
        <f>A88</f>
        <v>c</v>
      </c>
      <c r="B107" s="1004"/>
      <c r="C107" s="1004"/>
      <c r="D107" s="1004"/>
      <c r="E107" s="1004"/>
      <c r="F107" s="1004"/>
      <c r="G107" s="1004"/>
      <c r="H107" s="1004"/>
      <c r="I107" s="1004"/>
      <c r="J107" s="1004"/>
      <c r="K107" s="1004"/>
      <c r="L107" s="1004"/>
      <c r="M107" s="1004"/>
    </row>
    <row r="108" spans="1:13" s="2" customFormat="1">
      <c r="A108" s="270" t="str">
        <f>A91</f>
        <v>d</v>
      </c>
      <c r="B108" s="1004" t="str">
        <f t="shared" si="35"/>
        <v>2023 actuals are subject to change until Ofgem confirm our performance KPIs later in 2023.</v>
      </c>
      <c r="C108" s="1004"/>
      <c r="D108" s="1004"/>
      <c r="E108" s="1004"/>
      <c r="F108" s="1004"/>
      <c r="G108" s="1004"/>
      <c r="H108" s="1004"/>
      <c r="I108" s="1004"/>
      <c r="J108" s="1004"/>
      <c r="K108" s="1004"/>
      <c r="L108" s="1004"/>
      <c r="M108" s="1004"/>
    </row>
    <row r="109" spans="1:13" s="2" customFormat="1">
      <c r="A109" s="270" t="str">
        <f>A94</f>
        <v>e</v>
      </c>
      <c r="B109" s="1004"/>
      <c r="C109" s="1004"/>
      <c r="D109" s="1004"/>
      <c r="E109" s="1004"/>
      <c r="F109" s="1004"/>
      <c r="G109" s="1004"/>
      <c r="H109" s="1004"/>
      <c r="I109" s="1004"/>
      <c r="J109" s="1004"/>
      <c r="K109" s="1004"/>
      <c r="L109" s="1004"/>
      <c r="M109" s="1004"/>
    </row>
    <row r="110" spans="1:13" s="2" customFormat="1">
      <c r="A110" s="270" t="str">
        <f>A97</f>
        <v>f</v>
      </c>
      <c r="B110" s="952"/>
      <c r="C110" s="952"/>
      <c r="D110" s="952"/>
      <c r="E110" s="952"/>
      <c r="F110" s="952"/>
      <c r="G110" s="952"/>
      <c r="H110" s="952"/>
      <c r="I110" s="952"/>
      <c r="J110" s="952"/>
      <c r="K110" s="952"/>
      <c r="L110" s="952"/>
      <c r="M110" s="952"/>
    </row>
    <row r="111" spans="1:13" s="2" customFormat="1">
      <c r="A111" s="270" t="str">
        <f>A100</f>
        <v>g</v>
      </c>
      <c r="B111" s="952"/>
      <c r="C111" s="952"/>
      <c r="D111" s="952"/>
      <c r="E111" s="952"/>
      <c r="F111" s="952"/>
      <c r="G111" s="952"/>
      <c r="H111" s="952"/>
      <c r="I111" s="952"/>
      <c r="J111" s="952"/>
      <c r="K111" s="952"/>
      <c r="L111" s="952"/>
      <c r="M111" s="952"/>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1"/>
      <c r="B114" s="81"/>
      <c r="C114" s="151"/>
      <c r="D114" s="81"/>
      <c r="E114" s="81"/>
      <c r="F114" s="81"/>
      <c r="G114" s="81"/>
      <c r="H114" s="81"/>
      <c r="I114" s="81"/>
      <c r="J114" s="81"/>
      <c r="K114" s="81"/>
      <c r="L114" s="81"/>
      <c r="M114" s="81"/>
      <c r="N114" s="81"/>
    </row>
  </sheetData>
  <mergeCells count="10">
    <mergeCell ref="B105:M105"/>
    <mergeCell ref="B106:M106"/>
    <mergeCell ref="B107:M107"/>
    <mergeCell ref="B108:M108"/>
    <mergeCell ref="B109:M109"/>
    <mergeCell ref="B21:M21"/>
    <mergeCell ref="B22:M22"/>
    <mergeCell ref="B23:M23"/>
    <mergeCell ref="B24:M24"/>
    <mergeCell ref="B25:M25"/>
  </mergeCells>
  <conditionalFormatting sqref="D6:K6">
    <cfRule type="expression" dxfId="71" priority="31">
      <formula>AND(D$5="Actuals",E$5="Forecast")</formula>
    </cfRule>
  </conditionalFormatting>
  <conditionalFormatting sqref="D5:K5">
    <cfRule type="expression" dxfId="70"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FE4-1466-4BF7-8FA9-67F63A3D57B8}">
  <ds:schemaRefs>
    <ds:schemaRef ds:uri="http://schemas.microsoft.com/office/2006/metadata/properties"/>
    <ds:schemaRef ds:uri="http://schemas.microsoft.com/office/infopath/2007/PartnerControls"/>
    <ds:schemaRef ds:uri="http://purl.org/dc/terms/"/>
    <ds:schemaRef ds:uri="b1b6b1d3-9b1c-419f-ba2e-fefc168d435a"/>
    <ds:schemaRef ds:uri="http://schemas.microsoft.com/office/2006/documentManagement/types"/>
    <ds:schemaRef ds:uri="http://purl.org/dc/elements/1.1/"/>
    <ds:schemaRef ds:uri="f35b5cbd-7b0b-4440-92cd-b510cab4ec67"/>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2018-10-02T10:25:02Z</cp:lastPrinted>
  <dcterms:created xsi:type="dcterms:W3CDTF">2018-06-13T08:32:09Z</dcterms:created>
  <dcterms:modified xsi:type="dcterms:W3CDTF">2023-07-28T10:29:22Z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