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hvdcs01\rrp\ED1 RRPs\RRP 2020 21\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5" i="5" l="1"/>
  <c r="I18" i="15" l="1"/>
  <c r="I23" i="15" s="1"/>
  <c r="F26" i="28" l="1"/>
  <c r="F27" i="28" s="1"/>
  <c r="E26" i="28"/>
  <c r="E27" i="28" s="1"/>
  <c r="K17" i="3" l="1"/>
  <c r="J17" i="3"/>
  <c r="I20" i="20" l="1"/>
  <c r="I21" i="20" s="1"/>
  <c r="K16" i="20"/>
  <c r="J16" i="20"/>
  <c r="K14" i="20"/>
  <c r="J14" i="20"/>
  <c r="I14" i="20"/>
  <c r="I16" i="20" s="1"/>
  <c r="I85" i="5" l="1"/>
  <c r="J85" i="5" l="1"/>
  <c r="J19" i="20" l="1"/>
  <c r="J20" i="20" l="1"/>
  <c r="J21" i="20" s="1"/>
  <c r="K19" i="20"/>
  <c r="B106" i="5"/>
  <c r="K20" i="20" l="1"/>
  <c r="K21" i="20" s="1"/>
  <c r="I43" i="28"/>
  <c r="B21" i="1" l="1"/>
  <c r="B3" i="1" l="1"/>
  <c r="H21" i="20" l="1"/>
  <c r="G21" i="20"/>
  <c r="F21" i="20"/>
  <c r="E21" i="20"/>
  <c r="D21" i="20"/>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H13" i="11"/>
  <c r="G13" i="11"/>
  <c r="F13" i="11"/>
  <c r="E13" i="11"/>
  <c r="D13" i="11"/>
  <c r="B3" i="11"/>
  <c r="A3" i="11"/>
  <c r="A2" i="11"/>
  <c r="K63" i="29"/>
  <c r="J63" i="29"/>
  <c r="I63" i="29"/>
  <c r="H63" i="29"/>
  <c r="G63" i="29"/>
  <c r="F63" i="29"/>
  <c r="E63" i="29"/>
  <c r="D63" i="29"/>
  <c r="K19" i="29"/>
  <c r="J19" i="29"/>
  <c r="I19" i="29"/>
  <c r="H19" i="29"/>
  <c r="G19" i="29"/>
  <c r="F19" i="29"/>
  <c r="E19" i="29"/>
  <c r="D19" i="29"/>
  <c r="A3" i="29"/>
  <c r="A2" i="29"/>
  <c r="K31" i="10"/>
  <c r="J31" i="10"/>
  <c r="I31" i="10"/>
  <c r="H31" i="10"/>
  <c r="G31" i="10"/>
  <c r="F31" i="10"/>
  <c r="E31" i="10"/>
  <c r="D31" i="10"/>
  <c r="K28" i="10"/>
  <c r="J28" i="10"/>
  <c r="I28" i="10"/>
  <c r="H28" i="10"/>
  <c r="G28" i="10"/>
  <c r="F28" i="10"/>
  <c r="E28" i="10"/>
  <c r="D28" i="10"/>
  <c r="K24" i="10"/>
  <c r="J24" i="10"/>
  <c r="I24" i="10"/>
  <c r="H24" i="10"/>
  <c r="G24" i="10"/>
  <c r="F24" i="10"/>
  <c r="E24" i="10"/>
  <c r="D24" i="10"/>
  <c r="K21" i="10"/>
  <c r="J21" i="10"/>
  <c r="I21" i="10"/>
  <c r="H21" i="10"/>
  <c r="G21" i="10"/>
  <c r="F21" i="10"/>
  <c r="E21" i="10"/>
  <c r="D21" i="10"/>
  <c r="D18" i="10"/>
  <c r="A3" i="10"/>
  <c r="A2" i="10"/>
  <c r="I17" i="3"/>
  <c r="H17" i="3"/>
  <c r="H18" i="4" s="1"/>
  <c r="G17" i="3"/>
  <c r="G18" i="4" s="1"/>
  <c r="F17" i="3"/>
  <c r="E17" i="3"/>
  <c r="E18" i="4" s="1"/>
  <c r="D17" i="3"/>
  <c r="D18" i="4" s="1"/>
  <c r="I12" i="3"/>
  <c r="H12" i="3"/>
  <c r="H17" i="4" s="1"/>
  <c r="G12" i="3"/>
  <c r="G17" i="4" s="1"/>
  <c r="F12" i="3"/>
  <c r="E12" i="3"/>
  <c r="E17" i="4" s="1"/>
  <c r="D12" i="3"/>
  <c r="B3" i="3"/>
  <c r="A3" i="3"/>
  <c r="A2" i="3"/>
  <c r="A111" i="5"/>
  <c r="A110" i="5"/>
  <c r="A109" i="5"/>
  <c r="A108" i="5"/>
  <c r="A107" i="5"/>
  <c r="A106" i="5"/>
  <c r="A105" i="5"/>
  <c r="I102" i="5"/>
  <c r="I15" i="4" s="1"/>
  <c r="H102" i="5"/>
  <c r="H15" i="4" s="1"/>
  <c r="G102" i="5"/>
  <c r="G15" i="4" s="1"/>
  <c r="F102" i="5"/>
  <c r="F15" i="4" s="1"/>
  <c r="E102" i="5"/>
  <c r="E15" i="4" s="1"/>
  <c r="D102" i="5"/>
  <c r="D15" i="4" s="1"/>
  <c r="A100" i="5"/>
  <c r="A97" i="5"/>
  <c r="A94" i="5"/>
  <c r="A91" i="5"/>
  <c r="A88" i="5"/>
  <c r="A85" i="5"/>
  <c r="A82" i="5"/>
  <c r="K73" i="5"/>
  <c r="J73" i="5"/>
  <c r="I73" i="5"/>
  <c r="H73" i="5"/>
  <c r="G73" i="5"/>
  <c r="F73" i="5"/>
  <c r="E73" i="5"/>
  <c r="D73" i="5"/>
  <c r="K69" i="5"/>
  <c r="J69" i="5"/>
  <c r="I69" i="5"/>
  <c r="H69" i="5"/>
  <c r="G69" i="5"/>
  <c r="F69" i="5"/>
  <c r="E69" i="5"/>
  <c r="D69" i="5"/>
  <c r="A69" i="5"/>
  <c r="K65" i="5"/>
  <c r="J65" i="5"/>
  <c r="I65" i="5"/>
  <c r="H65" i="5"/>
  <c r="G65" i="5"/>
  <c r="F65" i="5"/>
  <c r="E65" i="5"/>
  <c r="D65" i="5"/>
  <c r="A65" i="5"/>
  <c r="K61" i="5"/>
  <c r="J61" i="5"/>
  <c r="I61" i="5"/>
  <c r="H61" i="5"/>
  <c r="G61" i="5"/>
  <c r="F61" i="5"/>
  <c r="E61" i="5"/>
  <c r="D61" i="5"/>
  <c r="A61" i="5"/>
  <c r="K57" i="5"/>
  <c r="J57" i="5"/>
  <c r="I57" i="5"/>
  <c r="H57" i="5"/>
  <c r="G57" i="5"/>
  <c r="F57" i="5"/>
  <c r="E57" i="5"/>
  <c r="D57" i="5"/>
  <c r="A57" i="5"/>
  <c r="H53" i="5"/>
  <c r="G53" i="5"/>
  <c r="F53" i="5"/>
  <c r="E53" i="5"/>
  <c r="D53" i="5"/>
  <c r="A53" i="5"/>
  <c r="H49" i="5"/>
  <c r="G49" i="5"/>
  <c r="F49" i="5"/>
  <c r="E49" i="5"/>
  <c r="D49" i="5"/>
  <c r="A49" i="5"/>
  <c r="A45" i="5"/>
  <c r="A44" i="5"/>
  <c r="A43" i="5"/>
  <c r="A42" i="5"/>
  <c r="A41" i="5"/>
  <c r="A40" i="5"/>
  <c r="A39" i="5"/>
  <c r="A25" i="5"/>
  <c r="A24" i="5"/>
  <c r="A23" i="5"/>
  <c r="A22" i="5"/>
  <c r="A21" i="5"/>
  <c r="H18" i="5"/>
  <c r="G18" i="5"/>
  <c r="F18" i="5"/>
  <c r="E18" i="5"/>
  <c r="D18" i="5"/>
  <c r="M17" i="5"/>
  <c r="M16" i="5"/>
  <c r="M15" i="5"/>
  <c r="M14" i="5"/>
  <c r="M13"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s="1"/>
  <c r="J44" i="2"/>
  <c r="I44" i="2"/>
  <c r="I58" i="2" s="1"/>
  <c r="H44" i="2"/>
  <c r="H58" i="2" s="1"/>
  <c r="G44" i="2"/>
  <c r="F44" i="2"/>
  <c r="F46" i="2" s="1"/>
  <c r="E44" i="2"/>
  <c r="E58" i="2" s="1"/>
  <c r="D44" i="2"/>
  <c r="M42" i="2"/>
  <c r="K42" i="2"/>
  <c r="J42" i="2"/>
  <c r="I42" i="2"/>
  <c r="H42" i="2"/>
  <c r="G42" i="2"/>
  <c r="F42" i="2"/>
  <c r="E42" i="2"/>
  <c r="D42" i="2"/>
  <c r="M41" i="2"/>
  <c r="M40" i="2"/>
  <c r="K28" i="2"/>
  <c r="J28" i="2"/>
  <c r="I28" i="2"/>
  <c r="H28" i="2"/>
  <c r="G28" i="2"/>
  <c r="F28" i="2"/>
  <c r="E28" i="2"/>
  <c r="D28" i="2"/>
  <c r="M27" i="2"/>
  <c r="M26" i="2"/>
  <c r="M25" i="2"/>
  <c r="M24" i="2"/>
  <c r="M23" i="2"/>
  <c r="M22" i="2"/>
  <c r="K16" i="2"/>
  <c r="J16" i="2"/>
  <c r="I16" i="2"/>
  <c r="H16" i="2"/>
  <c r="G16" i="2"/>
  <c r="F16" i="2"/>
  <c r="E16" i="2"/>
  <c r="D16" i="2"/>
  <c r="K14" i="2"/>
  <c r="J14" i="2"/>
  <c r="I14" i="2"/>
  <c r="H14" i="2"/>
  <c r="G14" i="2"/>
  <c r="F14" i="2"/>
  <c r="E14" i="2"/>
  <c r="D14" i="2"/>
  <c r="M13" i="2"/>
  <c r="M12" i="2"/>
  <c r="L6" i="2"/>
  <c r="A3" i="2"/>
  <c r="A2" i="2"/>
  <c r="K80" i="15"/>
  <c r="J80" i="15"/>
  <c r="K78" i="15"/>
  <c r="J78" i="15"/>
  <c r="H78" i="15"/>
  <c r="G78" i="15"/>
  <c r="F78" i="15"/>
  <c r="E78" i="15"/>
  <c r="D78" i="15"/>
  <c r="K48" i="15"/>
  <c r="J48" i="15"/>
  <c r="K46" i="15"/>
  <c r="J46" i="15"/>
  <c r="I46" i="15"/>
  <c r="I48" i="15" s="1"/>
  <c r="H46" i="15"/>
  <c r="G46" i="15"/>
  <c r="F46" i="15"/>
  <c r="E46" i="15"/>
  <c r="D46" i="15"/>
  <c r="K23" i="15"/>
  <c r="J23" i="15"/>
  <c r="K18" i="15"/>
  <c r="J18" i="15"/>
  <c r="H18" i="15"/>
  <c r="H23" i="15" s="1"/>
  <c r="G18" i="15"/>
  <c r="G23" i="15" s="1"/>
  <c r="F18" i="15"/>
  <c r="F23" i="15" s="1"/>
  <c r="E18" i="15"/>
  <c r="E23" i="15" s="1"/>
  <c r="D18" i="15"/>
  <c r="D23" i="15" s="1"/>
  <c r="A3" i="15"/>
  <c r="A2" i="15"/>
  <c r="K68" i="4"/>
  <c r="J68" i="4"/>
  <c r="K66" i="4"/>
  <c r="J66" i="4"/>
  <c r="K64" i="4"/>
  <c r="J64" i="4"/>
  <c r="H64" i="4"/>
  <c r="G64" i="4"/>
  <c r="F64" i="4"/>
  <c r="E64" i="4"/>
  <c r="D64" i="4"/>
  <c r="K45" i="4"/>
  <c r="J45" i="4"/>
  <c r="I45" i="4"/>
  <c r="H45" i="4"/>
  <c r="H66" i="4" s="1"/>
  <c r="H68" i="4" s="1"/>
  <c r="G45" i="4"/>
  <c r="F45" i="4"/>
  <c r="F66" i="4" s="1"/>
  <c r="F68" i="4" s="1"/>
  <c r="E45" i="4"/>
  <c r="E66" i="4" s="1"/>
  <c r="E68" i="4" s="1"/>
  <c r="D45" i="4"/>
  <c r="D66" i="4" s="1"/>
  <c r="D68" i="4" s="1"/>
  <c r="K28" i="4"/>
  <c r="J28" i="4"/>
  <c r="K18" i="4"/>
  <c r="J18" i="4"/>
  <c r="I18" i="4"/>
  <c r="F18" i="4"/>
  <c r="I17" i="4"/>
  <c r="F17" i="4"/>
  <c r="D17" i="4"/>
  <c r="K14" i="4"/>
  <c r="J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s="1"/>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3"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s="1"/>
  <c r="C13" i="13"/>
  <c r="D6" i="15" s="1"/>
  <c r="C12" i="13"/>
  <c r="C11" i="13"/>
  <c r="C10" i="13"/>
  <c r="C6" i="13"/>
  <c r="E156" i="28" s="1"/>
  <c r="A3" i="13"/>
  <c r="A2" i="13"/>
  <c r="H48" i="15" l="1"/>
  <c r="H80" i="15" s="1"/>
  <c r="D29" i="10"/>
  <c r="E16" i="10" s="1"/>
  <c r="E18" i="10" s="1"/>
  <c r="E29" i="10" s="1"/>
  <c r="F16" i="10" s="1"/>
  <c r="F18" i="10" s="1"/>
  <c r="F29" i="10" s="1"/>
  <c r="G16" i="10" s="1"/>
  <c r="G18" i="10" s="1"/>
  <c r="G29" i="10" s="1"/>
  <c r="H16" i="10" s="1"/>
  <c r="H18" i="10" s="1"/>
  <c r="H29" i="10" s="1"/>
  <c r="I16" i="10" s="1"/>
  <c r="I18" i="10" s="1"/>
  <c r="I29" i="10" s="1"/>
  <c r="J16" i="10" s="1"/>
  <c r="J18" i="10" s="1"/>
  <c r="J29" i="10" s="1"/>
  <c r="K16" i="10" s="1"/>
  <c r="K18" i="10" s="1"/>
  <c r="K29" i="10" s="1"/>
  <c r="K31" i="2"/>
  <c r="I31" i="2"/>
  <c r="J18" i="2"/>
  <c r="D26" i="4"/>
  <c r="D28" i="4" s="1"/>
  <c r="D48" i="15"/>
  <c r="D80" i="15" s="1"/>
  <c r="G66" i="4"/>
  <c r="G68" i="4" s="1"/>
  <c r="G26" i="4"/>
  <c r="G28" i="4" s="1"/>
  <c r="E26" i="4"/>
  <c r="E28" i="4" s="1"/>
  <c r="F26" i="4"/>
  <c r="F28" i="4" s="1"/>
  <c r="E31" i="2"/>
  <c r="M69" i="5"/>
  <c r="M73" i="5"/>
  <c r="H26" i="4"/>
  <c r="H28" i="4" s="1"/>
  <c r="F48" i="15"/>
  <c r="F80" i="15" s="1"/>
  <c r="M14" i="2"/>
  <c r="M28" i="2"/>
  <c r="M61" i="5"/>
  <c r="M65" i="5"/>
  <c r="M57" i="5"/>
  <c r="F31" i="2"/>
  <c r="G19" i="2"/>
  <c r="D19" i="2"/>
  <c r="E48" i="15"/>
  <c r="E80" i="15" s="1"/>
  <c r="G48" i="15"/>
  <c r="G80" i="15" s="1"/>
  <c r="I59" i="2"/>
  <c r="K46" i="2"/>
  <c r="G18" i="2"/>
  <c r="K18" i="2"/>
  <c r="G30" i="2"/>
  <c r="F47" i="2"/>
  <c r="G31" i="2"/>
  <c r="E46" i="2"/>
  <c r="E62" i="2" s="1"/>
  <c r="I46" i="2"/>
  <c r="I62" i="2" s="1"/>
  <c r="E59" i="2"/>
  <c r="E6" i="15"/>
  <c r="D5" i="15"/>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s="1"/>
  <c r="D6" i="11"/>
  <c r="D6" i="29"/>
  <c r="D5" i="29"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D30" i="2"/>
  <c r="D31" i="2"/>
  <c r="D18" i="2"/>
  <c r="H30" i="2"/>
  <c r="H31" i="2"/>
  <c r="H18" i="2"/>
  <c r="C18" i="2"/>
  <c r="H19" i="2"/>
  <c r="C24" i="2"/>
  <c r="C27" i="2"/>
  <c r="E19" i="2"/>
  <c r="E35" i="2" s="1"/>
  <c r="I19" i="2"/>
  <c r="I30" i="2"/>
  <c r="G58" i="2"/>
  <c r="G59" i="2"/>
  <c r="K58" i="2"/>
  <c r="K62" i="2" s="1"/>
  <c r="K59" i="2"/>
  <c r="K63" i="2" s="1"/>
  <c r="G46" i="2"/>
  <c r="G62" i="2" s="1"/>
  <c r="G47" i="2"/>
  <c r="G63" i="2" s="1"/>
  <c r="E18" i="2"/>
  <c r="I18" i="2"/>
  <c r="F19" i="2"/>
  <c r="J19" i="2"/>
  <c r="E30" i="2"/>
  <c r="J30" i="2"/>
  <c r="J31" i="2"/>
  <c r="D59" i="2"/>
  <c r="D46" i="2"/>
  <c r="H59" i="2"/>
  <c r="H46" i="2"/>
  <c r="H62" i="2" s="1"/>
  <c r="H47" i="2"/>
  <c r="F18" i="2"/>
  <c r="K19" i="2"/>
  <c r="F30" i="2"/>
  <c r="K30" i="2"/>
  <c r="D47" i="2"/>
  <c r="D58" i="2"/>
  <c r="E47" i="2"/>
  <c r="I47" i="2"/>
  <c r="I63" i="2" s="1"/>
  <c r="F35" i="2" l="1"/>
  <c r="J34" i="2"/>
  <c r="K35" i="2"/>
  <c r="K70" i="2" s="1"/>
  <c r="I34" i="2"/>
  <c r="I69" i="2" s="1"/>
  <c r="I35" i="2"/>
  <c r="I70" i="2" s="1"/>
  <c r="D50" i="15"/>
  <c r="G35" i="2"/>
  <c r="G70" i="2" s="1"/>
  <c r="B153" i="28"/>
  <c r="B11" i="5" s="1"/>
  <c r="G34" i="2"/>
  <c r="G69" i="2" s="1"/>
  <c r="K34" i="2"/>
  <c r="I64" i="2"/>
  <c r="J35" i="2"/>
  <c r="F63" i="2"/>
  <c r="M58" i="2"/>
  <c r="M59" i="2"/>
  <c r="H35" i="2"/>
  <c r="E63" i="2"/>
  <c r="E64" i="2" s="1"/>
  <c r="K64" i="2"/>
  <c r="D78" i="2"/>
  <c r="E6" i="2"/>
  <c r="D5" i="2"/>
  <c r="D77" i="2"/>
  <c r="D5" i="20"/>
  <c r="E6" i="20"/>
  <c r="F6" i="15"/>
  <c r="E5" i="15"/>
  <c r="E50" i="15" s="1"/>
  <c r="F34" i="2"/>
  <c r="H34" i="2"/>
  <c r="M31" i="2"/>
  <c r="D5" i="1"/>
  <c r="E6" i="1"/>
  <c r="E6" i="29"/>
  <c r="E5" i="29" s="1"/>
  <c r="D22" i="29"/>
  <c r="E6" i="10"/>
  <c r="E5" i="10" s="1"/>
  <c r="D40" i="10"/>
  <c r="D43" i="10" s="1"/>
  <c r="D47" i="10" s="1"/>
  <c r="D32" i="10"/>
  <c r="D36" i="10"/>
  <c r="D63" i="2"/>
  <c r="M47" i="2"/>
  <c r="G64" i="2"/>
  <c r="D34" i="2"/>
  <c r="M18" i="2"/>
  <c r="H63" i="2"/>
  <c r="D62" i="2"/>
  <c r="M46" i="2"/>
  <c r="E34" i="2"/>
  <c r="M30" i="2"/>
  <c r="B159" i="28"/>
  <c r="B17" i="5" s="1"/>
  <c r="B160" i="28"/>
  <c r="B156" i="28"/>
  <c r="B14" i="5" s="1"/>
  <c r="B157" i="28"/>
  <c r="B15" i="5" s="1"/>
  <c r="B154" i="28"/>
  <c r="B12" i="5" s="1"/>
  <c r="B155" i="28"/>
  <c r="B13" i="5" s="1"/>
  <c r="B158" i="28"/>
  <c r="B16" i="5" s="1"/>
  <c r="J62" i="2"/>
  <c r="D5" i="4"/>
  <c r="E6" i="4"/>
  <c r="D5" i="3"/>
  <c r="E6" i="3"/>
  <c r="M19" i="2"/>
  <c r="J63" i="2"/>
  <c r="D99" i="5"/>
  <c r="D93" i="5"/>
  <c r="D87" i="5"/>
  <c r="D81" i="5"/>
  <c r="D96" i="5"/>
  <c r="D90" i="5"/>
  <c r="D84" i="5"/>
  <c r="D66" i="5"/>
  <c r="D67" i="5" s="1"/>
  <c r="D50" i="5"/>
  <c r="D51" i="5" s="1"/>
  <c r="D70" i="5"/>
  <c r="D71" i="5" s="1"/>
  <c r="D58" i="5"/>
  <c r="D59" i="5" s="1"/>
  <c r="D74" i="5"/>
  <c r="D75" i="5" s="1"/>
  <c r="D62" i="5"/>
  <c r="D63" i="5" s="1"/>
  <c r="D5" i="5"/>
  <c r="E6" i="5"/>
  <c r="D54" i="5"/>
  <c r="D55" i="5" s="1"/>
  <c r="E6" i="11"/>
  <c r="D5" i="11"/>
  <c r="D5" i="19"/>
  <c r="E6" i="19"/>
  <c r="D33" i="28"/>
  <c r="C36" i="28"/>
  <c r="C35" i="28"/>
  <c r="D34" i="10" s="1"/>
  <c r="D38" i="10" s="1"/>
  <c r="C34" i="28"/>
  <c r="C32" i="28"/>
  <c r="D35" i="2"/>
  <c r="F70" i="2" l="1"/>
  <c r="J36" i="2"/>
  <c r="I49" i="1"/>
  <c r="K36" i="2"/>
  <c r="K49" i="1"/>
  <c r="I36" i="2"/>
  <c r="K69" i="2"/>
  <c r="K71" i="2" s="1"/>
  <c r="G36" i="2"/>
  <c r="G49" i="1"/>
  <c r="D45" i="10"/>
  <c r="D49" i="10" s="1"/>
  <c r="D46" i="10"/>
  <c r="D65" i="1" s="1"/>
  <c r="J70" i="2"/>
  <c r="F64" i="2"/>
  <c r="F49" i="1"/>
  <c r="E49" i="1"/>
  <c r="H70" i="2"/>
  <c r="J64" i="2"/>
  <c r="E70" i="2"/>
  <c r="G71" i="2"/>
  <c r="H49" i="1"/>
  <c r="D79" i="2"/>
  <c r="D50" i="1" s="1"/>
  <c r="D70" i="2"/>
  <c r="D49" i="1"/>
  <c r="M35" i="2"/>
  <c r="D42" i="5"/>
  <c r="D41" i="5"/>
  <c r="B49" i="5"/>
  <c r="B82" i="5"/>
  <c r="B39" i="5"/>
  <c r="B51" i="1" s="1"/>
  <c r="B94" i="5"/>
  <c r="B65" i="5"/>
  <c r="B43" i="5"/>
  <c r="B55" i="1" s="1"/>
  <c r="M63" i="2"/>
  <c r="H69" i="2"/>
  <c r="H36" i="2"/>
  <c r="E78" i="2"/>
  <c r="E77" i="2"/>
  <c r="E5" i="2"/>
  <c r="F6" i="2"/>
  <c r="E33" i="28"/>
  <c r="D36" i="28"/>
  <c r="D35" i="28"/>
  <c r="E34" i="10" s="1"/>
  <c r="E38" i="10" s="1"/>
  <c r="D34" i="28"/>
  <c r="D32" i="28"/>
  <c r="F6" i="11"/>
  <c r="E5" i="11"/>
  <c r="F6" i="4"/>
  <c r="E5" i="4"/>
  <c r="B97" i="5"/>
  <c r="B44" i="5"/>
  <c r="B69" i="5"/>
  <c r="B91" i="5"/>
  <c r="B61" i="5"/>
  <c r="B42" i="5"/>
  <c r="B54" i="1" s="1"/>
  <c r="M62" i="2"/>
  <c r="D64" i="2"/>
  <c r="D69" i="2"/>
  <c r="D36" i="2"/>
  <c r="M34" i="2"/>
  <c r="F6" i="29"/>
  <c r="F5" i="29" s="1"/>
  <c r="E22" i="29"/>
  <c r="H64" i="2"/>
  <c r="J69" i="2"/>
  <c r="D35" i="10"/>
  <c r="D40" i="29"/>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E47" i="10" s="1"/>
  <c r="E32" i="10"/>
  <c r="F6" i="10"/>
  <c r="F5" i="10" s="1"/>
  <c r="F6" i="1"/>
  <c r="E5" i="1"/>
  <c r="I71" i="2"/>
  <c r="G6" i="15"/>
  <c r="F5" i="15"/>
  <c r="F50" i="15" s="1"/>
  <c r="J49" i="1"/>
  <c r="D45" i="5"/>
  <c r="D44" i="5"/>
  <c r="D39" i="5"/>
  <c r="F6" i="3"/>
  <c r="E5" i="3"/>
  <c r="B85" i="5"/>
  <c r="B40" i="5"/>
  <c r="B52" i="1" s="1"/>
  <c r="B53" i="5"/>
  <c r="B100" i="5"/>
  <c r="B73" i="5"/>
  <c r="B45" i="5"/>
  <c r="E36" i="2"/>
  <c r="E69" i="2"/>
  <c r="F69" i="2"/>
  <c r="F71" i="2" s="1"/>
  <c r="F36" i="2"/>
  <c r="F6" i="20"/>
  <c r="E5" i="20"/>
  <c r="J71" i="2" l="1"/>
  <c r="D53" i="10"/>
  <c r="D50" i="10"/>
  <c r="D51" i="10" s="1"/>
  <c r="H71" i="2"/>
  <c r="E71" i="2"/>
  <c r="M70" i="2"/>
  <c r="D54" i="10"/>
  <c r="B33" i="1"/>
  <c r="B14" i="1"/>
  <c r="D46" i="5"/>
  <c r="D51" i="1"/>
  <c r="G6" i="19"/>
  <c r="F5" i="19"/>
  <c r="G6" i="4"/>
  <c r="F5" i="4"/>
  <c r="E8" i="20"/>
  <c r="E57" i="1" s="1"/>
  <c r="E35" i="10"/>
  <c r="E14" i="19"/>
  <c r="E40" i="29"/>
  <c r="E86" i="2"/>
  <c r="E28" i="3"/>
  <c r="E56" i="1" s="1"/>
  <c r="E79" i="2"/>
  <c r="B36" i="1"/>
  <c r="B17" i="1"/>
  <c r="D53" i="1"/>
  <c r="E45" i="10"/>
  <c r="E49" i="10" s="1"/>
  <c r="E46" i="10"/>
  <c r="D55" i="1"/>
  <c r="D52" i="1"/>
  <c r="M36" i="2"/>
  <c r="B35" i="1"/>
  <c r="B16" i="1"/>
  <c r="F77" i="2"/>
  <c r="G6" i="2"/>
  <c r="F78" i="2"/>
  <c r="F5" i="2"/>
  <c r="G6" i="20"/>
  <c r="F5" i="20"/>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23" i="29"/>
  <c r="D71" i="2"/>
  <c r="M69" i="2"/>
  <c r="F5" i="11"/>
  <c r="G6" i="11"/>
  <c r="G6" i="3"/>
  <c r="F5" i="3"/>
  <c r="G6" i="10"/>
  <c r="G5" i="10" s="1"/>
  <c r="F32" i="10"/>
  <c r="F40" i="10"/>
  <c r="F43" i="10" s="1"/>
  <c r="F47" i="10" s="1"/>
  <c r="E46" i="5"/>
  <c r="E51" i="1"/>
  <c r="G6" i="29"/>
  <c r="G5" i="29" s="1"/>
  <c r="F22" i="29"/>
  <c r="M64" i="2"/>
  <c r="E36" i="28"/>
  <c r="E35" i="28"/>
  <c r="F34" i="10" s="1"/>
  <c r="F38" i="10" s="1"/>
  <c r="E34" i="28"/>
  <c r="E32" i="28"/>
  <c r="F33" i="28"/>
  <c r="B32" i="1"/>
  <c r="B13" i="1"/>
  <c r="D54" i="1"/>
  <c r="N49" i="1"/>
  <c r="D11" i="1"/>
  <c r="D12" i="1"/>
  <c r="D18" i="1"/>
  <c r="D19" i="1"/>
  <c r="D57" i="10"/>
  <c r="D13" i="1" l="1"/>
  <c r="D15" i="1"/>
  <c r="D14" i="1"/>
  <c r="D16" i="1"/>
  <c r="D17" i="1"/>
  <c r="D58" i="10"/>
  <c r="D59" i="10" s="1"/>
  <c r="D48" i="1"/>
  <c r="D55" i="10"/>
  <c r="M71" i="2"/>
  <c r="E23" i="29"/>
  <c r="F14" i="19"/>
  <c r="F35" i="10"/>
  <c r="F8" i="20"/>
  <c r="F57" i="1" s="1"/>
  <c r="F86" i="2"/>
  <c r="F28" i="3"/>
  <c r="F56" i="1" s="1"/>
  <c r="F40" i="29"/>
  <c r="H6" i="3"/>
  <c r="G5" i="3"/>
  <c r="D120" i="2"/>
  <c r="I6" i="15"/>
  <c r="H5" i="15"/>
  <c r="E54" i="10"/>
  <c r="E50" i="10"/>
  <c r="E65" i="1"/>
  <c r="H6" i="19"/>
  <c r="G5" i="19"/>
  <c r="F45" i="10"/>
  <c r="F49" i="10" s="1"/>
  <c r="F46" i="10"/>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0" i="15"/>
  <c r="F79" i="2"/>
  <c r="F50" i="1" s="1"/>
  <c r="E57" i="10"/>
  <c r="E53" i="10"/>
  <c r="H6" i="4"/>
  <c r="G5" i="4"/>
  <c r="G33" i="28"/>
  <c r="F36" i="28"/>
  <c r="F35" i="28"/>
  <c r="G34" i="10" s="1"/>
  <c r="G38" i="10" s="1"/>
  <c r="F34" i="28"/>
  <c r="F32" i="28"/>
  <c r="G22" i="29"/>
  <c r="H6" i="29"/>
  <c r="H5" i="29" s="1"/>
  <c r="H6" i="11"/>
  <c r="G5" i="11"/>
  <c r="D134" i="2"/>
  <c r="H6" i="20"/>
  <c r="G5" i="20"/>
  <c r="G77" i="2"/>
  <c r="G78" i="2"/>
  <c r="H6" i="2"/>
  <c r="G5" i="2"/>
  <c r="E102" i="2"/>
  <c r="E119" i="2"/>
  <c r="E105" i="2"/>
  <c r="E90" i="2"/>
  <c r="E101" i="2"/>
  <c r="E128" i="2"/>
  <c r="E131" i="2"/>
  <c r="E100" i="2"/>
  <c r="E130" i="2"/>
  <c r="E132" i="2"/>
  <c r="E103" i="2"/>
  <c r="E91" i="2"/>
  <c r="E118" i="2"/>
  <c r="E104" i="2"/>
  <c r="E133" i="2"/>
  <c r="E129" i="2"/>
  <c r="H6" i="10"/>
  <c r="H5" i="10" s="1"/>
  <c r="H32" i="10" s="1"/>
  <c r="G40" i="10"/>
  <c r="G43" i="10" s="1"/>
  <c r="G47" i="10" s="1"/>
  <c r="G32" i="10"/>
  <c r="D81" i="15"/>
  <c r="D82" i="15"/>
  <c r="F39" i="5"/>
  <c r="F44" i="5"/>
  <c r="H6" i="1"/>
  <c r="G5" i="1"/>
  <c r="E48" i="29"/>
  <c r="D66" i="1"/>
  <c r="D48" i="29"/>
  <c r="E66" i="1"/>
  <c r="E50" i="1"/>
  <c r="D86" i="29"/>
  <c r="E86" i="29" l="1"/>
  <c r="E87" i="29" s="1"/>
  <c r="E32" i="1"/>
  <c r="D58" i="1"/>
  <c r="D10" i="1"/>
  <c r="D87" i="29"/>
  <c r="E92" i="2"/>
  <c r="E96" i="2" s="1"/>
  <c r="E55" i="10"/>
  <c r="E120" i="2"/>
  <c r="E125" i="2" s="1"/>
  <c r="G79" i="2"/>
  <c r="G50" i="1" s="1"/>
  <c r="F46" i="5"/>
  <c r="F51" i="1"/>
  <c r="H5" i="1"/>
  <c r="I6" i="1"/>
  <c r="I6" i="10"/>
  <c r="I5" i="10" s="1"/>
  <c r="H40" i="10"/>
  <c r="H43" i="10" s="1"/>
  <c r="H47" i="10" s="1"/>
  <c r="E106" i="2"/>
  <c r="E81" i="15"/>
  <c r="E82" i="15"/>
  <c r="G14" i="19"/>
  <c r="G28" i="3"/>
  <c r="G56" i="1" s="1"/>
  <c r="G86" i="2"/>
  <c r="G35" i="10"/>
  <c r="G8" i="20"/>
  <c r="G57" i="1" s="1"/>
  <c r="G40" i="29"/>
  <c r="H5" i="4"/>
  <c r="I6" i="4"/>
  <c r="D109" i="2"/>
  <c r="D108" i="2"/>
  <c r="F57" i="10"/>
  <c r="E15" i="1"/>
  <c r="E17" i="1"/>
  <c r="E11" i="1"/>
  <c r="E16" i="1"/>
  <c r="E18" i="1"/>
  <c r="E14" i="1"/>
  <c r="E19" i="1"/>
  <c r="J6" i="15"/>
  <c r="I5" i="15"/>
  <c r="F53" i="10"/>
  <c r="E13" i="1"/>
  <c r="E31" i="1"/>
  <c r="E12" i="1"/>
  <c r="D34" i="1"/>
  <c r="D31" i="1"/>
  <c r="D30" i="1"/>
  <c r="D33" i="1"/>
  <c r="D38" i="1"/>
  <c r="D29" i="1"/>
  <c r="D36" i="1"/>
  <c r="D32" i="1"/>
  <c r="D37" i="1"/>
  <c r="D35" i="1"/>
  <c r="G40" i="5"/>
  <c r="G46" i="5" s="1"/>
  <c r="D97" i="2"/>
  <c r="D96" i="2"/>
  <c r="F66" i="1"/>
  <c r="E51" i="10"/>
  <c r="E48" i="1"/>
  <c r="E58" i="10"/>
  <c r="E59" i="10" s="1"/>
  <c r="H5" i="3"/>
  <c r="I6" i="3"/>
  <c r="H5" i="19"/>
  <c r="I6" i="19"/>
  <c r="F48" i="29"/>
  <c r="F103" i="2"/>
  <c r="F128" i="2"/>
  <c r="F133" i="2"/>
  <c r="F102" i="2"/>
  <c r="F129" i="2"/>
  <c r="F119" i="2"/>
  <c r="F101" i="2"/>
  <c r="F118" i="2"/>
  <c r="F105" i="2"/>
  <c r="F90" i="2"/>
  <c r="F100" i="2"/>
  <c r="F130" i="2"/>
  <c r="F132" i="2"/>
  <c r="F131" i="2"/>
  <c r="F91" i="2"/>
  <c r="F104" i="2"/>
  <c r="E134" i="2"/>
  <c r="D136" i="2"/>
  <c r="D137" i="2"/>
  <c r="I6" i="11"/>
  <c r="H5" i="11"/>
  <c r="I6" i="29"/>
  <c r="I5" i="29" s="1"/>
  <c r="H22" i="29"/>
  <c r="G51" i="1"/>
  <c r="E36" i="1"/>
  <c r="E33" i="1"/>
  <c r="E35" i="1"/>
  <c r="E30" i="1"/>
  <c r="E34" i="1"/>
  <c r="F23" i="29"/>
  <c r="G45" i="10"/>
  <c r="G49" i="10" s="1"/>
  <c r="G46" i="10"/>
  <c r="E38" i="1"/>
  <c r="H78" i="2"/>
  <c r="I6" i="2"/>
  <c r="H77" i="2"/>
  <c r="H5" i="2"/>
  <c r="H5" i="20"/>
  <c r="I6" i="20"/>
  <c r="H33" i="28"/>
  <c r="G32" i="28"/>
  <c r="G35" i="28"/>
  <c r="H34" i="10" s="1"/>
  <c r="H38" i="10" s="1"/>
  <c r="G34" i="28"/>
  <c r="G36" i="28"/>
  <c r="E37" i="1"/>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F54" i="10"/>
  <c r="F65" i="1"/>
  <c r="F50" i="10"/>
  <c r="F48" i="1" s="1"/>
  <c r="H50" i="15"/>
  <c r="D125" i="2"/>
  <c r="D124" i="2"/>
  <c r="F12" i="1" l="1"/>
  <c r="D20" i="1"/>
  <c r="F31" i="1"/>
  <c r="E97" i="2"/>
  <c r="D39" i="1"/>
  <c r="E124" i="2"/>
  <c r="G23" i="29"/>
  <c r="D140" i="2"/>
  <c r="D141" i="2"/>
  <c r="F92" i="2"/>
  <c r="F97" i="2" s="1"/>
  <c r="F37" i="1"/>
  <c r="D112" i="2"/>
  <c r="F38" i="1"/>
  <c r="F106" i="2"/>
  <c r="F109" i="2" s="1"/>
  <c r="D113" i="2"/>
  <c r="I33" i="28"/>
  <c r="H32" i="28"/>
  <c r="H35" i="28"/>
  <c r="I34" i="10" s="1"/>
  <c r="I38" i="10" s="1"/>
  <c r="H36" i="28"/>
  <c r="H34" i="28"/>
  <c r="H79" i="2"/>
  <c r="F81" i="15"/>
  <c r="F82" i="15"/>
  <c r="F120" i="2"/>
  <c r="F134" i="2"/>
  <c r="J6" i="19"/>
  <c r="I5" i="19"/>
  <c r="G52" i="1"/>
  <c r="F51" i="10"/>
  <c r="G133" i="2"/>
  <c r="G102" i="2"/>
  <c r="G129" i="2"/>
  <c r="G91" i="2"/>
  <c r="G90" i="2"/>
  <c r="G100" i="2"/>
  <c r="G104" i="2"/>
  <c r="G105" i="2"/>
  <c r="G101" i="2"/>
  <c r="G128" i="2"/>
  <c r="G130" i="2"/>
  <c r="G132" i="2"/>
  <c r="G131" i="2"/>
  <c r="G119" i="2"/>
  <c r="G118" i="2"/>
  <c r="G103" i="2"/>
  <c r="E109" i="2"/>
  <c r="E108" i="2"/>
  <c r="E112" i="2" s="1"/>
  <c r="H46" i="10"/>
  <c r="H45" i="10"/>
  <c r="H49" i="10" s="1"/>
  <c r="G48" i="29"/>
  <c r="F17" i="1"/>
  <c r="F15" i="1"/>
  <c r="F11" i="1"/>
  <c r="F14" i="1"/>
  <c r="F16" i="1"/>
  <c r="H44" i="5"/>
  <c r="H54" i="1"/>
  <c r="H51" i="1"/>
  <c r="H8" i="20"/>
  <c r="H57" i="1" s="1"/>
  <c r="H28" i="3"/>
  <c r="H56" i="1" s="1"/>
  <c r="H14" i="19"/>
  <c r="H35" i="10"/>
  <c r="H40" i="29"/>
  <c r="H23" i="29" s="1"/>
  <c r="H86" i="2"/>
  <c r="J6" i="20"/>
  <c r="I5" i="20"/>
  <c r="F18" i="1"/>
  <c r="F30" i="1"/>
  <c r="F34" i="1"/>
  <c r="F35" i="1"/>
  <c r="F36" i="1"/>
  <c r="F33" i="1"/>
  <c r="F86" i="29"/>
  <c r="I32" i="10"/>
  <c r="J6" i="10"/>
  <c r="J5" i="10" s="1"/>
  <c r="I40" i="10"/>
  <c r="I43" i="10" s="1"/>
  <c r="I47" i="10" s="1"/>
  <c r="J6" i="1"/>
  <c r="I5" i="1"/>
  <c r="F19" i="1"/>
  <c r="I96" i="5"/>
  <c r="I90" i="5"/>
  <c r="I84" i="5"/>
  <c r="I81" i="5"/>
  <c r="I70" i="5"/>
  <c r="I71" i="5" s="1"/>
  <c r="I44" i="5" s="1"/>
  <c r="I54" i="5"/>
  <c r="J6" i="5"/>
  <c r="I87" i="5"/>
  <c r="I93" i="5"/>
  <c r="I74" i="5"/>
  <c r="I75" i="5" s="1"/>
  <c r="I45" i="5" s="1"/>
  <c r="I62" i="5"/>
  <c r="I63" i="5" s="1"/>
  <c r="I42" i="5" s="1"/>
  <c r="I54" i="1" s="1"/>
  <c r="I99" i="5"/>
  <c r="I66" i="5"/>
  <c r="I67" i="5" s="1"/>
  <c r="I43" i="5" s="1"/>
  <c r="I55" i="1" s="1"/>
  <c r="I50" i="5"/>
  <c r="I58" i="5"/>
  <c r="I59" i="5" s="1"/>
  <c r="I41" i="5" s="1"/>
  <c r="I53" i="1" s="1"/>
  <c r="I5" i="5"/>
  <c r="H45" i="5"/>
  <c r="G65" i="1"/>
  <c r="G50" i="10"/>
  <c r="G48" i="1" s="1"/>
  <c r="J6" i="11"/>
  <c r="I5" i="11"/>
  <c r="E58" i="1"/>
  <c r="E29" i="1"/>
  <c r="E10" i="1"/>
  <c r="F58" i="10"/>
  <c r="F59" i="10" s="1"/>
  <c r="I50" i="15"/>
  <c r="F32" i="1"/>
  <c r="F13" i="1"/>
  <c r="F29" i="1"/>
  <c r="F10" i="1"/>
  <c r="F58" i="1"/>
  <c r="H41" i="5"/>
  <c r="I78" i="2"/>
  <c r="I77" i="2"/>
  <c r="I5" i="2"/>
  <c r="J6" i="2"/>
  <c r="G66" i="1"/>
  <c r="J6" i="29"/>
  <c r="J5" i="29" s="1"/>
  <c r="I22" i="29"/>
  <c r="E137" i="2"/>
  <c r="E141" i="2" s="1"/>
  <c r="E136" i="2"/>
  <c r="E140" i="2" s="1"/>
  <c r="J6" i="3"/>
  <c r="I5" i="3"/>
  <c r="F55" i="10"/>
  <c r="K6" i="15"/>
  <c r="K5" i="15" s="1"/>
  <c r="J5" i="15"/>
  <c r="J6" i="4"/>
  <c r="I5" i="4"/>
  <c r="G54" i="10"/>
  <c r="G53" i="10"/>
  <c r="G57" i="10"/>
  <c r="E20" i="1" l="1"/>
  <c r="E39" i="1"/>
  <c r="G13" i="1"/>
  <c r="F87" i="29"/>
  <c r="E113" i="2"/>
  <c r="E148" i="2" s="1"/>
  <c r="I78" i="15"/>
  <c r="I80" i="15" s="1"/>
  <c r="J11" i="3"/>
  <c r="J12" i="3" s="1"/>
  <c r="J17" i="4" s="1"/>
  <c r="D147" i="2"/>
  <c r="J94" i="5"/>
  <c r="J102" i="5" s="1"/>
  <c r="J15" i="4" s="1"/>
  <c r="K91" i="5"/>
  <c r="F20" i="1"/>
  <c r="F39" i="1"/>
  <c r="G58" i="10"/>
  <c r="G59" i="10" s="1"/>
  <c r="D142" i="2"/>
  <c r="F96" i="2"/>
  <c r="D148" i="2"/>
  <c r="D88" i="29"/>
  <c r="E142" i="2"/>
  <c r="G92" i="2"/>
  <c r="G97" i="2" s="1"/>
  <c r="F113" i="2"/>
  <c r="F108" i="2"/>
  <c r="D114" i="2"/>
  <c r="G55" i="10"/>
  <c r="J50" i="15"/>
  <c r="K6" i="3"/>
  <c r="K5" i="3" s="1"/>
  <c r="J5" i="3"/>
  <c r="H53" i="1"/>
  <c r="I46" i="10"/>
  <c r="I45" i="10"/>
  <c r="I49" i="10" s="1"/>
  <c r="G18" i="1"/>
  <c r="H53" i="10"/>
  <c r="H57" i="10"/>
  <c r="G81" i="15"/>
  <c r="G82" i="15"/>
  <c r="G14" i="1"/>
  <c r="G33" i="1"/>
  <c r="K6" i="19"/>
  <c r="K5" i="19" s="1"/>
  <c r="J5" i="19"/>
  <c r="H50" i="1"/>
  <c r="I14" i="19"/>
  <c r="I40" i="29"/>
  <c r="I86" i="2"/>
  <c r="I35" i="10"/>
  <c r="I8" i="20"/>
  <c r="I57" i="1" s="1"/>
  <c r="I32" i="28"/>
  <c r="J33" i="28"/>
  <c r="I35" i="28"/>
  <c r="J34" i="10" s="1"/>
  <c r="J38" i="10" s="1"/>
  <c r="I36" i="28"/>
  <c r="I34" i="28"/>
  <c r="K94" i="5" s="1"/>
  <c r="J40" i="10"/>
  <c r="J43" i="10" s="1"/>
  <c r="J47" i="10" s="1"/>
  <c r="K6" i="10"/>
  <c r="K5" i="10" s="1"/>
  <c r="J32" i="10"/>
  <c r="K6" i="20"/>
  <c r="K5" i="20" s="1"/>
  <c r="J5" i="20"/>
  <c r="H54" i="10"/>
  <c r="H50" i="10"/>
  <c r="H65" i="1"/>
  <c r="F136" i="2"/>
  <c r="F137" i="2"/>
  <c r="G38" i="1"/>
  <c r="G37" i="1"/>
  <c r="G30" i="1"/>
  <c r="G35" i="1"/>
  <c r="G36" i="1"/>
  <c r="G32" i="1"/>
  <c r="G31" i="1"/>
  <c r="G34" i="1"/>
  <c r="K6" i="29"/>
  <c r="K5" i="29" s="1"/>
  <c r="I79" i="2"/>
  <c r="G58" i="1"/>
  <c r="G10" i="1"/>
  <c r="G29" i="1"/>
  <c r="H101" i="2"/>
  <c r="H130" i="2"/>
  <c r="H132" i="2"/>
  <c r="H131" i="2"/>
  <c r="H100" i="2"/>
  <c r="H118" i="2"/>
  <c r="H104" i="2"/>
  <c r="H103" i="2"/>
  <c r="H91" i="2"/>
  <c r="H102" i="2"/>
  <c r="H129" i="2"/>
  <c r="H128" i="2"/>
  <c r="H105" i="2"/>
  <c r="H90" i="2"/>
  <c r="H119" i="2"/>
  <c r="H133" i="2"/>
  <c r="H46" i="5"/>
  <c r="E88" i="29"/>
  <c r="H66" i="1"/>
  <c r="F125" i="2"/>
  <c r="F124" i="2"/>
  <c r="G51" i="10"/>
  <c r="H48" i="29"/>
  <c r="K50" i="15"/>
  <c r="K6" i="4"/>
  <c r="K5" i="4" s="1"/>
  <c r="J5" i="4"/>
  <c r="J77" i="2"/>
  <c r="J78" i="2"/>
  <c r="K6" i="2"/>
  <c r="L56" i="2" s="1"/>
  <c r="J5" i="2"/>
  <c r="L31" i="2"/>
  <c r="L18" i="2"/>
  <c r="L19" i="2"/>
  <c r="L47" i="2"/>
  <c r="L13" i="2"/>
  <c r="L12" i="2"/>
  <c r="L51" i="2"/>
  <c r="L34" i="2"/>
  <c r="L63" i="2"/>
  <c r="L22" i="2"/>
  <c r="L58" i="2"/>
  <c r="L27" i="2"/>
  <c r="J5" i="11"/>
  <c r="K6" i="11"/>
  <c r="K5" i="11" s="1"/>
  <c r="G19" i="1"/>
  <c r="G11" i="1"/>
  <c r="G17" i="1"/>
  <c r="G15" i="1"/>
  <c r="G12" i="1"/>
  <c r="G16" i="1"/>
  <c r="J96" i="5"/>
  <c r="J90" i="5"/>
  <c r="J84" i="5"/>
  <c r="J99" i="5"/>
  <c r="J93" i="5"/>
  <c r="J87" i="5"/>
  <c r="J81" i="5"/>
  <c r="J58" i="5"/>
  <c r="J59" i="5" s="1"/>
  <c r="J5" i="5"/>
  <c r="J74" i="5"/>
  <c r="J75" i="5" s="1"/>
  <c r="J66" i="5"/>
  <c r="J67" i="5" s="1"/>
  <c r="J43" i="5" s="1"/>
  <c r="J70" i="5"/>
  <c r="J71" i="5" s="1"/>
  <c r="J54" i="5"/>
  <c r="J50" i="5"/>
  <c r="J62" i="5"/>
  <c r="J63" i="5" s="1"/>
  <c r="J42" i="5" s="1"/>
  <c r="K6" i="5"/>
  <c r="L16" i="5" s="1"/>
  <c r="L14" i="5"/>
  <c r="L57" i="5"/>
  <c r="K6" i="1"/>
  <c r="J5" i="1"/>
  <c r="E147" i="2"/>
  <c r="L41" i="2"/>
  <c r="L46" i="2"/>
  <c r="G120" i="2"/>
  <c r="G134" i="2"/>
  <c r="G106" i="2"/>
  <c r="G86" i="29"/>
  <c r="L26" i="2"/>
  <c r="L53" i="2"/>
  <c r="E114" i="2" l="1"/>
  <c r="H19" i="1"/>
  <c r="H37" i="1"/>
  <c r="I28" i="3"/>
  <c r="I56" i="1" s="1"/>
  <c r="G87" i="29"/>
  <c r="J26" i="4"/>
  <c r="D149" i="2"/>
  <c r="K11" i="3"/>
  <c r="K12" i="3" s="1"/>
  <c r="K17" i="4" s="1"/>
  <c r="J22" i="29"/>
  <c r="G20" i="1"/>
  <c r="G39" i="1"/>
  <c r="L23" i="2"/>
  <c r="L36" i="2"/>
  <c r="L17" i="5"/>
  <c r="L40" i="2"/>
  <c r="L42" i="2" s="1"/>
  <c r="L30" i="2"/>
  <c r="L24" i="2"/>
  <c r="L50" i="2"/>
  <c r="L69" i="5"/>
  <c r="L62" i="2"/>
  <c r="L52" i="2"/>
  <c r="L65" i="5"/>
  <c r="L59" i="2"/>
  <c r="L73" i="5"/>
  <c r="L35" i="2"/>
  <c r="L64" i="2"/>
  <c r="L61" i="5"/>
  <c r="L13" i="5"/>
  <c r="L55" i="2"/>
  <c r="L71" i="2"/>
  <c r="L54" i="2"/>
  <c r="L15" i="5"/>
  <c r="L28" i="2"/>
  <c r="L70" i="2"/>
  <c r="F112" i="2"/>
  <c r="F114" i="2" s="1"/>
  <c r="G96" i="2"/>
  <c r="H18" i="1"/>
  <c r="H55" i="10"/>
  <c r="J79" i="2"/>
  <c r="J50" i="1" s="1"/>
  <c r="K99" i="5"/>
  <c r="K93" i="5"/>
  <c r="K87" i="5"/>
  <c r="K81" i="5"/>
  <c r="K84" i="5"/>
  <c r="K74" i="5"/>
  <c r="K75" i="5" s="1"/>
  <c r="K45" i="5" s="1"/>
  <c r="K62" i="5"/>
  <c r="K63" i="5" s="1"/>
  <c r="L63" i="5" s="1"/>
  <c r="K90" i="5"/>
  <c r="K96" i="5"/>
  <c r="K70" i="5"/>
  <c r="K71" i="5" s="1"/>
  <c r="K54" i="5"/>
  <c r="K58" i="5"/>
  <c r="K59" i="5" s="1"/>
  <c r="K41" i="5" s="1"/>
  <c r="K53" i="1" s="1"/>
  <c r="K5" i="5"/>
  <c r="K66" i="5"/>
  <c r="K67" i="5" s="1"/>
  <c r="L67" i="5" s="1"/>
  <c r="K50" i="5"/>
  <c r="L75" i="5"/>
  <c r="J44" i="5"/>
  <c r="L71" i="5"/>
  <c r="J41" i="5"/>
  <c r="L59" i="5"/>
  <c r="F140" i="2"/>
  <c r="H120" i="2"/>
  <c r="H51" i="10"/>
  <c r="H48" i="1"/>
  <c r="H13" i="1"/>
  <c r="K32" i="10"/>
  <c r="K40" i="10"/>
  <c r="K43" i="10" s="1"/>
  <c r="K47" i="10" s="1"/>
  <c r="J35" i="10"/>
  <c r="J8" i="20"/>
  <c r="J57" i="1" s="1"/>
  <c r="J40" i="29"/>
  <c r="J14" i="19"/>
  <c r="J28" i="3"/>
  <c r="J56" i="1" s="1"/>
  <c r="J86" i="2"/>
  <c r="I101" i="2"/>
  <c r="I119" i="2"/>
  <c r="I105" i="2"/>
  <c r="I132" i="2"/>
  <c r="I131" i="2"/>
  <c r="I100" i="2"/>
  <c r="I130" i="2"/>
  <c r="I128" i="2"/>
  <c r="I118" i="2"/>
  <c r="I102" i="2"/>
  <c r="I104" i="2"/>
  <c r="I103" i="2"/>
  <c r="I91" i="2"/>
  <c r="I90" i="2"/>
  <c r="I133" i="2"/>
  <c r="I129" i="2"/>
  <c r="H16" i="1"/>
  <c r="I65" i="1"/>
  <c r="I50" i="10"/>
  <c r="I48" i="1" s="1"/>
  <c r="H15" i="1"/>
  <c r="H34" i="1"/>
  <c r="G137" i="2"/>
  <c r="G136" i="2"/>
  <c r="G124" i="2"/>
  <c r="G125" i="2"/>
  <c r="J54" i="1"/>
  <c r="J55" i="1"/>
  <c r="K77" i="2"/>
  <c r="K78" i="2"/>
  <c r="K5" i="2"/>
  <c r="L77" i="2"/>
  <c r="L25" i="2"/>
  <c r="L69" i="2"/>
  <c r="H81" i="15"/>
  <c r="H82" i="15"/>
  <c r="F141" i="2"/>
  <c r="J46" i="10"/>
  <c r="J45" i="10"/>
  <c r="J49" i="10" s="1"/>
  <c r="I23" i="29"/>
  <c r="I35" i="29" s="1"/>
  <c r="H86" i="29"/>
  <c r="H58" i="10"/>
  <c r="H59" i="10" s="1"/>
  <c r="E149" i="2"/>
  <c r="J45" i="5"/>
  <c r="L45" i="5" s="1"/>
  <c r="H92" i="2"/>
  <c r="H106" i="2"/>
  <c r="I50" i="1"/>
  <c r="H12" i="1"/>
  <c r="H31" i="1"/>
  <c r="G109" i="2"/>
  <c r="G108" i="2"/>
  <c r="K5" i="1"/>
  <c r="M49" i="1"/>
  <c r="L14" i="2"/>
  <c r="H30" i="1"/>
  <c r="H36" i="1"/>
  <c r="H33" i="1"/>
  <c r="H134" i="2"/>
  <c r="H11" i="1"/>
  <c r="H14" i="1"/>
  <c r="H17" i="1"/>
  <c r="H32" i="1"/>
  <c r="J32" i="28"/>
  <c r="J35" i="28"/>
  <c r="K34" i="10" s="1"/>
  <c r="K38" i="10" s="1"/>
  <c r="J36" i="28"/>
  <c r="J34" i="28"/>
  <c r="I54" i="10"/>
  <c r="I53" i="10"/>
  <c r="I57" i="10"/>
  <c r="H35" i="1"/>
  <c r="H38" i="1"/>
  <c r="D89" i="29" l="1"/>
  <c r="D51" i="29"/>
  <c r="E89" i="29"/>
  <c r="E51" i="29"/>
  <c r="H87" i="29"/>
  <c r="G88" i="29"/>
  <c r="F88" i="29"/>
  <c r="I18" i="1"/>
  <c r="I19" i="1"/>
  <c r="G141" i="2"/>
  <c r="L79" i="2"/>
  <c r="K79" i="2"/>
  <c r="K50" i="1" s="1"/>
  <c r="N50" i="1" s="1"/>
  <c r="I51" i="10"/>
  <c r="I58" i="10"/>
  <c r="I59" i="10" s="1"/>
  <c r="J23" i="29"/>
  <c r="J35" i="29" s="1"/>
  <c r="M75" i="5"/>
  <c r="G140" i="2"/>
  <c r="I55" i="10"/>
  <c r="M59" i="5"/>
  <c r="I120" i="2"/>
  <c r="I125" i="2" s="1"/>
  <c r="H96" i="2"/>
  <c r="H97" i="2"/>
  <c r="I11" i="1"/>
  <c r="I17" i="1"/>
  <c r="I15" i="1"/>
  <c r="I16" i="1"/>
  <c r="M56" i="1"/>
  <c r="F142" i="2"/>
  <c r="F147" i="2"/>
  <c r="K35" i="10"/>
  <c r="K8" i="20"/>
  <c r="K57" i="1" s="1"/>
  <c r="K14" i="19"/>
  <c r="K28" i="3"/>
  <c r="K56" i="1" s="1"/>
  <c r="K40" i="29"/>
  <c r="K86" i="2"/>
  <c r="G112" i="2"/>
  <c r="I12" i="1"/>
  <c r="M50" i="1"/>
  <c r="H109" i="2"/>
  <c r="H108" i="2"/>
  <c r="F148" i="2"/>
  <c r="I81" i="15"/>
  <c r="I82" i="15"/>
  <c r="I106" i="2"/>
  <c r="J54" i="10"/>
  <c r="J53" i="10"/>
  <c r="J57" i="10"/>
  <c r="H58" i="1"/>
  <c r="H29" i="1"/>
  <c r="H10" i="1"/>
  <c r="K42" i="5"/>
  <c r="L42" i="5" s="1"/>
  <c r="M63" i="5"/>
  <c r="H136" i="2"/>
  <c r="H137" i="2"/>
  <c r="G113" i="2"/>
  <c r="I92" i="2"/>
  <c r="K46" i="10"/>
  <c r="K45" i="10"/>
  <c r="K49" i="10" s="1"/>
  <c r="H125" i="2"/>
  <c r="H124" i="2"/>
  <c r="K43" i="5"/>
  <c r="L43" i="5" s="1"/>
  <c r="M67" i="5"/>
  <c r="K44" i="5"/>
  <c r="M44" i="5" s="1"/>
  <c r="M71" i="5"/>
  <c r="M45" i="5"/>
  <c r="J65" i="1"/>
  <c r="J50" i="10"/>
  <c r="J48" i="1" s="1"/>
  <c r="M77" i="2"/>
  <c r="I10" i="1"/>
  <c r="I134" i="2"/>
  <c r="J101" i="2"/>
  <c r="J119" i="2"/>
  <c r="J105" i="2"/>
  <c r="J90" i="2"/>
  <c r="J131" i="2"/>
  <c r="J130" i="2"/>
  <c r="J104" i="2"/>
  <c r="J103" i="2"/>
  <c r="J91" i="2"/>
  <c r="J118" i="2"/>
  <c r="J129" i="2"/>
  <c r="J128" i="2"/>
  <c r="J133" i="2"/>
  <c r="J102" i="2"/>
  <c r="J132" i="2"/>
  <c r="J100" i="2"/>
  <c r="J53" i="1"/>
  <c r="M41" i="5"/>
  <c r="L41" i="5"/>
  <c r="N56" i="1" l="1"/>
  <c r="H20" i="1"/>
  <c r="H39" i="1"/>
  <c r="E90" i="29"/>
  <c r="E60" i="1" s="1"/>
  <c r="E59" i="1"/>
  <c r="D90" i="29"/>
  <c r="D60" i="1" s="1"/>
  <c r="D59" i="1"/>
  <c r="H112" i="2"/>
  <c r="M57" i="1"/>
  <c r="L44" i="5"/>
  <c r="G142" i="2"/>
  <c r="M79" i="2"/>
  <c r="I124" i="2"/>
  <c r="H113" i="2"/>
  <c r="J16" i="1"/>
  <c r="J106" i="2"/>
  <c r="J10" i="1"/>
  <c r="K65" i="1"/>
  <c r="K50" i="10"/>
  <c r="K48" i="1" s="1"/>
  <c r="I109" i="2"/>
  <c r="I108" i="2"/>
  <c r="K23" i="29"/>
  <c r="J11" i="1"/>
  <c r="J12" i="1"/>
  <c r="H141" i="2"/>
  <c r="K54" i="1"/>
  <c r="M42" i="5"/>
  <c r="M48" i="1"/>
  <c r="J58" i="10"/>
  <c r="J59" i="10" s="1"/>
  <c r="G114" i="2"/>
  <c r="G147" i="2"/>
  <c r="M19" i="1"/>
  <c r="J134" i="2"/>
  <c r="I136" i="2"/>
  <c r="I137" i="2"/>
  <c r="I141" i="2" s="1"/>
  <c r="G148" i="2"/>
  <c r="J51" i="10"/>
  <c r="H140" i="2"/>
  <c r="M10" i="1"/>
  <c r="J17" i="1"/>
  <c r="J18" i="1"/>
  <c r="J81" i="15"/>
  <c r="J82" i="15"/>
  <c r="J15" i="1"/>
  <c r="M15" i="1"/>
  <c r="M53" i="1"/>
  <c r="N53" i="1"/>
  <c r="J120" i="2"/>
  <c r="J92" i="2"/>
  <c r="L91" i="2"/>
  <c r="K55" i="1"/>
  <c r="M43" i="5"/>
  <c r="I97" i="2"/>
  <c r="I96" i="2"/>
  <c r="H88" i="29"/>
  <c r="J55" i="10"/>
  <c r="M12" i="1"/>
  <c r="K131" i="2"/>
  <c r="M131" i="2" s="1"/>
  <c r="K100" i="2"/>
  <c r="L100" i="2" s="1"/>
  <c r="K130" i="2"/>
  <c r="M130" i="2" s="1"/>
  <c r="K104" i="2"/>
  <c r="M104" i="2" s="1"/>
  <c r="K105" i="2"/>
  <c r="M105" i="2" s="1"/>
  <c r="K103" i="2"/>
  <c r="M103" i="2" s="1"/>
  <c r="K91" i="2"/>
  <c r="M91" i="2" s="1"/>
  <c r="K118" i="2"/>
  <c r="M118" i="2" s="1"/>
  <c r="K132" i="2"/>
  <c r="M132" i="2" s="1"/>
  <c r="K101" i="2"/>
  <c r="M101" i="2" s="1"/>
  <c r="K119" i="2"/>
  <c r="L119" i="2" s="1"/>
  <c r="K90" i="2"/>
  <c r="K129" i="2"/>
  <c r="M129" i="2" s="1"/>
  <c r="K128" i="2"/>
  <c r="L128" i="2" s="1"/>
  <c r="K133" i="2"/>
  <c r="M133" i="2" s="1"/>
  <c r="K102" i="2"/>
  <c r="M102" i="2" s="1"/>
  <c r="N57" i="1"/>
  <c r="J19" i="1"/>
  <c r="M18" i="1"/>
  <c r="K57" i="10"/>
  <c r="K54" i="10"/>
  <c r="K53" i="10"/>
  <c r="F149" i="2"/>
  <c r="M11" i="1"/>
  <c r="M17" i="1" l="1"/>
  <c r="N48" i="1"/>
  <c r="N11" i="1"/>
  <c r="D40" i="1"/>
  <c r="F89" i="29"/>
  <c r="F51" i="29"/>
  <c r="D21" i="1"/>
  <c r="E21" i="1"/>
  <c r="E40" i="1"/>
  <c r="G89" i="29"/>
  <c r="G51" i="29"/>
  <c r="I140" i="2"/>
  <c r="M54" i="1"/>
  <c r="L132" i="2"/>
  <c r="L102" i="2"/>
  <c r="K81" i="15"/>
  <c r="K82" i="15"/>
  <c r="L105" i="2"/>
  <c r="L101" i="2"/>
  <c r="L90" i="2"/>
  <c r="L92" i="2" s="1"/>
  <c r="L104" i="2"/>
  <c r="L103" i="2"/>
  <c r="L133" i="2"/>
  <c r="L130" i="2"/>
  <c r="M55" i="1"/>
  <c r="M16" i="1"/>
  <c r="L129" i="2"/>
  <c r="L131" i="2"/>
  <c r="L118" i="2"/>
  <c r="L120" i="2" s="1"/>
  <c r="N18" i="1"/>
  <c r="N15" i="1"/>
  <c r="K55" i="10"/>
  <c r="H148" i="2"/>
  <c r="K19" i="1"/>
  <c r="H114" i="2"/>
  <c r="I113" i="2"/>
  <c r="I148" i="2" s="1"/>
  <c r="K18" i="1"/>
  <c r="N10" i="1"/>
  <c r="K58" i="10"/>
  <c r="K59" i="10" s="1"/>
  <c r="N19" i="1"/>
  <c r="K51" i="10"/>
  <c r="N12" i="1"/>
  <c r="K16" i="1"/>
  <c r="N54" i="1"/>
  <c r="N16" i="1"/>
  <c r="J108" i="2"/>
  <c r="J109" i="2"/>
  <c r="L106" i="2"/>
  <c r="J136" i="2"/>
  <c r="J137" i="2"/>
  <c r="M128" i="2"/>
  <c r="K134" i="2"/>
  <c r="L134" i="2" s="1"/>
  <c r="I112" i="2"/>
  <c r="J124" i="2"/>
  <c r="J125" i="2"/>
  <c r="H142" i="2"/>
  <c r="K10" i="1"/>
  <c r="M90" i="2"/>
  <c r="M92" i="2" s="1"/>
  <c r="K120" i="2"/>
  <c r="K92" i="2"/>
  <c r="K106" i="2"/>
  <c r="I142" i="2"/>
  <c r="K17" i="1"/>
  <c r="N17" i="1"/>
  <c r="N55" i="1"/>
  <c r="J96" i="2"/>
  <c r="J97" i="2"/>
  <c r="H147" i="2"/>
  <c r="K11" i="1"/>
  <c r="K15" i="1"/>
  <c r="K12" i="1"/>
  <c r="M100" i="2"/>
  <c r="M119" i="2"/>
  <c r="M120" i="2" s="1"/>
  <c r="G149" i="2"/>
  <c r="H89" i="29" l="1"/>
  <c r="H51" i="29"/>
  <c r="G90" i="29"/>
  <c r="G60" i="1" s="1"/>
  <c r="G59" i="1"/>
  <c r="F90" i="29"/>
  <c r="F60" i="1" s="1"/>
  <c r="F59" i="1"/>
  <c r="J113" i="2"/>
  <c r="L97" i="2"/>
  <c r="K96" i="2"/>
  <c r="L96" i="2" s="1"/>
  <c r="K97" i="2"/>
  <c r="M97" i="2" s="1"/>
  <c r="J141" i="2"/>
  <c r="H149" i="2"/>
  <c r="K124" i="2"/>
  <c r="M124" i="2" s="1"/>
  <c r="K125" i="2"/>
  <c r="L125" i="2" s="1"/>
  <c r="J140" i="2"/>
  <c r="L124" i="2"/>
  <c r="K136" i="2"/>
  <c r="M136" i="2" s="1"/>
  <c r="K137" i="2"/>
  <c r="M137" i="2" s="1"/>
  <c r="M134" i="2"/>
  <c r="I147" i="2"/>
  <c r="I149" i="2" s="1"/>
  <c r="I114" i="2"/>
  <c r="K108" i="2"/>
  <c r="M108" i="2" s="1"/>
  <c r="K109" i="2"/>
  <c r="M109" i="2" s="1"/>
  <c r="M106" i="2"/>
  <c r="J112" i="2"/>
  <c r="L108" i="2"/>
  <c r="G21" i="1" l="1"/>
  <c r="F40" i="1"/>
  <c r="F21" i="1"/>
  <c r="H90" i="29"/>
  <c r="H60" i="1" s="1"/>
  <c r="H59" i="1"/>
  <c r="G40" i="1"/>
  <c r="L136" i="2"/>
  <c r="L137" i="2"/>
  <c r="L109" i="2"/>
  <c r="K141" i="2"/>
  <c r="M141" i="2" s="1"/>
  <c r="K140" i="2"/>
  <c r="K113" i="2"/>
  <c r="J148" i="2"/>
  <c r="L148" i="2" s="1"/>
  <c r="L113" i="2"/>
  <c r="J142" i="2"/>
  <c r="L140" i="2"/>
  <c r="M125" i="2"/>
  <c r="K112" i="2"/>
  <c r="L112" i="2" s="1"/>
  <c r="M96" i="2"/>
  <c r="J147" i="2"/>
  <c r="J114" i="2"/>
  <c r="H21" i="1" l="1"/>
  <c r="H40" i="1"/>
  <c r="M112" i="2"/>
  <c r="K148" i="2"/>
  <c r="M148" i="2" s="1"/>
  <c r="L141" i="2"/>
  <c r="L142" i="2"/>
  <c r="K142" i="2"/>
  <c r="M142" i="2" s="1"/>
  <c r="M140" i="2"/>
  <c r="M113" i="2"/>
  <c r="K147" i="2"/>
  <c r="K114" i="2"/>
  <c r="M114" i="2" s="1"/>
  <c r="J149" i="2"/>
  <c r="L149" i="2" s="1"/>
  <c r="L147" i="2"/>
  <c r="K149" i="2" l="1"/>
  <c r="M149" i="2" s="1"/>
  <c r="L114" i="2"/>
  <c r="M147" i="2"/>
  <c r="K85" i="5" l="1"/>
  <c r="I18" i="5" l="1"/>
  <c r="I49" i="5"/>
  <c r="K82" i="5"/>
  <c r="K102" i="5" s="1"/>
  <c r="L11" i="5"/>
  <c r="I53" i="5"/>
  <c r="L12" i="5"/>
  <c r="J49" i="5" l="1"/>
  <c r="J51" i="5" s="1"/>
  <c r="J39" i="5" s="1"/>
  <c r="K15" i="4"/>
  <c r="K22" i="29"/>
  <c r="K35" i="29" s="1"/>
  <c r="L18" i="5"/>
  <c r="I55" i="5"/>
  <c r="L53" i="5"/>
  <c r="I51" i="5"/>
  <c r="L49" i="5"/>
  <c r="K26" i="4" l="1"/>
  <c r="I39" i="5"/>
  <c r="J51" i="1"/>
  <c r="K49" i="5"/>
  <c r="I40" i="5"/>
  <c r="L55" i="5"/>
  <c r="M11" i="5"/>
  <c r="K53" i="5"/>
  <c r="K55" i="5" s="1"/>
  <c r="K40" i="5" s="1"/>
  <c r="K52" i="1" s="1"/>
  <c r="J53" i="5" l="1"/>
  <c r="M12" i="5"/>
  <c r="M18" i="5" s="1"/>
  <c r="J18" i="5"/>
  <c r="I52" i="1"/>
  <c r="L40" i="5"/>
  <c r="J13" i="1"/>
  <c r="K18" i="5"/>
  <c r="K51" i="5"/>
  <c r="M49" i="5"/>
  <c r="K14" i="1"/>
  <c r="I46" i="5"/>
  <c r="I51" i="1"/>
  <c r="I14" i="1" l="1"/>
  <c r="M14" i="1"/>
  <c r="M52" i="1"/>
  <c r="J55" i="5"/>
  <c r="M53" i="5"/>
  <c r="L51" i="5"/>
  <c r="K39" i="5"/>
  <c r="M51" i="5"/>
  <c r="I58" i="1"/>
  <c r="I13" i="1"/>
  <c r="M51" i="1"/>
  <c r="I20" i="1" l="1"/>
  <c r="M58" i="1"/>
  <c r="L39" i="5"/>
  <c r="L46" i="5" s="1"/>
  <c r="K51" i="1"/>
  <c r="K46" i="5"/>
  <c r="M39" i="5"/>
  <c r="J40" i="5"/>
  <c r="M55" i="5"/>
  <c r="J52" i="1" l="1"/>
  <c r="J46" i="5"/>
  <c r="M40" i="5"/>
  <c r="M46" i="5" s="1"/>
  <c r="M13" i="1"/>
  <c r="K13" i="1"/>
  <c r="K58" i="1"/>
  <c r="N51" i="1"/>
  <c r="N13" i="1"/>
  <c r="K20" i="1" l="1"/>
  <c r="M20" i="1"/>
  <c r="J14" i="1"/>
  <c r="J58" i="1"/>
  <c r="N52" i="1"/>
  <c r="N14" i="1"/>
  <c r="N58" i="1" l="1"/>
  <c r="J20" i="1"/>
  <c r="N20" i="1"/>
  <c r="K86" i="29" l="1"/>
  <c r="K48" i="29"/>
  <c r="K66" i="1"/>
  <c r="K87" i="29" l="1"/>
  <c r="K38" i="1"/>
  <c r="K30" i="1"/>
  <c r="K33" i="1"/>
  <c r="K34" i="1"/>
  <c r="K35" i="1"/>
  <c r="K36" i="1"/>
  <c r="K29" i="1"/>
  <c r="K32" i="1"/>
  <c r="K31" i="1"/>
  <c r="K37" i="1"/>
  <c r="K39" i="1" l="1"/>
  <c r="K88" i="29" l="1"/>
  <c r="K51" i="29" s="1"/>
  <c r="K89" i="29" l="1"/>
  <c r="K59" i="1" s="1"/>
  <c r="K90" i="29"/>
  <c r="K60" i="1" s="1"/>
  <c r="K21" i="1" l="1"/>
  <c r="K40" i="1"/>
  <c r="J48" i="29" l="1"/>
  <c r="J66" i="1"/>
  <c r="J86" i="29"/>
  <c r="I66" i="1"/>
  <c r="I48" i="29"/>
  <c r="J87" i="29" l="1"/>
  <c r="I36" i="1"/>
  <c r="I35" i="1"/>
  <c r="M33" i="1"/>
  <c r="I32" i="1"/>
  <c r="M38" i="1"/>
  <c r="M35" i="1"/>
  <c r="I31" i="1"/>
  <c r="M36" i="1"/>
  <c r="M32" i="1"/>
  <c r="M30" i="1"/>
  <c r="I29" i="1"/>
  <c r="I33" i="1"/>
  <c r="I34" i="1"/>
  <c r="M37" i="1"/>
  <c r="M29" i="1"/>
  <c r="I30" i="1"/>
  <c r="M31" i="1"/>
  <c r="I38" i="1"/>
  <c r="I37" i="1"/>
  <c r="M34" i="1"/>
  <c r="N37" i="1"/>
  <c r="N34" i="1"/>
  <c r="N36" i="1"/>
  <c r="N31" i="1"/>
  <c r="N32" i="1"/>
  <c r="N35" i="1"/>
  <c r="N30" i="1"/>
  <c r="N38" i="1"/>
  <c r="N33" i="1"/>
  <c r="N29" i="1"/>
  <c r="I86" i="29"/>
  <c r="J32" i="1"/>
  <c r="J33" i="1"/>
  <c r="J34" i="1"/>
  <c r="J30" i="1"/>
  <c r="J37" i="1"/>
  <c r="J31" i="1"/>
  <c r="J35" i="1"/>
  <c r="J29" i="1"/>
  <c r="J38" i="1"/>
  <c r="J36" i="1"/>
  <c r="I87" i="29" l="1"/>
  <c r="J88" i="29"/>
  <c r="N39" i="1"/>
  <c r="J39" i="1"/>
  <c r="M39" i="1"/>
  <c r="I39" i="1"/>
  <c r="I88" i="29" l="1"/>
  <c r="I89" i="29" l="1"/>
  <c r="I90" i="29" s="1"/>
  <c r="I51" i="29"/>
  <c r="J89" i="29"/>
  <c r="J51" i="29"/>
  <c r="I59" i="1" l="1"/>
  <c r="J90" i="29"/>
  <c r="J60" i="1" s="1"/>
  <c r="J59" i="1"/>
  <c r="I60" i="1"/>
  <c r="I21" i="1" l="1"/>
  <c r="M59" i="1"/>
  <c r="N40" i="1"/>
  <c r="N21" i="1"/>
  <c r="M21" i="1"/>
  <c r="M40" i="1"/>
  <c r="N59" i="1"/>
  <c r="I40" i="1"/>
  <c r="J21" i="1"/>
  <c r="J40" i="1"/>
  <c r="M60" i="1"/>
  <c r="N60" i="1"/>
  <c r="I14" i="4" l="1"/>
  <c r="I26" i="4" l="1"/>
  <c r="I28" i="4" s="1"/>
  <c r="I13" i="11" l="1"/>
  <c r="I64" i="4" l="1"/>
  <c r="I66" i="4" s="1"/>
  <c r="I68" i="4" s="1"/>
  <c r="K69" i="29"/>
  <c r="K71" i="29" s="1"/>
  <c r="K75" i="29" s="1"/>
  <c r="I69" i="29"/>
  <c r="I71" i="29" s="1"/>
  <c r="I75" i="29" s="1"/>
  <c r="H69" i="29"/>
  <c r="H71" i="29" s="1"/>
  <c r="H75" i="29" s="1"/>
  <c r="G69" i="29"/>
  <c r="G71" i="29" s="1"/>
  <c r="G75" i="29" s="1"/>
  <c r="F69" i="29"/>
  <c r="F71" i="29" s="1"/>
  <c r="F75" i="29" s="1"/>
  <c r="E69" i="29"/>
  <c r="E71" i="29" s="1"/>
  <c r="E75" i="29" s="1"/>
  <c r="D69" i="29"/>
  <c r="D71" i="29" s="1"/>
  <c r="D75" i="29" s="1"/>
  <c r="J69" i="29"/>
  <c r="J71" i="29" s="1"/>
  <c r="J75" i="29" s="1"/>
  <c r="D35" i="29" l="1"/>
  <c r="D38" i="29" s="1"/>
  <c r="D42" i="29" s="1"/>
  <c r="D80" i="29" s="1"/>
  <c r="D50" i="29" l="1"/>
  <c r="D52" i="29" s="1"/>
  <c r="D54" i="29" s="1"/>
  <c r="D82" i="29" s="1"/>
  <c r="D61" i="1" s="1"/>
  <c r="D22" i="1" s="1"/>
  <c r="D23" i="1" s="1"/>
  <c r="D84" i="29" l="1"/>
  <c r="D62" i="1" s="1"/>
  <c r="D41" i="1" s="1"/>
  <c r="D42" i="1" s="1"/>
  <c r="D63" i="1"/>
  <c r="H35" i="29" l="1"/>
  <c r="H38" i="29" s="1"/>
  <c r="H50" i="29" l="1"/>
  <c r="H52" i="29" s="1"/>
  <c r="H54" i="29" s="1"/>
  <c r="H82" i="29" s="1"/>
  <c r="H61" i="1" s="1"/>
  <c r="H42" i="29"/>
  <c r="H80" i="29" s="1"/>
  <c r="F35" i="29"/>
  <c r="F38" i="29" s="1"/>
  <c r="H84" i="29" l="1"/>
  <c r="H62" i="1" s="1"/>
  <c r="H41" i="1" s="1"/>
  <c r="H42" i="1" s="1"/>
  <c r="F42" i="29"/>
  <c r="F80" i="29" s="1"/>
  <c r="F50" i="29"/>
  <c r="F52" i="29" s="1"/>
  <c r="F54" i="29" s="1"/>
  <c r="F82" i="29" s="1"/>
  <c r="F61" i="1" s="1"/>
  <c r="H22" i="1"/>
  <c r="H23" i="1" s="1"/>
  <c r="H63" i="1" l="1"/>
  <c r="F22" i="1"/>
  <c r="F23" i="1" s="1"/>
  <c r="F84" i="29"/>
  <c r="F62" i="1" s="1"/>
  <c r="F63" i="1" s="1"/>
  <c r="F41" i="1" l="1"/>
  <c r="F42" i="1" s="1"/>
  <c r="G35" i="29" l="1"/>
  <c r="G38" i="29" s="1"/>
  <c r="E35" i="29" l="1"/>
  <c r="E38" i="29" s="1"/>
  <c r="G50" i="29"/>
  <c r="G52" i="29" s="1"/>
  <c r="G54" i="29" s="1"/>
  <c r="G82" i="29" s="1"/>
  <c r="G61" i="1" s="1"/>
  <c r="G42" i="29"/>
  <c r="G80" i="29" s="1"/>
  <c r="G84" i="29" l="1"/>
  <c r="G62" i="1" s="1"/>
  <c r="G41" i="1" s="1"/>
  <c r="G42" i="1" s="1"/>
  <c r="G22" i="1"/>
  <c r="G23" i="1" s="1"/>
  <c r="E50" i="29"/>
  <c r="E52" i="29" s="1"/>
  <c r="E54" i="29" s="1"/>
  <c r="E82" i="29" s="1"/>
  <c r="E61" i="1" s="1"/>
  <c r="E42" i="29"/>
  <c r="E80" i="29" s="1"/>
  <c r="G63" i="1" l="1"/>
  <c r="E84" i="29"/>
  <c r="E62" i="1" s="1"/>
  <c r="E22" i="1"/>
  <c r="E23" i="1" s="1"/>
  <c r="E41" i="1"/>
  <c r="E42" i="1" s="1"/>
  <c r="E63" i="1"/>
  <c r="J38" i="29" l="1"/>
  <c r="J50" i="29" l="1"/>
  <c r="J52" i="29" s="1"/>
  <c r="J54" i="29" s="1"/>
  <c r="J82" i="29" s="1"/>
  <c r="J61" i="1" s="1"/>
  <c r="J42" i="29"/>
  <c r="J80" i="29" s="1"/>
  <c r="I38" i="29"/>
  <c r="J84" i="29" l="1"/>
  <c r="J62" i="1" s="1"/>
  <c r="J41" i="1" s="1"/>
  <c r="J42" i="1" s="1"/>
  <c r="I50" i="29"/>
  <c r="I52" i="29" s="1"/>
  <c r="I54" i="29" s="1"/>
  <c r="I82" i="29" s="1"/>
  <c r="I61" i="1" s="1"/>
  <c r="I42" i="29"/>
  <c r="I80" i="29" s="1"/>
  <c r="J22" i="1"/>
  <c r="J23" i="1" s="1"/>
  <c r="J63" i="1" l="1"/>
  <c r="I84" i="29"/>
  <c r="I62" i="1" s="1"/>
  <c r="M41" i="1" s="1"/>
  <c r="M42" i="1" s="1"/>
  <c r="I22" i="1"/>
  <c r="I23" i="1" s="1"/>
  <c r="M22" i="1"/>
  <c r="M23" i="1" s="1"/>
  <c r="M61" i="1"/>
  <c r="K38" i="29"/>
  <c r="I41" i="1" l="1"/>
  <c r="I42" i="1" s="1"/>
  <c r="I63" i="1"/>
  <c r="M62" i="1"/>
  <c r="M63" i="1" s="1"/>
  <c r="K50" i="29"/>
  <c r="K52" i="29" s="1"/>
  <c r="K54" i="29" s="1"/>
  <c r="K82" i="29" s="1"/>
  <c r="K61" i="1" s="1"/>
  <c r="K42" i="29"/>
  <c r="K80" i="29" s="1"/>
  <c r="K84" i="29" l="1"/>
  <c r="K62" i="1" s="1"/>
  <c r="N62" i="1" s="1"/>
  <c r="K22" i="1"/>
  <c r="K23" i="1" s="1"/>
  <c r="N61" i="1"/>
  <c r="N22" i="1"/>
  <c r="N23" i="1" s="1"/>
  <c r="N63" i="1" l="1"/>
  <c r="K41" i="1"/>
  <c r="K42" i="1" s="1"/>
  <c r="N41" i="1"/>
  <c r="N42" i="1" s="1"/>
  <c r="K63" i="1"/>
</calcChain>
</file>

<file path=xl/sharedStrings.xml><?xml version="1.0" encoding="utf-8"?>
<sst xmlns="http://schemas.openxmlformats.org/spreadsheetml/2006/main" count="1482" uniqueCount="655">
  <si>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</si>
  <si>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</si>
  <si>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</si>
  <si>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</si>
  <si>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</si>
  <si>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</si>
  <si>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</si>
  <si>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</si>
  <si>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</si>
  <si>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</si>
  <si>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</si>
  <si>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</si>
  <si>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</si>
  <si>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</si>
  <si>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</si>
  <si>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</si>
  <si>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</si>
  <si>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</si>
  <si>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</si>
  <si>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</si>
  <si>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</si>
  <si>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</si>
  <si>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</si>
  <si>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</si>
  <si>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</si>
  <si>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</si>
  <si>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</si>
  <si>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</si>
  <si>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</si>
  <si>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</si>
  <si>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</si>
  <si>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</si>
  <si>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</si>
  <si>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</si>
  <si>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</si>
  <si>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</si>
  <si>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</si>
  <si>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</si>
  <si>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</si>
  <si>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</si>
  <si>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</si>
  <si>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</si>
  <si>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</si>
  <si>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</si>
  <si>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</si>
  <si>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</si>
  <si>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</si>
  <si>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</si>
  <si>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</si>
  <si>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</si>
  <si>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</si>
  <si>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</si>
  <si>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</si>
  <si>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</si>
  <si>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</si>
  <si>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</si>
  <si>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</si>
  <si>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</si>
  <si>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</si>
  <si>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</si>
  <si>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</si>
  <si>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</si>
  <si>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</si>
  <si>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</si>
  <si>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</si>
  <si>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</si>
  <si>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</si>
  <si>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</si>
  <si>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</si>
  <si>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</si>
  <si>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</si>
  <si>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</si>
  <si>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</si>
  <si>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</si>
  <si>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</si>
  <si>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</si>
  <si>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</si>
  <si>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</si>
  <si>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</si>
  <si>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</si>
  <si>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</si>
  <si>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</si>
  <si>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</si>
  <si>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</si>
  <si>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</si>
  <si>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</si>
  <si>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</si>
  <si>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</si>
  <si>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</si>
  <si>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</si>
  <si>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</si>
  <si>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</si>
  <si>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</si>
  <si>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</si>
  <si>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</si>
  <si>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</si>
  <si>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</si>
  <si>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</si>
  <si>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</si>
  <si>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</si>
  <si>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</si>
  <si>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</si>
  <si>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</si>
  <si>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</si>
  <si>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</si>
  <si>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</si>
  <si>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</si>
  <si>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</si>
  <si>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</si>
  <si>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</si>
  <si>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</si>
  <si>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</si>
  <si>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</si>
  <si>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</si>
  <si>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</si>
  <si>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</si>
  <si>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</si>
  <si>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</si>
  <si>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</si>
  <si>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</si>
  <si>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</si>
  <si>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</si>
  <si>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</si>
  <si>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</si>
  <si>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</si>
  <si>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</si>
  <si>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</si>
  <si>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</si>
  <si>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</si>
  <si>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</si>
  <si>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</si>
  <si>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</si>
  <si>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</si>
  <si>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</si>
  <si>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</si>
  <si>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</si>
  <si>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</si>
  <si>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</si>
  <si>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</si>
  <si>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</si>
  <si>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</si>
  <si>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</si>
  <si>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</si>
  <si>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</si>
  <si>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</si>
  <si>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</si>
  <si>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</si>
  <si>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</si>
  <si>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</si>
  <si>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</si>
  <si>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</si>
  <si>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</si>
  <si>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</si>
  <si>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</si>
  <si>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</si>
  <si>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</si>
  <si>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</si>
  <si>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</si>
  <si>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</si>
  <si>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</si>
  <si>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</si>
  <si>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</si>
  <si>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</si>
  <si>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</si>
  <si>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</si>
  <si>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</si>
  <si>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</si>
  <si>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</si>
  <si>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</si>
  <si>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</si>
  <si>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</si>
  <si>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</si>
  <si>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</si>
  <si>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</si>
  <si>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</si>
  <si>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</si>
  <si>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</si>
  <si>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</si>
  <si>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</si>
  <si>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</si>
  <si>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</si>
  <si>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</si>
  <si>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</si>
  <si>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</si>
  <si>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</si>
  <si>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</si>
  <si>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</si>
  <si>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</si>
  <si>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</si>
  <si>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</si>
  <si>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</si>
  <si>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</si>
  <si>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</si>
  <si>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</si>
  <si>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</si>
  <si>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</si>
  <si>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</si>
  <si>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</si>
  <si>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</si>
  <si>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</si>
  <si>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</si>
  <si>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</si>
  <si>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</si>
  <si>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</si>
  <si>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</si>
  <si>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</si>
  <si>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</si>
  <si>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</si>
  <si>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</si>
  <si>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</si>
  <si>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</si>
  <si>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</si>
  <si>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</si>
  <si>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</si>
  <si>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</si>
  <si>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</si>
  <si>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</si>
  <si>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</si>
  <si>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</si>
  <si>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</si>
  <si>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</si>
  <si>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</si>
  <si>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</si>
  <si>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</si>
  <si>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</si>
  <si>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</si>
  <si>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</si>
  <si>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</si>
  <si>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</si>
  <si>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</si>
  <si>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</si>
  <si>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</si>
  <si>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</si>
  <si>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</si>
  <si>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</si>
  <si>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</si>
  <si>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</si>
  <si>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</si>
  <si>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</si>
  <si>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</si>
  <si>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</si>
  <si>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</si>
  <si>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</si>
  <si>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</si>
  <si>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</si>
  <si>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</si>
  <si>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</si>
  <si>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</si>
  <si>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</si>
  <si>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</si>
  <si>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</si>
  <si>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</si>
  <si>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</si>
  <si>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</si>
  <si>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</si>
  <si>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</si>
  <si>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</si>
  <si>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</si>
  <si>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</si>
  <si>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</si>
  <si>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</si>
  <si>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</si>
  <si>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</si>
  <si>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</si>
  <si>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</si>
  <si>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</si>
  <si>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</si>
  <si>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</si>
  <si>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</si>
  <si>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</si>
  <si>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</si>
  <si>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</si>
  <si>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</si>
  <si>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</si>
  <si>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</si>
  <si>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</si>
  <si>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</si>
  <si>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</si>
  <si>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</si>
  <si>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</si>
  <si>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</si>
  <si>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</si>
  <si>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</si>
  <si>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</si>
  <si>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</si>
  <si>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</si>
  <si>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</si>
  <si>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</si>
  <si>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</si>
  <si>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</si>
  <si>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</si>
  <si>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</si>
  <si>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</si>
  <si>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</si>
  <si>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</si>
  <si>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</si>
  <si>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</si>
  <si>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</si>
  <si>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</si>
  <si>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</si>
  <si>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</si>
  <si>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</si>
  <si>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</si>
  <si>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</si>
  <si>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</si>
  <si>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</si>
  <si>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</si>
  <si>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</si>
  <si>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</si>
  <si>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</si>
  <si>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</si>
  <si>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</si>
  <si>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</si>
  <si>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</si>
  <si>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</si>
  <si>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</si>
  <si>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</si>
  <si>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</si>
  <si>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</si>
  <si>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</si>
  <si>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</si>
  <si>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</si>
  <si>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</si>
  <si>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</si>
  <si>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</si>
  <si>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</si>
  <si>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</si>
  <si>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</si>
  <si>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</si>
  <si>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</si>
  <si>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</si>
  <si>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</si>
  <si>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</si>
  <si>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</si>
  <si>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</si>
  <si>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</si>
  <si>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</si>
  <si>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</si>
  <si>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</si>
  <si>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</si>
  <si>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</si>
  <si>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</si>
  <si>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</si>
  <si>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</si>
  <si>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</si>
  <si>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</si>
  <si>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</si>
  <si>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</si>
  <si>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</si>
  <si>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</si>
  <si>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</si>
  <si>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</si>
  <si>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</si>
  <si>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</si>
  <si>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</si>
  <si>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</si>
  <si>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</si>
  <si>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</si>
  <si>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</si>
  <si>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</si>
  <si>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</si>
  <si>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</si>
  <si>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</si>
  <si>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</si>
  <si>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</si>
  <si>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</si>
  <si>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</si>
  <si>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</si>
  <si>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</si>
  <si>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</si>
  <si>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</si>
  <si>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</si>
  <si>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</si>
  <si>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</si>
  <si>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</si>
  <si>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</si>
  <si>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</si>
  <si>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</si>
  <si>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</si>
  <si>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</si>
  <si>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</si>
  <si>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</si>
  <si>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</si>
  <si>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</si>
  <si>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</si>
  <si>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</si>
  <si>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</si>
  <si>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</si>
  <si>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</si>
  <si>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</si>
  <si>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</si>
  <si>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</si>
  <si>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</si>
  <si>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</si>
  <si>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</si>
  <si>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</si>
  <si>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</si>
  <si>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</si>
  <si>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</si>
  <si>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</si>
  <si>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</si>
  <si>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</si>
  <si>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</si>
  <si>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</si>
  <si>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</si>
  <si>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</si>
  <si>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</si>
  <si>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</si>
  <si>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</si>
  <si>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</si>
  <si>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</si>
  <si>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</si>
  <si>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</si>
  <si>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</si>
  <si>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</si>
  <si>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</si>
  <si>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</si>
  <si>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</si>
  <si>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</si>
  <si>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</si>
  <si>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</si>
  <si>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</si>
  <si>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</si>
  <si>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</si>
  <si>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</si>
  <si>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</si>
  <si>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</si>
  <si>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</si>
  <si>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</si>
  <si>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</si>
  <si>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</si>
  <si>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</si>
  <si>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</si>
  <si>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</si>
  <si>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</si>
  <si>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</si>
  <si>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</si>
  <si>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</si>
  <si>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</si>
  <si>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</si>
  <si>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</si>
  <si>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</si>
  <si>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</si>
  <si>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</si>
  <si>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</si>
  <si>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</si>
  <si>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</si>
  <si>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</si>
  <si>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</si>
  <si>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</si>
  <si>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</si>
  <si>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</si>
  <si>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</si>
  <si>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</si>
  <si>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</si>
  <si>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</si>
  <si>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</si>
  <si>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</si>
  <si>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</si>
  <si>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</si>
  <si>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</si>
  <si>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</si>
  <si>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</si>
  <si>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</si>
  <si>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</si>
  <si>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</si>
  <si>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</si>
  <si>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</si>
  <si>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</si>
  <si>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</si>
  <si>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</si>
  <si>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</si>
  <si>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</si>
  <si>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</si>
  <si>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</si>
  <si>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</si>
  <si>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</si>
  <si>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</si>
  <si>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</si>
  <si>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</si>
  <si>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</si>
  <si>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</si>
  <si>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</si>
  <si>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</si>
  <si>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</si>
  <si>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</si>
  <si>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</si>
  <si>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</si>
  <si>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</si>
  <si>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</si>
  <si>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</si>
  <si>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</si>
  <si>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</si>
  <si>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</si>
  <si>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</si>
  <si>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</si>
  <si>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</si>
  <si>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</si>
  <si>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</si>
  <si>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</si>
  <si>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</si>
  <si>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</si>
  <si>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</si>
  <si>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</si>
  <si>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</si>
  <si>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</si>
  <si>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</si>
  <si>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</si>
  <si>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</si>
  <si>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</si>
  <si>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</si>
  <si>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</si>
  <si>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</si>
  <si>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</si>
  <si>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</si>
  <si>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</si>
  <si>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</si>
  <si>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</si>
  <si>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</si>
  <si>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</si>
  <si>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</si>
  <si>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</si>
  <si>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</si>
  <si>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</si>
  <si>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</si>
  <si>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</si>
  <si>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</si>
  <si>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</si>
  <si>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</si>
  <si>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</si>
  <si>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</si>
  <si>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</si>
  <si>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</si>
  <si>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</si>
  <si>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</si>
  <si>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</si>
  <si>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</si>
  <si>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</si>
  <si>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</si>
  <si>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</si>
  <si>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</si>
  <si>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</si>
  <si>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</si>
  <si>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</si>
  <si>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</si>
  <si>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</si>
  <si>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</si>
  <si>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</si>
  <si>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</si>
  <si>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</si>
  <si>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</si>
  <si>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</si>
  <si>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</si>
  <si>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</si>
  <si>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</si>
  <si>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</si>
  <si>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</si>
  <si>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</si>
  <si>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</si>
  <si>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</si>
  <si>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</si>
  <si>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</si>
  <si>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</si>
  <si>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</si>
  <si>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</si>
  <si>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</si>
  <si>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</si>
  <si>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</si>
  <si>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</si>
  <si>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</si>
  <si>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</si>
  <si>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</si>
  <si>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</si>
  <si>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</si>
  <si>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</si>
  <si>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</si>
  <si>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</si>
  <si>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</si>
  <si>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</si>
  <si>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</si>
  <si>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</si>
  <si>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</si>
  <si>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</si>
  <si>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</si>
  <si>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</si>
  <si>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</si>
  <si>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</si>
  <si>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</si>
  <si>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</si>
  <si>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</si>
  <si>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</si>
  <si>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</si>
  <si>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</si>
  <si>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</si>
  <si>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</si>
  <si>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</si>
  <si>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</si>
  <si>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</si>
  <si>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</si>
  <si>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</si>
  <si>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</si>
  <si>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</si>
  <si>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</si>
  <si>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</si>
  <si>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</si>
  <si>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</si>
  <si>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</si>
  <si>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</si>
  <si>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</si>
  <si>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</si>
  <si>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SOLR and bad debt claims not in P&amp;L</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</si>
  <si>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</si>
  <si>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</si>
  <si>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</si>
  <si>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</si>
  <si>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</si>
  <si>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</si>
  <si>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</si>
  <si>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</si>
  <si>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</si>
  <si>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</si>
  <si>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</si>
  <si>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</si>
  <si>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</si>
  <si>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</si>
  <si>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</si>
  <si>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</si>
  <si>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</si>
  <si>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</si>
  <si>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</si>
  <si>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 xml:space="preserve">The 2020 actuals have been updated following final Ofgem approval of Interruptions related quality of service performance in October 2020. This has increased the Output Incentive in 2020 by +£0.3m. </t>
  </si>
  <si>
    <t>Formula in cell E37 has been corrected</t>
  </si>
  <si>
    <t xml:space="preserve"> Cell M30 -formula has been removed.</t>
  </si>
  <si>
    <t>Metering equipment and services</t>
  </si>
  <si>
    <t>Directly Remunerated Services (excluding metering)</t>
  </si>
  <si>
    <t>RPI true up</t>
  </si>
  <si>
    <t>DPCR5 legacy revenue adjustment</t>
  </si>
  <si>
    <t>Revenue profiling adjustment</t>
  </si>
  <si>
    <t>Enduring value adjustments</t>
  </si>
  <si>
    <t>WPD remain in discussion with Ofgem regarding the 2019/20 and 2020/21 SECV incentive awards. As a result Actuals for these years reflect a forecast award based on the prior 3 year average performance.</t>
  </si>
  <si>
    <t>R5</t>
  </si>
  <si>
    <t>May 2021 Publication</t>
  </si>
  <si>
    <t>Updated cells E25 and F25 following confirmation of Financial Year Average RPI (RPIt) and Year end RPI indices following confirmation from Ofgem (Charis Andreadis) on the 21/05/2021.
Updated cells H39 to J39 following confirmation of the May 2021 publication associated to the M3 New Forecasts RPI following confirmation from Ofgem (Charis Andreadis) on the 21/05/2021. Additionally the associated hyperlink in K39 has been updated accordingly.</t>
  </si>
  <si>
    <t>A prior year adjustment to 2020 have been applied within the R5-Output incentive within cell H12 following final Ofgem approval of Interruptions related quality of service performance in October 2020. This has increased the Output Incentive in 2020 by +£0.3m</t>
  </si>
  <si>
    <t>Prior year adjustments have been applied within the R7-Financing tab, cells D31 to H31, to reflect additional issuance expenses removed.</t>
  </si>
  <si>
    <t>Prior year adjustments have been applied within the R7-Financing tab, cells M476 to Q476, to reflect additional issuance expenses removed.</t>
  </si>
  <si>
    <t>A prior year adjustment to the R8a-Net Debt input table has been applied revising cell W293 from £6.6m to £5.8m</t>
  </si>
  <si>
    <t>Prior year adjustments have been applied with small movements (&lt;0.1m), plus changes in rows 86 and 88 to reflect impact of the above, and changes to reflect the inclusion of data from the most recent CT600 submissions, and the tax allowance per the latest PCFM, as required.</t>
  </si>
  <si>
    <t>R10</t>
  </si>
  <si>
    <t/>
  </si>
  <si>
    <t>Actuals</t>
  </si>
  <si>
    <t>Forecast</t>
  </si>
  <si>
    <t>OK</t>
  </si>
  <si>
    <t>Cumulative to 2021</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</si>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</sst>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 numFmtId="353" formatCode="_-* #,##0.0_-;\-* #,##0.0_-;_-* &quot;-&quot;?_-;_-@_-"/>
    <numFmt numFmtId="354" formatCode="_-* #,##0_-;\-* #,##0_-;_-* &quot;-&quot;?_-;_-@_-"/>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38">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right style="medium">
        <color rgb="FF808080"/>
      </right>
      <top/>
      <bottom style="medium">
        <color indexed="64"/>
      </bottom>
      <diagonal/>
    </border>
    <border>
      <left/>
      <right style="medium">
        <color indexed="64"/>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04">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349" fontId="5" fillId="38" borderId="77" xfId="77" applyNumberFormat="1" applyFont="1" applyFill="1" applyBorder="1" applyProtection="1"/>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164" fontId="0" fillId="0" borderId="0" xfId="0" applyNumberFormat="1" applyAlignment="1">
      <alignment horizontal="left" vertical="top"/>
    </xf>
    <xf numFmtId="353" fontId="0" fillId="0" borderId="0" xfId="0" applyNumberFormat="1" applyAlignment="1">
      <alignment horizontal="left" vertical="top"/>
    </xf>
    <xf numFmtId="354" fontId="0" fillId="0" borderId="0" xfId="0" applyNumberFormat="1" applyAlignment="1">
      <alignment horizontal="left" vertical="top"/>
    </xf>
    <xf numFmtId="10" fontId="2" fillId="3" borderId="136" xfId="0" applyNumberFormat="1" applyFont="1" applyFill="1" applyBorder="1" applyAlignment="1">
      <alignment horizontal="right" vertical="center"/>
    </xf>
    <xf numFmtId="10" fontId="2" fillId="3" borderId="137" xfId="0" applyNumberFormat="1" applyFont="1" applyFill="1" applyBorder="1" applyAlignment="1">
      <alignment horizontal="right" vertical="center"/>
    </xf>
    <xf numFmtId="173" fontId="5" fillId="52" borderId="68" xfId="7" applyNumberFormat="1" applyFont="1" applyFill="1" applyBorder="1" applyAlignment="1">
      <alignment horizontal="center"/>
    </xf>
    <xf numFmtId="14" fontId="5" fillId="3" borderId="135" xfId="2" applyNumberFormat="1" applyFont="1" applyFill="1" applyBorder="1"/>
    <xf numFmtId="0" fontId="5" fillId="3" borderId="135" xfId="2" applyNumberFormat="1" applyFont="1" applyFill="1" applyBorder="1" applyAlignment="1">
      <alignment horizontal="center" vertical="center"/>
    </xf>
    <xf numFmtId="172" fontId="5" fillId="3" borderId="135" xfId="2" applyNumberFormat="1" applyFont="1" applyFill="1" applyBorder="1"/>
    <xf numFmtId="0" fontId="0" fillId="3" borderId="0" xfId="0" applyFont="1" applyFill="1" applyAlignment="1">
      <alignment horizontal="left" vertical="top" indent="1"/>
    </xf>
    <xf numFmtId="175" fontId="5" fillId="36" borderId="135" xfId="75" applyNumberFormat="1" applyFont="1" applyFill="1" applyBorder="1" applyProtection="1"/>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35"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xf numFmtId="173" fontId="0" fillId="52" borderId="64" xfId="0" applyNumberFormat="1" applyFill="1" applyBorder="1" applyAlignment="1">
      <alignment horizontal="right" vertical="top"/>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102">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87466/Forecomp_May_2021.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70" zoomScaleNormal="70" zoomScaleSheetLayoutView="90" workbookViewId="0">
      <pane ySplit="3" topLeftCell="A4" activePane="bottomLeft" state="frozen"/>
      <selection activeCell="A3" sqref="A3"/>
      <selection pane="bottomLeft" activeCell="A3" sqref="A3"/>
    </sheetView>
  </sheetViews>
  <sheetFormatPr defaultRowHeight="12.6"/>
  <cols>
    <col min="1" max="1" width="8.36328125" customWidth="1"/>
    <col min="2" max="2" width="27.08984375" customWidth="1"/>
    <col min="3" max="6" width="14.08984375" customWidth="1"/>
    <col min="7" max="7" width="14.08984375" style="213" customWidth="1"/>
    <col min="8" max="11" width="14.08984375" customWidth="1"/>
  </cols>
  <sheetData>
    <row r="1" spans="1:11" s="31" customFormat="1" ht="21">
      <c r="A1" s="901" t="s">
        <v>307</v>
      </c>
      <c r="B1" s="902"/>
      <c r="C1" s="902"/>
      <c r="D1" s="903"/>
      <c r="E1" s="904"/>
      <c r="F1" s="902"/>
      <c r="G1" s="905"/>
      <c r="H1" s="902"/>
      <c r="I1" s="902"/>
      <c r="J1" s="902"/>
      <c r="K1" s="902"/>
    </row>
    <row r="2" spans="1:11" s="31" customFormat="1" ht="21">
      <c r="A2" s="901" t="str">
        <f>'RFPR cover'!C5</f>
        <v>WPD-SWALES</v>
      </c>
      <c r="B2" s="902"/>
      <c r="C2" s="902"/>
      <c r="D2" s="904"/>
      <c r="E2" s="904"/>
      <c r="F2" s="902"/>
      <c r="G2" s="905"/>
      <c r="H2" s="902"/>
      <c r="I2" s="902"/>
      <c r="J2" s="902"/>
      <c r="K2" s="902"/>
    </row>
    <row r="3" spans="1:11" s="31" customFormat="1" ht="21">
      <c r="A3" s="901">
        <f>'RFPR cover'!C7</f>
        <v>2021</v>
      </c>
      <c r="B3" s="902"/>
      <c r="C3" s="902"/>
      <c r="D3" s="904"/>
      <c r="E3" s="904"/>
      <c r="F3" s="902"/>
      <c r="G3" s="905"/>
      <c r="H3" s="902"/>
      <c r="I3" s="902"/>
      <c r="J3" s="902"/>
      <c r="K3" s="902"/>
    </row>
    <row r="4" spans="1:11" ht="13.8">
      <c r="A4" s="30"/>
      <c r="B4" s="30"/>
      <c r="C4" s="30"/>
      <c r="D4" s="30"/>
      <c r="E4" s="30"/>
      <c r="H4" s="10"/>
      <c r="I4" s="10"/>
      <c r="J4" s="10"/>
    </row>
    <row r="5" spans="1:11" ht="13.5" customHeight="1">
      <c r="A5" s="30"/>
      <c r="B5" s="77" t="s">
        <v>62</v>
      </c>
      <c r="C5" s="45" t="s">
        <v>248</v>
      </c>
      <c r="D5" s="339"/>
      <c r="E5" s="19"/>
      <c r="F5" s="11"/>
      <c r="G5" s="547" t="s">
        <v>0</v>
      </c>
      <c r="H5" s="10"/>
      <c r="I5" s="10"/>
      <c r="J5" s="10"/>
    </row>
    <row r="6" spans="1:11" ht="13.5" customHeight="1">
      <c r="A6" s="30"/>
      <c r="B6" s="77" t="s">
        <v>189</v>
      </c>
      <c r="C6" s="82" t="str">
        <f>INDEX(Data!$A$73:$A$100,MATCH($C$5,Data!$B$73:$B$100,0),0)&amp;"1"</f>
        <v>ED1</v>
      </c>
      <c r="D6" s="19"/>
      <c r="E6" s="19"/>
      <c r="F6" s="9"/>
      <c r="G6" s="547" t="s">
        <v>1</v>
      </c>
      <c r="H6" s="10"/>
      <c r="I6" s="10"/>
      <c r="J6" s="10"/>
    </row>
    <row r="7" spans="1:11" ht="25.8">
      <c r="A7" s="30"/>
      <c r="B7" s="78" t="s">
        <v>188</v>
      </c>
      <c r="C7" s="83">
        <v>2021</v>
      </c>
      <c r="D7" s="18"/>
      <c r="E7" s="19"/>
      <c r="F7" s="8"/>
      <c r="G7" s="548" t="s">
        <v>2</v>
      </c>
      <c r="H7" s="10"/>
      <c r="I7" s="10"/>
      <c r="J7" s="10"/>
    </row>
    <row r="8" spans="1:11" ht="13.8">
      <c r="A8" s="30"/>
      <c r="B8" s="77" t="s">
        <v>37</v>
      </c>
      <c r="C8" s="84">
        <v>1</v>
      </c>
      <c r="D8" s="19"/>
      <c r="E8" s="18"/>
      <c r="F8" s="7"/>
      <c r="G8" s="547" t="s">
        <v>3</v>
      </c>
      <c r="H8" s="10"/>
      <c r="I8" s="10"/>
      <c r="J8" s="10"/>
    </row>
    <row r="9" spans="1:11" ht="13.8">
      <c r="A9" s="30"/>
      <c r="B9" s="77" t="s">
        <v>38</v>
      </c>
      <c r="C9" s="85">
        <v>44407</v>
      </c>
      <c r="D9" s="18"/>
      <c r="E9" s="18"/>
      <c r="F9" s="6"/>
      <c r="G9" s="547" t="s">
        <v>4</v>
      </c>
      <c r="H9" s="10"/>
      <c r="I9" s="10"/>
      <c r="J9" s="10"/>
    </row>
    <row r="10" spans="1:11" ht="13.8">
      <c r="A10" s="30"/>
      <c r="B10" s="77" t="s">
        <v>70</v>
      </c>
      <c r="C10" s="86">
        <f>SUMIF(Data!$B$72:$B$100,C5,Data!$C$72:$C$100)</f>
        <v>6.4000000000000001E-2</v>
      </c>
      <c r="D10" s="18"/>
      <c r="E10" s="18"/>
      <c r="F10" s="5"/>
      <c r="G10" s="547" t="s">
        <v>5</v>
      </c>
      <c r="H10" s="10"/>
      <c r="I10" s="10"/>
      <c r="J10" s="10"/>
    </row>
    <row r="11" spans="1:11" ht="13.8">
      <c r="A11" s="30"/>
      <c r="B11" s="77" t="s">
        <v>71</v>
      </c>
      <c r="C11" s="87">
        <f>SUMIF(Data!$B$72:$B$100,C5,Data!$D$72:$D$100)</f>
        <v>0.7</v>
      </c>
      <c r="D11" s="19"/>
      <c r="E11" s="19"/>
      <c r="F11" s="4"/>
      <c r="G11" s="547" t="s">
        <v>6</v>
      </c>
      <c r="H11" s="10"/>
      <c r="I11" s="10"/>
      <c r="J11" s="10"/>
    </row>
    <row r="12" spans="1:11">
      <c r="A12" s="30"/>
      <c r="B12" s="77" t="s">
        <v>115</v>
      </c>
      <c r="C12" s="86">
        <f>SUMIF(Data!$B$72:$B$100,C5,Data!$E$72:$E$100)</f>
        <v>0.65</v>
      </c>
      <c r="D12" s="18"/>
      <c r="E12" s="18"/>
      <c r="F12" s="18"/>
      <c r="G12" s="549"/>
    </row>
    <row r="13" spans="1:11">
      <c r="A13" s="30"/>
      <c r="B13" s="77" t="s">
        <v>509</v>
      </c>
      <c r="C13" s="82">
        <f>INDEX(Data!$G$73:$G$100,MATCH($C$5,Data!$B$73:$B$100,0),0)</f>
        <v>2016</v>
      </c>
      <c r="D13" s="18"/>
      <c r="E13" s="18"/>
      <c r="F13" s="76" t="s">
        <v>191</v>
      </c>
    </row>
    <row r="14" spans="1:11">
      <c r="A14" s="30"/>
      <c r="B14" s="79" t="s">
        <v>185</v>
      </c>
      <c r="C14" s="82" t="str">
        <f>INDEX(Data!$H$73:$H$100,MATCH($C$5,Data!$B$73:$B$100,0),0)</f>
        <v>£m 12/13</v>
      </c>
      <c r="D14" s="18"/>
      <c r="E14" s="18"/>
      <c r="F14" s="89">
        <v>0.1</v>
      </c>
      <c r="G14" s="549"/>
    </row>
    <row r="15" spans="1:11">
      <c r="A15" s="30"/>
      <c r="B15" s="18"/>
      <c r="C15" s="18"/>
      <c r="D15" s="18"/>
      <c r="E15" s="18"/>
      <c r="F15" s="18"/>
      <c r="G15" s="549"/>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9.6328125" customWidth="1"/>
    <col min="3" max="3" width="14.08984375" style="136" customWidth="1"/>
    <col min="4" max="11" width="11.08984375" customWidth="1"/>
    <col min="12" max="12" width="5" customWidth="1"/>
  </cols>
  <sheetData>
    <row r="1" spans="1:12" s="31" customFormat="1" ht="21">
      <c r="A1" s="920" t="s">
        <v>100</v>
      </c>
      <c r="B1" s="916"/>
      <c r="C1" s="278"/>
      <c r="D1" s="256"/>
      <c r="E1" s="256"/>
      <c r="F1" s="256"/>
      <c r="G1" s="256"/>
      <c r="H1" s="256"/>
      <c r="I1" s="257"/>
      <c r="J1" s="257"/>
      <c r="K1" s="258"/>
      <c r="L1" s="259"/>
    </row>
    <row r="2" spans="1:12" s="31" customFormat="1" ht="21">
      <c r="A2" s="909" t="str">
        <f>'RFPR cover'!C5</f>
        <v>WPD-SWALES</v>
      </c>
      <c r="B2" s="901"/>
      <c r="C2" s="134"/>
      <c r="D2" s="29"/>
      <c r="E2" s="29"/>
      <c r="F2" s="29"/>
      <c r="G2" s="29"/>
      <c r="H2" s="29"/>
      <c r="I2" s="27"/>
      <c r="J2" s="27"/>
      <c r="K2" s="27"/>
      <c r="L2" s="123"/>
    </row>
    <row r="3" spans="1:12" s="37" customFormat="1" ht="22.8">
      <c r="A3" s="912">
        <f>'RFPR cover'!C7</f>
        <v>2021</v>
      </c>
      <c r="B3" s="918" t="str">
        <f>'R1 - RoRE'!B3</f>
        <v/>
      </c>
      <c r="C3" s="280"/>
      <c r="D3" s="279"/>
      <c r="E3" s="279"/>
      <c r="F3" s="279"/>
      <c r="G3" s="279"/>
      <c r="H3" s="279"/>
      <c r="I3" s="255"/>
      <c r="J3" s="255"/>
      <c r="K3" s="255"/>
      <c r="L3" s="261"/>
    </row>
    <row r="4" spans="1:12" s="2" customFormat="1" ht="12.75" customHeight="1">
      <c r="C4" s="136"/>
    </row>
    <row r="5" spans="1:12" s="2" customForma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2" s="2" customFormat="1">
      <c r="C7" s="136"/>
    </row>
    <row r="8" spans="1:12" s="2" customFormat="1">
      <c r="B8" s="50" t="s">
        <v>134</v>
      </c>
      <c r="C8" s="137"/>
      <c r="D8" s="56"/>
      <c r="E8" s="56"/>
      <c r="F8" s="56"/>
      <c r="G8" s="56"/>
      <c r="H8" s="56"/>
      <c r="I8" s="56"/>
      <c r="J8" s="56"/>
      <c r="K8" s="56"/>
    </row>
    <row r="9" spans="1:12" s="2" customFormat="1">
      <c r="B9" s="225" t="s">
        <v>516</v>
      </c>
      <c r="C9" s="152" t="s">
        <v>128</v>
      </c>
      <c r="D9" s="593">
        <v>0.24104860999999994</v>
      </c>
      <c r="E9" s="594">
        <v>0.84581513000000019</v>
      </c>
      <c r="F9" s="594">
        <v>1.1605999999999999</v>
      </c>
      <c r="G9" s="594">
        <v>0.7145999999999999</v>
      </c>
      <c r="H9" s="594">
        <v>1.084579</v>
      </c>
      <c r="I9" s="594">
        <v>0.85350000000000004</v>
      </c>
      <c r="J9" s="594">
        <v>1.0007872740352859</v>
      </c>
      <c r="K9" s="594">
        <v>0.51635398509300268</v>
      </c>
    </row>
    <row r="10" spans="1:12" s="2" customFormat="1">
      <c r="B10" s="225" t="s">
        <v>497</v>
      </c>
      <c r="C10" s="152" t="s">
        <v>128</v>
      </c>
      <c r="D10" s="595">
        <v>0</v>
      </c>
      <c r="E10" s="596">
        <v>0</v>
      </c>
      <c r="F10" s="596">
        <v>0</v>
      </c>
      <c r="G10" s="596">
        <v>0</v>
      </c>
      <c r="H10" s="596">
        <v>0</v>
      </c>
      <c r="I10" s="596">
        <v>0</v>
      </c>
      <c r="J10" s="596">
        <v>0</v>
      </c>
      <c r="K10" s="596">
        <v>0</v>
      </c>
    </row>
    <row r="11" spans="1:12" s="2" customFormat="1">
      <c r="B11" s="225" t="s">
        <v>515</v>
      </c>
      <c r="C11" s="152" t="s">
        <v>128</v>
      </c>
      <c r="D11" s="847">
        <v>2.4104860999999995E-2</v>
      </c>
      <c r="E11" s="848">
        <v>8.4581513000000025E-2</v>
      </c>
      <c r="F11" s="848">
        <v>0.10855999999999999</v>
      </c>
      <c r="G11" s="848">
        <v>7.1459999999999996E-2</v>
      </c>
      <c r="H11" s="848">
        <v>0.1084579</v>
      </c>
      <c r="I11" s="848">
        <v>8.5350000000000009E-2</v>
      </c>
      <c r="J11" s="848">
        <f t="shared" ref="J11:K11" si="1">+J9*0.1</f>
        <v>0.10007872740352859</v>
      </c>
      <c r="K11" s="848">
        <f t="shared" si="1"/>
        <v>5.1635398509300268E-2</v>
      </c>
    </row>
    <row r="12" spans="1:12" s="12" customFormat="1">
      <c r="B12" s="50" t="s">
        <v>132</v>
      </c>
      <c r="C12" s="152" t="s">
        <v>128</v>
      </c>
      <c r="D12" s="609">
        <f>D9-D10-D11</f>
        <v>0.21694374899999994</v>
      </c>
      <c r="E12" s="610">
        <f t="shared" ref="E12:K12" si="2">E9-E10-E11</f>
        <v>0.76123361700000014</v>
      </c>
      <c r="F12" s="610">
        <f t="shared" si="2"/>
        <v>1.0520399999999999</v>
      </c>
      <c r="G12" s="610">
        <f t="shared" si="2"/>
        <v>0.64313999999999993</v>
      </c>
      <c r="H12" s="610">
        <f t="shared" si="2"/>
        <v>0.97612109999999996</v>
      </c>
      <c r="I12" s="610">
        <f t="shared" si="2"/>
        <v>0.76815</v>
      </c>
      <c r="J12" s="610">
        <f t="shared" si="2"/>
        <v>0.90070854663175726</v>
      </c>
      <c r="K12" s="610">
        <f t="shared" si="2"/>
        <v>0.46471858658370241</v>
      </c>
      <c r="L12" s="2"/>
    </row>
    <row r="13" spans="1:12" s="12" customFormat="1">
      <c r="B13" s="50"/>
      <c r="C13" s="136"/>
      <c r="D13" s="51"/>
      <c r="E13" s="51"/>
      <c r="F13" s="51"/>
      <c r="G13" s="51"/>
      <c r="H13" s="51"/>
      <c r="I13" s="51"/>
      <c r="J13" s="51"/>
      <c r="K13" s="51"/>
      <c r="L13" s="2"/>
    </row>
    <row r="14" spans="1:12" s="2" customFormat="1">
      <c r="B14" s="50" t="s">
        <v>156</v>
      </c>
      <c r="C14" s="137"/>
      <c r="D14" s="56"/>
      <c r="E14" s="56"/>
      <c r="F14" s="56"/>
      <c r="G14" s="56"/>
      <c r="H14" s="56"/>
      <c r="I14" s="56"/>
      <c r="J14" s="56"/>
      <c r="K14" s="56"/>
    </row>
    <row r="15" spans="1:12" s="2" customFormat="1" ht="13.2" customHeight="1">
      <c r="B15" s="225" t="s">
        <v>518</v>
      </c>
      <c r="C15" s="152" t="s">
        <v>128</v>
      </c>
      <c r="D15" s="593">
        <v>0.77248340000000004</v>
      </c>
      <c r="E15" s="594">
        <v>4.1034769999999998E-2</v>
      </c>
      <c r="F15" s="594">
        <v>0.11890733000000001</v>
      </c>
      <c r="G15" s="594">
        <v>0.32313185999999999</v>
      </c>
      <c r="H15" s="594">
        <v>4.4316729999999999E-2</v>
      </c>
      <c r="I15" s="594">
        <v>-0.11959524000000001</v>
      </c>
      <c r="J15" s="594">
        <v>0</v>
      </c>
      <c r="K15" s="594">
        <v>0</v>
      </c>
    </row>
    <row r="16" spans="1:12" s="2" customFormat="1">
      <c r="B16" s="225" t="s">
        <v>517</v>
      </c>
      <c r="C16" s="152" t="s">
        <v>128</v>
      </c>
      <c r="D16" s="595">
        <v>0</v>
      </c>
      <c r="E16" s="596">
        <v>0</v>
      </c>
      <c r="F16" s="596">
        <v>0</v>
      </c>
      <c r="G16" s="596">
        <v>0</v>
      </c>
      <c r="H16" s="596">
        <v>0</v>
      </c>
      <c r="I16" s="596">
        <v>0</v>
      </c>
      <c r="J16" s="596">
        <v>0</v>
      </c>
      <c r="K16" s="596">
        <v>0</v>
      </c>
    </row>
    <row r="17" spans="2:12" s="12" customFormat="1">
      <c r="B17" s="50" t="s">
        <v>133</v>
      </c>
      <c r="C17" s="152" t="s">
        <v>128</v>
      </c>
      <c r="D17" s="609">
        <f>D15-D16</f>
        <v>0.77248340000000004</v>
      </c>
      <c r="E17" s="609">
        <f t="shared" ref="E17:K17" si="3">E15-E16</f>
        <v>4.1034769999999998E-2</v>
      </c>
      <c r="F17" s="609">
        <f t="shared" si="3"/>
        <v>0.11890733000000001</v>
      </c>
      <c r="G17" s="609">
        <f t="shared" si="3"/>
        <v>0.32313185999999999</v>
      </c>
      <c r="H17" s="609">
        <f t="shared" si="3"/>
        <v>4.4316729999999999E-2</v>
      </c>
      <c r="I17" s="609">
        <f t="shared" si="3"/>
        <v>-0.11959524000000001</v>
      </c>
      <c r="J17" s="609">
        <f t="shared" si="3"/>
        <v>0</v>
      </c>
      <c r="K17" s="609">
        <f t="shared" si="3"/>
        <v>0</v>
      </c>
      <c r="L17" s="2"/>
    </row>
    <row r="18" spans="2:12" s="12" customFormat="1">
      <c r="B18" s="50"/>
      <c r="C18" s="136"/>
      <c r="D18" s="51"/>
      <c r="E18" s="51"/>
      <c r="F18" s="51"/>
      <c r="G18" s="51"/>
      <c r="H18" s="51"/>
      <c r="I18" s="51"/>
      <c r="J18" s="51"/>
      <c r="K18" s="51"/>
      <c r="L18" s="2"/>
    </row>
    <row r="19" spans="2:12" s="2" customFormat="1">
      <c r="B19" s="50" t="s">
        <v>157</v>
      </c>
      <c r="C19" s="137"/>
      <c r="D19" s="56"/>
      <c r="E19" s="56"/>
      <c r="F19" s="56"/>
      <c r="G19" s="56"/>
      <c r="H19" s="56"/>
      <c r="I19" s="56"/>
      <c r="J19" s="56"/>
      <c r="K19" s="56"/>
    </row>
    <row r="20" spans="2:12" s="2" customFormat="1">
      <c r="B20" s="225" t="s">
        <v>446</v>
      </c>
      <c r="C20" s="152" t="s">
        <v>128</v>
      </c>
      <c r="D20" s="593">
        <v>0</v>
      </c>
      <c r="E20" s="594">
        <v>0</v>
      </c>
      <c r="F20" s="594">
        <v>0</v>
      </c>
      <c r="G20" s="594">
        <v>0</v>
      </c>
      <c r="H20" s="594">
        <v>0</v>
      </c>
      <c r="I20" s="594">
        <v>0</v>
      </c>
      <c r="J20" s="594">
        <v>0</v>
      </c>
      <c r="K20" s="594">
        <v>0</v>
      </c>
    </row>
    <row r="21" spans="2:12" s="2" customFormat="1">
      <c r="B21" s="225" t="s">
        <v>515</v>
      </c>
      <c r="C21" s="152" t="s">
        <v>128</v>
      </c>
      <c r="D21" s="631">
        <v>0</v>
      </c>
      <c r="E21" s="632">
        <v>0</v>
      </c>
      <c r="F21" s="632">
        <v>0</v>
      </c>
      <c r="G21" s="632">
        <v>0</v>
      </c>
      <c r="H21" s="632">
        <v>0</v>
      </c>
      <c r="I21" s="632">
        <v>0</v>
      </c>
      <c r="J21" s="632">
        <v>0</v>
      </c>
      <c r="K21" s="632">
        <v>0</v>
      </c>
    </row>
    <row r="22" spans="2:12" s="2" customFormat="1">
      <c r="B22" s="35"/>
      <c r="C22" s="138"/>
      <c r="D22" s="35"/>
      <c r="E22" s="35"/>
      <c r="F22" s="35"/>
      <c r="G22" s="35"/>
      <c r="H22" s="35"/>
      <c r="I22" s="35"/>
      <c r="J22" s="35"/>
      <c r="K22" s="35"/>
    </row>
    <row r="23" spans="2:12" s="2" customFormat="1">
      <c r="B23" s="225" t="s">
        <v>500</v>
      </c>
      <c r="C23" s="152" t="s">
        <v>128</v>
      </c>
      <c r="D23" s="631">
        <v>0.78400000000000003</v>
      </c>
      <c r="E23" s="632">
        <v>0</v>
      </c>
      <c r="F23" s="632">
        <v>0.4375</v>
      </c>
      <c r="G23" s="632">
        <v>0</v>
      </c>
      <c r="H23" s="632">
        <v>0</v>
      </c>
      <c r="I23" s="632">
        <v>0</v>
      </c>
      <c r="J23" s="632">
        <v>0</v>
      </c>
      <c r="K23" s="632">
        <v>0</v>
      </c>
    </row>
    <row r="24" spans="2:12" s="2" customFormat="1">
      <c r="B24" s="35"/>
      <c r="C24" s="138"/>
      <c r="D24" s="35"/>
      <c r="E24" s="35"/>
      <c r="F24" s="35"/>
      <c r="G24" s="35"/>
      <c r="H24" s="35"/>
      <c r="I24" s="35"/>
      <c r="J24" s="35"/>
      <c r="K24" s="35"/>
    </row>
    <row r="25" spans="2:12" s="2" customFormat="1">
      <c r="B25" s="80"/>
      <c r="C25" s="150"/>
      <c r="D25" s="80"/>
      <c r="E25" s="80"/>
      <c r="F25" s="80"/>
      <c r="G25" s="80"/>
      <c r="H25" s="80"/>
      <c r="I25" s="80"/>
      <c r="J25" s="80"/>
      <c r="K25" s="80"/>
      <c r="L25" s="80"/>
    </row>
    <row r="26" spans="2:12" s="2" customFormat="1">
      <c r="B26" s="35"/>
      <c r="C26" s="138"/>
      <c r="D26" s="35"/>
      <c r="E26" s="35"/>
      <c r="F26" s="35"/>
      <c r="G26" s="35"/>
      <c r="H26" s="35"/>
      <c r="I26" s="35"/>
      <c r="J26" s="35"/>
      <c r="K26" s="35"/>
    </row>
    <row r="27" spans="2:12" s="2" customFormat="1">
      <c r="B27" s="50" t="s">
        <v>392</v>
      </c>
      <c r="C27" s="138"/>
      <c r="D27" s="35"/>
      <c r="E27" s="35"/>
      <c r="F27" s="35"/>
      <c r="G27" s="35"/>
      <c r="H27" s="35"/>
      <c r="I27" s="35"/>
      <c r="J27" s="35"/>
      <c r="K27" s="35"/>
    </row>
    <row r="28" spans="2:12" s="2" customFormat="1">
      <c r="B28" s="225" t="s">
        <v>498</v>
      </c>
      <c r="C28" s="155" t="str">
        <f>'RFPR cover'!$C$14</f>
        <v>£m 12/13</v>
      </c>
      <c r="D28" s="679">
        <f>(SUM(D10,D11,D21)-D23)/Data!C34</f>
        <v>-0.71666805354301499</v>
      </c>
      <c r="E28" s="679">
        <f>(SUM(E10,E11,E21)-E23)/Data!D34</f>
        <v>7.8096628174718491E-2</v>
      </c>
      <c r="F28" s="679">
        <f>(SUM(F10,F11,F21)-F23)/Data!E34</f>
        <v>-0.292764832234784</v>
      </c>
      <c r="G28" s="679">
        <f>(SUM(G10,G11,G21)-G23)/Data!F34</f>
        <v>6.1715431615062051E-2</v>
      </c>
      <c r="H28" s="679">
        <f>(SUM(H10,H11,H21)-H23)/Data!G34</f>
        <v>9.130454883499288E-2</v>
      </c>
      <c r="I28" s="679">
        <f>(SUM(I10,I11,I21)-I23)/Data!H34</f>
        <v>7.0990326073284912E-2</v>
      </c>
      <c r="J28" s="679">
        <f>(SUM(J10,J11,J21)-J23)/Data!I34</f>
        <v>8.1092084841060341E-2</v>
      </c>
      <c r="K28" s="679">
        <f>(SUM(K10,K11,K21)-K23)/Data!J34</f>
        <v>4.0591105686791966E-2</v>
      </c>
      <c r="L28" s="35"/>
    </row>
  </sheetData>
  <conditionalFormatting sqref="D6:K6">
    <cfRule type="expression" dxfId="57" priority="24">
      <formula>AND(D$5="Actuals",E$5="Forecast")</formula>
    </cfRule>
  </conditionalFormatting>
  <conditionalFormatting sqref="D5:K5">
    <cfRule type="expression" dxfId="56"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920" t="s">
        <v>265</v>
      </c>
      <c r="B1" s="916"/>
      <c r="C1" s="256"/>
      <c r="D1" s="256"/>
      <c r="E1" s="256"/>
      <c r="F1" s="256"/>
      <c r="G1" s="256"/>
      <c r="H1" s="256"/>
      <c r="I1" s="257"/>
      <c r="J1" s="257"/>
      <c r="K1" s="258"/>
      <c r="L1" s="258"/>
      <c r="M1" s="258"/>
      <c r="N1" s="259"/>
    </row>
    <row r="2" spans="1:14" s="31" customFormat="1" ht="21">
      <c r="A2" s="909" t="s">
        <v>248</v>
      </c>
      <c r="B2" s="901"/>
      <c r="C2" s="29"/>
      <c r="D2" s="29"/>
      <c r="E2" s="29"/>
      <c r="F2" s="29"/>
      <c r="G2" s="29"/>
      <c r="H2" s="29"/>
      <c r="I2" s="27"/>
      <c r="J2" s="27"/>
      <c r="K2" s="27"/>
      <c r="L2" s="27"/>
      <c r="M2" s="27"/>
      <c r="N2" s="123"/>
    </row>
    <row r="3" spans="1:14" s="31" customFormat="1" ht="22.8">
      <c r="A3" s="912">
        <v>2021</v>
      </c>
      <c r="B3" s="918" t="s">
        <v>649</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650</v>
      </c>
      <c r="E5" s="390" t="s">
        <v>650</v>
      </c>
      <c r="F5" s="390" t="s">
        <v>650</v>
      </c>
      <c r="G5" s="390" t="s">
        <v>650</v>
      </c>
      <c r="H5" s="390" t="s">
        <v>650</v>
      </c>
      <c r="I5" s="390" t="s">
        <v>650</v>
      </c>
      <c r="J5" s="390" t="s">
        <v>651</v>
      </c>
      <c r="K5" s="391" t="s">
        <v>651</v>
      </c>
    </row>
    <row r="6" spans="1:14" s="2" customFormat="1" ht="25.2">
      <c r="D6" s="117">
        <v>2016</v>
      </c>
      <c r="E6" s="118">
        <v>2017</v>
      </c>
      <c r="F6" s="118">
        <v>2018</v>
      </c>
      <c r="G6" s="118">
        <v>2019</v>
      </c>
      <c r="H6" s="118">
        <v>2020</v>
      </c>
      <c r="I6" s="118">
        <v>2021</v>
      </c>
      <c r="J6" s="118">
        <v>2022</v>
      </c>
      <c r="K6" s="195">
        <v>2023</v>
      </c>
      <c r="L6" s="101" t="s">
        <v>653</v>
      </c>
      <c r="M6" s="281" t="s">
        <v>109</v>
      </c>
    </row>
    <row r="7" spans="1:14" s="2" customFormat="1"/>
    <row r="8" spans="1:14">
      <c r="B8" s="479" t="s">
        <v>304</v>
      </c>
      <c r="C8" s="152" t="s">
        <v>128</v>
      </c>
      <c r="D8" s="348">
        <v>40.399945660000029</v>
      </c>
      <c r="E8" s="385">
        <v>37.929775999999997</v>
      </c>
      <c r="F8" s="385">
        <v>38.74622334</v>
      </c>
      <c r="G8" s="385">
        <v>37.508987189999999</v>
      </c>
      <c r="H8" s="385">
        <v>38.187059110000007</v>
      </c>
      <c r="I8" s="385">
        <v>32.785561550000004</v>
      </c>
      <c r="J8" s="385">
        <v>29.133067651618365</v>
      </c>
      <c r="K8" s="386">
        <v>29.185242054501032</v>
      </c>
      <c r="L8" s="35"/>
      <c r="M8" s="35"/>
    </row>
    <row r="9" spans="1:14">
      <c r="B9" s="14"/>
      <c r="C9" s="152"/>
      <c r="D9" s="229"/>
      <c r="E9" s="229"/>
      <c r="F9" s="229"/>
      <c r="G9" s="229"/>
      <c r="H9" s="229"/>
      <c r="I9" s="229"/>
      <c r="J9" s="229"/>
      <c r="K9" s="229"/>
      <c r="L9" s="35"/>
      <c r="M9" s="35"/>
    </row>
    <row r="10" spans="1:14">
      <c r="B10" s="14" t="s">
        <v>476</v>
      </c>
      <c r="C10" s="16"/>
      <c r="D10" s="230"/>
      <c r="E10" s="230"/>
      <c r="F10" s="230"/>
      <c r="G10" s="230"/>
      <c r="H10" s="230"/>
      <c r="I10" s="230"/>
      <c r="J10" s="230"/>
      <c r="K10" s="230"/>
      <c r="L10" s="35"/>
      <c r="M10" s="35"/>
    </row>
    <row r="11" spans="1:14">
      <c r="B11" s="369" t="s">
        <v>12</v>
      </c>
      <c r="C11" s="152" t="s">
        <v>128</v>
      </c>
      <c r="D11" s="377">
        <v>0</v>
      </c>
      <c r="E11" s="378">
        <v>0</v>
      </c>
      <c r="F11" s="378">
        <v>0</v>
      </c>
      <c r="G11" s="378">
        <v>0</v>
      </c>
      <c r="H11" s="378">
        <v>0</v>
      </c>
      <c r="I11" s="378">
        <v>0</v>
      </c>
      <c r="J11" s="378">
        <v>0</v>
      </c>
      <c r="K11" s="382">
        <v>0</v>
      </c>
      <c r="L11" s="35"/>
      <c r="M11" s="35"/>
    </row>
    <row r="12" spans="1:14">
      <c r="B12" s="369" t="s">
        <v>13</v>
      </c>
      <c r="C12" s="152" t="s">
        <v>128</v>
      </c>
      <c r="D12" s="347">
        <v>0.65096399999999999</v>
      </c>
      <c r="E12" s="379">
        <v>0.65096399999999999</v>
      </c>
      <c r="F12" s="379">
        <v>0.65100000000000002</v>
      </c>
      <c r="G12" s="379">
        <v>0.65096399999999999</v>
      </c>
      <c r="H12" s="379">
        <v>0.65096399999999999</v>
      </c>
      <c r="I12" s="379">
        <v>0.40876704000000003</v>
      </c>
      <c r="J12" s="379">
        <v>0.16657007999999995</v>
      </c>
      <c r="K12" s="383">
        <v>0.1665700799999999</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0</v>
      </c>
      <c r="I14" s="379">
        <v>0</v>
      </c>
      <c r="J14" s="379">
        <v>0</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-4.5399999999999991</v>
      </c>
      <c r="E16" s="379">
        <v>-2.3637000000000015</v>
      </c>
      <c r="F16" s="379">
        <v>-1.1879999999999999</v>
      </c>
      <c r="G16" s="379">
        <v>-1.1460000000000008</v>
      </c>
      <c r="H16" s="379">
        <v>0</v>
      </c>
      <c r="I16" s="379">
        <v>1.3999999999999986</v>
      </c>
      <c r="J16" s="379">
        <v>0.25850341754999562</v>
      </c>
      <c r="K16" s="383">
        <v>0.5923141901647142</v>
      </c>
      <c r="L16" s="35"/>
    </row>
    <row r="17" spans="2:13">
      <c r="B17" s="369" t="s">
        <v>283</v>
      </c>
      <c r="C17" s="152" t="s">
        <v>128</v>
      </c>
      <c r="D17" s="347">
        <v>-0.44992667999999958</v>
      </c>
      <c r="E17" s="379">
        <v>-0.44992668000000008</v>
      </c>
      <c r="F17" s="379">
        <v>-0.22220000000000001</v>
      </c>
      <c r="G17" s="379">
        <v>-0.16238268000000006</v>
      </c>
      <c r="H17" s="379">
        <v>-0.16238271000000007</v>
      </c>
      <c r="I17" s="379">
        <v>-0.23099329000000005</v>
      </c>
      <c r="J17" s="379">
        <v>-0.3272242166960353</v>
      </c>
      <c r="K17" s="383">
        <v>-0.32722421669603419</v>
      </c>
      <c r="L17" s="35"/>
    </row>
    <row r="18" spans="2:13" ht="12.75" customHeight="1">
      <c r="B18" s="369" t="s">
        <v>18</v>
      </c>
      <c r="C18" s="152" t="s">
        <v>128</v>
      </c>
      <c r="D18" s="347">
        <v>0</v>
      </c>
      <c r="E18" s="379">
        <v>0</v>
      </c>
      <c r="F18" s="379">
        <v>0</v>
      </c>
      <c r="G18" s="379">
        <v>0</v>
      </c>
      <c r="H18" s="379">
        <v>0</v>
      </c>
      <c r="I18" s="379">
        <v>-0.19120547999999998</v>
      </c>
      <c r="J18" s="379">
        <v>-0.20481458266585553</v>
      </c>
      <c r="K18" s="383">
        <v>-0.35473313066083223</v>
      </c>
      <c r="L18" s="35"/>
    </row>
    <row r="19" spans="2:13">
      <c r="B19" s="369" t="s">
        <v>628</v>
      </c>
      <c r="C19" s="152" t="s">
        <v>128</v>
      </c>
      <c r="D19" s="347">
        <v>0.22500000000000001</v>
      </c>
      <c r="E19" s="379">
        <v>0.44400000000000001</v>
      </c>
      <c r="F19" s="379">
        <v>0.51500000000000001</v>
      </c>
      <c r="G19" s="379">
        <v>0.95199999999999996</v>
      </c>
      <c r="H19" s="379">
        <v>-3.3000000000000002E-2</v>
      </c>
      <c r="I19" s="379">
        <v>0.36799999999999999</v>
      </c>
      <c r="J19" s="379">
        <v>0.3765</v>
      </c>
      <c r="K19" s="383">
        <v>0.36299999999999999</v>
      </c>
      <c r="L19" s="35"/>
    </row>
    <row r="20" spans="2:13">
      <c r="B20" s="369" t="s">
        <v>625</v>
      </c>
      <c r="C20" s="152" t="s">
        <v>128</v>
      </c>
      <c r="D20" s="347">
        <v>-0.1663</v>
      </c>
      <c r="E20" s="379">
        <v>-8.6062E-2</v>
      </c>
      <c r="F20" s="379">
        <v>-0.11700000000000001</v>
      </c>
      <c r="G20" s="379">
        <v>-0.17080633000000001</v>
      </c>
      <c r="H20" s="379">
        <v>-0.129547</v>
      </c>
      <c r="I20" s="379">
        <v>-0.13879233000000002</v>
      </c>
      <c r="J20" s="379">
        <v>-0.14752596000000004</v>
      </c>
      <c r="K20" s="383">
        <v>-0.14752596000000004</v>
      </c>
      <c r="L20" s="35"/>
    </row>
    <row r="21" spans="2:13">
      <c r="B21" s="369" t="s">
        <v>629</v>
      </c>
      <c r="C21" s="152" t="s">
        <v>128</v>
      </c>
      <c r="D21" s="347">
        <v>0</v>
      </c>
      <c r="E21" s="379">
        <v>0</v>
      </c>
      <c r="F21" s="379">
        <v>0</v>
      </c>
      <c r="G21" s="379">
        <v>0.26216957000000002</v>
      </c>
      <c r="H21" s="379">
        <v>0</v>
      </c>
      <c r="I21" s="379">
        <v>0</v>
      </c>
      <c r="J21" s="379">
        <v>0</v>
      </c>
      <c r="K21" s="383">
        <v>0</v>
      </c>
      <c r="L21" s="35"/>
    </row>
    <row r="22" spans="2:13">
      <c r="B22" s="369" t="s">
        <v>627</v>
      </c>
      <c r="C22" s="152" t="s">
        <v>128</v>
      </c>
      <c r="D22" s="347">
        <v>0</v>
      </c>
      <c r="E22" s="379">
        <v>0</v>
      </c>
      <c r="F22" s="379">
        <v>0</v>
      </c>
      <c r="G22" s="379">
        <v>0</v>
      </c>
      <c r="H22" s="379">
        <v>-6.4092220000000005E-2</v>
      </c>
      <c r="I22" s="379">
        <v>-4.8232580000000004E-2</v>
      </c>
      <c r="J22" s="379">
        <v>-4.9334000000000003E-2</v>
      </c>
      <c r="K22" s="383">
        <v>-4.8412999999999998E-2</v>
      </c>
      <c r="L22" s="35"/>
    </row>
    <row r="23" spans="2:13">
      <c r="B23" s="369" t="s">
        <v>626</v>
      </c>
      <c r="C23" s="152" t="s">
        <v>128</v>
      </c>
      <c r="D23" s="347">
        <v>9.3843940000000015E-2</v>
      </c>
      <c r="E23" s="379">
        <v>-4.0070840000000003E-2</v>
      </c>
      <c r="F23" s="379">
        <v>-1.7299999999999999E-2</v>
      </c>
      <c r="G23" s="379">
        <v>-1.4971490000000002E-2</v>
      </c>
      <c r="H23" s="379">
        <v>-1.6352300000000004E-2</v>
      </c>
      <c r="I23" s="379">
        <v>-0.54187070999999998</v>
      </c>
      <c r="J23" s="379">
        <v>-2.0273869999999999E-2</v>
      </c>
      <c r="K23" s="383">
        <v>-2.0273869999999999E-2</v>
      </c>
      <c r="L23" s="35"/>
    </row>
    <row r="24" spans="2:13">
      <c r="B24" s="369" t="s">
        <v>352</v>
      </c>
      <c r="C24" s="152" t="s">
        <v>128</v>
      </c>
      <c r="D24" s="347">
        <v>0</v>
      </c>
      <c r="E24" s="379">
        <v>0</v>
      </c>
      <c r="F24" s="379">
        <v>0</v>
      </c>
      <c r="G24" s="379">
        <v>0</v>
      </c>
      <c r="H24" s="379">
        <v>0</v>
      </c>
      <c r="I24" s="379">
        <v>0</v>
      </c>
      <c r="J24" s="379">
        <v>0</v>
      </c>
      <c r="K24" s="383">
        <v>0</v>
      </c>
      <c r="L24" s="35"/>
    </row>
    <row r="25" spans="2:13">
      <c r="B25" s="369" t="s">
        <v>353</v>
      </c>
      <c r="C25" s="152" t="s">
        <v>128</v>
      </c>
      <c r="D25" s="347">
        <v>0</v>
      </c>
      <c r="E25" s="379">
        <v>0</v>
      </c>
      <c r="F25" s="379">
        <v>0</v>
      </c>
      <c r="G25" s="379">
        <v>0</v>
      </c>
      <c r="H25" s="379">
        <v>0</v>
      </c>
      <c r="I25" s="379">
        <v>0</v>
      </c>
      <c r="J25" s="379">
        <v>0</v>
      </c>
      <c r="K25" s="383">
        <v>0</v>
      </c>
      <c r="L25" s="35"/>
    </row>
    <row r="26" spans="2:13">
      <c r="B26" s="369" t="s">
        <v>354</v>
      </c>
      <c r="C26" s="152" t="s">
        <v>128</v>
      </c>
      <c r="D26" s="347">
        <v>0</v>
      </c>
      <c r="E26" s="379">
        <v>0</v>
      </c>
      <c r="F26" s="379">
        <v>0</v>
      </c>
      <c r="G26" s="379">
        <v>0</v>
      </c>
      <c r="H26" s="379">
        <v>0</v>
      </c>
      <c r="I26" s="379">
        <v>0</v>
      </c>
      <c r="J26" s="379">
        <v>0</v>
      </c>
      <c r="K26" s="383">
        <v>0</v>
      </c>
      <c r="L26" s="35"/>
    </row>
    <row r="27" spans="2:13">
      <c r="B27" s="369" t="s">
        <v>355</v>
      </c>
      <c r="C27" s="152" t="s">
        <v>128</v>
      </c>
      <c r="D27" s="380">
        <v>0</v>
      </c>
      <c r="E27" s="381">
        <v>0</v>
      </c>
      <c r="F27" s="381">
        <v>0</v>
      </c>
      <c r="G27" s="381">
        <v>0</v>
      </c>
      <c r="H27" s="381">
        <v>0</v>
      </c>
      <c r="I27" s="381">
        <v>0</v>
      </c>
      <c r="J27" s="381">
        <v>0</v>
      </c>
      <c r="K27" s="384">
        <v>0</v>
      </c>
      <c r="L27" s="35"/>
    </row>
    <row r="28" spans="2:13">
      <c r="B28" s="13" t="s">
        <v>19</v>
      </c>
      <c r="C28" s="152" t="s">
        <v>128</v>
      </c>
      <c r="D28" s="142">
        <v>36.213526920000035</v>
      </c>
      <c r="E28" s="143">
        <v>36.084980480000006</v>
      </c>
      <c r="F28" s="143">
        <v>38.367723340000005</v>
      </c>
      <c r="G28" s="143">
        <v>37.879960259999997</v>
      </c>
      <c r="H28" s="143">
        <v>38.432648880000002</v>
      </c>
      <c r="I28" s="143">
        <v>33.811234200000008</v>
      </c>
      <c r="J28" s="143">
        <v>29.18546851980647</v>
      </c>
      <c r="K28" s="144">
        <v>29.408956147308878</v>
      </c>
      <c r="L28" s="35"/>
    </row>
    <row r="29" spans="2:13">
      <c r="B29" s="370" t="s">
        <v>539</v>
      </c>
      <c r="C29" s="152" t="s">
        <v>128</v>
      </c>
      <c r="D29" s="387"/>
      <c r="E29" s="388"/>
      <c r="F29" s="388"/>
      <c r="G29" s="680"/>
      <c r="H29" s="680"/>
      <c r="I29" s="680"/>
      <c r="J29" s="680">
        <v>0</v>
      </c>
      <c r="K29" s="681">
        <v>0</v>
      </c>
      <c r="L29" s="35"/>
    </row>
    <row r="30" spans="2:13">
      <c r="B30" s="346" t="s">
        <v>305</v>
      </c>
      <c r="C30" s="152" t="s">
        <v>128</v>
      </c>
      <c r="D30" s="142">
        <v>36.213526920000035</v>
      </c>
      <c r="E30" s="143">
        <v>36.084980480000006</v>
      </c>
      <c r="F30" s="143">
        <v>38.367723340000005</v>
      </c>
      <c r="G30" s="143">
        <v>37.879960259999997</v>
      </c>
      <c r="H30" s="143">
        <v>38.432648880000002</v>
      </c>
      <c r="I30" s="143">
        <v>33.811234200000008</v>
      </c>
      <c r="J30" s="143">
        <v>29.18546851980647</v>
      </c>
      <c r="K30" s="144">
        <v>29.408956147308878</v>
      </c>
      <c r="M30" t="s">
        <v>578</v>
      </c>
    </row>
    <row r="31" spans="2:13">
      <c r="B31" s="213" t="s">
        <v>21</v>
      </c>
      <c r="C31" s="152" t="s">
        <v>128</v>
      </c>
      <c r="D31" s="585">
        <v>36.083306580000034</v>
      </c>
      <c r="E31" s="586">
        <v>35.982866860000009</v>
      </c>
      <c r="F31" s="586">
        <v>38.415345340000002</v>
      </c>
      <c r="G31" s="586">
        <v>38.150933019999997</v>
      </c>
      <c r="H31" s="586">
        <v>38.437013750000006</v>
      </c>
      <c r="I31" s="586">
        <v>33.811709280000009</v>
      </c>
      <c r="J31" s="586">
        <v>29.185943599806471</v>
      </c>
      <c r="K31" s="682">
        <v>29.409431227308879</v>
      </c>
    </row>
    <row r="32" spans="2:13">
      <c r="B32" s="213" t="s">
        <v>470</v>
      </c>
      <c r="C32" s="152" t="s">
        <v>128</v>
      </c>
      <c r="D32" s="589">
        <v>0.13022034000000005</v>
      </c>
      <c r="E32" s="590">
        <v>0.10211361999999999</v>
      </c>
      <c r="F32" s="590">
        <v>-4.7622000000000005E-2</v>
      </c>
      <c r="G32" s="590">
        <v>-0.27097276000000003</v>
      </c>
      <c r="H32" s="590">
        <v>-4.3648699999999938E-3</v>
      </c>
      <c r="I32" s="590">
        <v>-4.7507999999999996E-4</v>
      </c>
      <c r="J32" s="590">
        <v>-4.7507999999999996E-4</v>
      </c>
      <c r="K32" s="683">
        <v>-4.7507999999999996E-4</v>
      </c>
    </row>
    <row r="33" spans="2:14">
      <c r="B33" s="213"/>
      <c r="D33" s="226" t="s">
        <v>652</v>
      </c>
      <c r="E33" s="227" t="s">
        <v>652</v>
      </c>
      <c r="F33" s="227" t="s">
        <v>652</v>
      </c>
      <c r="G33" s="227" t="s">
        <v>652</v>
      </c>
      <c r="H33" s="227" t="s">
        <v>652</v>
      </c>
      <c r="I33" s="227" t="s">
        <v>652</v>
      </c>
      <c r="J33" s="227" t="s">
        <v>652</v>
      </c>
      <c r="K33" s="228" t="s">
        <v>652</v>
      </c>
    </row>
    <row r="34" spans="2:14">
      <c r="D34" s="23"/>
      <c r="E34" s="23"/>
      <c r="F34" s="23"/>
      <c r="G34" s="23"/>
      <c r="H34" s="23"/>
      <c r="I34" s="23"/>
      <c r="J34" s="23"/>
      <c r="K34" s="23"/>
    </row>
    <row r="35" spans="2:14">
      <c r="B35" s="213" t="s">
        <v>533</v>
      </c>
      <c r="C35" s="152" t="s">
        <v>128</v>
      </c>
      <c r="D35" s="585">
        <v>0</v>
      </c>
      <c r="E35" s="586">
        <v>-0.17449999999999999</v>
      </c>
      <c r="F35" s="586">
        <v>2.1995</v>
      </c>
      <c r="G35" s="586">
        <v>1.800465</v>
      </c>
      <c r="H35" s="586">
        <v>2.251144</v>
      </c>
      <c r="I35" s="586">
        <v>1.184812</v>
      </c>
      <c r="J35" s="586">
        <v>2.7051040510000002</v>
      </c>
      <c r="K35" s="682">
        <v>2.6989957515299992</v>
      </c>
    </row>
    <row r="36" spans="2:14">
      <c r="D36" s="23"/>
      <c r="E36" s="23"/>
      <c r="F36" s="23"/>
      <c r="G36" s="23"/>
      <c r="H36" s="23"/>
      <c r="I36" s="23"/>
      <c r="J36" s="23"/>
      <c r="K36" s="23"/>
    </row>
    <row r="37" spans="2:14">
      <c r="B37" s="213" t="s">
        <v>82</v>
      </c>
      <c r="C37" s="152" t="s">
        <v>128</v>
      </c>
      <c r="D37" s="879">
        <v>6.5063777633535045</v>
      </c>
      <c r="E37" s="879">
        <v>13.470669304392185</v>
      </c>
      <c r="F37" s="879">
        <v>23.983423229136559</v>
      </c>
      <c r="G37" s="879">
        <v>20.103352337749232</v>
      </c>
      <c r="H37" s="879">
        <v>17.084167692539079</v>
      </c>
      <c r="I37" s="879">
        <v>8.6313523383152404</v>
      </c>
      <c r="J37" s="879">
        <v>20.235770285175725</v>
      </c>
      <c r="K37" s="879">
        <v>23.564217704998065</v>
      </c>
      <c r="N37" s="322"/>
    </row>
    <row r="38" spans="2:14" s="31" customFormat="1">
      <c r="B38" s="212"/>
      <c r="C38" s="820"/>
      <c r="D38" s="822"/>
      <c r="E38" s="822"/>
      <c r="F38" s="822"/>
      <c r="G38" s="822"/>
      <c r="H38" s="822"/>
      <c r="I38" s="822"/>
      <c r="J38" s="822"/>
      <c r="K38" s="822"/>
      <c r="L38"/>
      <c r="M38"/>
      <c r="N38" s="821"/>
    </row>
    <row r="39" spans="2:14">
      <c r="B39" s="213" t="s">
        <v>484</v>
      </c>
      <c r="C39" s="152" t="s">
        <v>128</v>
      </c>
      <c r="D39" s="102">
        <v>29.70714915664653</v>
      </c>
      <c r="E39" s="102">
        <v>22.614311175607821</v>
      </c>
      <c r="F39" s="102">
        <v>14.384300110863446</v>
      </c>
      <c r="G39" s="102">
        <v>17.776607922250765</v>
      </c>
      <c r="H39" s="102">
        <v>21.348481187460923</v>
      </c>
      <c r="I39" s="102">
        <v>25.17988186168477</v>
      </c>
      <c r="J39" s="102">
        <v>8.9496982346307448</v>
      </c>
      <c r="K39" s="102">
        <v>5.8447384423108133</v>
      </c>
    </row>
    <row r="40" spans="2:14">
      <c r="B40" s="213"/>
      <c r="C40" s="152"/>
      <c r="D40" s="152"/>
      <c r="E40" s="152"/>
      <c r="F40" s="152"/>
      <c r="G40" s="152"/>
      <c r="H40" s="152"/>
      <c r="I40" s="152"/>
      <c r="J40" s="152"/>
      <c r="K40" s="152"/>
      <c r="L40" s="152"/>
      <c r="N40" s="322"/>
    </row>
    <row r="41" spans="2:14">
      <c r="B41" s="850" t="s">
        <v>374</v>
      </c>
      <c r="C41" s="152" t="s">
        <v>127</v>
      </c>
      <c r="D41" s="504">
        <v>1.0603167467048125</v>
      </c>
      <c r="E41" s="504">
        <v>1.0830366813119445</v>
      </c>
      <c r="F41" s="504">
        <v>1.1235639113109226</v>
      </c>
      <c r="G41" s="504">
        <v>1.1578951670583426</v>
      </c>
      <c r="H41" s="504">
        <v>1.1878696229692449</v>
      </c>
      <c r="I41" s="504">
        <v>1.2022764892203943</v>
      </c>
      <c r="J41" s="504">
        <v>1.2341368161847346</v>
      </c>
      <c r="K41" s="504">
        <v>1.2720865232824152</v>
      </c>
      <c r="L41" s="152"/>
      <c r="N41" s="322"/>
    </row>
    <row r="42" spans="2:14">
      <c r="L42" s="155"/>
      <c r="M42" s="155"/>
      <c r="N42" s="155"/>
    </row>
    <row r="43" spans="2:14">
      <c r="B43" s="831" t="s">
        <v>430</v>
      </c>
      <c r="C43" s="156" t="s">
        <v>159</v>
      </c>
      <c r="D43" s="145">
        <v>28.017240366115683</v>
      </c>
      <c r="E43" s="146">
        <v>20.880466530656935</v>
      </c>
      <c r="F43" s="146">
        <v>12.802387088136809</v>
      </c>
      <c r="G43" s="146">
        <v>15.352519319527532</v>
      </c>
      <c r="H43" s="146">
        <v>17.972074354504858</v>
      </c>
      <c r="I43" s="146">
        <v>20.943503501438713</v>
      </c>
      <c r="J43" s="146">
        <v>7.2517877412475542</v>
      </c>
      <c r="K43" s="147">
        <v>4.594607627183569</v>
      </c>
      <c r="L43" s="689">
        <v>115.96819116038053</v>
      </c>
      <c r="M43" s="690">
        <v>127.81458652881165</v>
      </c>
    </row>
    <row r="44" spans="2:14">
      <c r="B44" s="213"/>
      <c r="C44" s="65"/>
      <c r="D44" s="803"/>
      <c r="E44" s="803"/>
      <c r="F44" s="803"/>
      <c r="G44" s="803"/>
      <c r="H44" s="803"/>
      <c r="I44" s="803"/>
      <c r="J44" s="803"/>
      <c r="K44" s="803"/>
      <c r="L44" s="826"/>
      <c r="M44" s="826"/>
    </row>
    <row r="45" spans="2:14">
      <c r="B45" s="831" t="s">
        <v>521</v>
      </c>
      <c r="C45" s="152"/>
      <c r="D45" s="803"/>
      <c r="E45" s="803"/>
      <c r="F45" s="803"/>
      <c r="G45" s="803"/>
      <c r="H45" s="803"/>
      <c r="I45" s="803"/>
      <c r="J45" s="803"/>
      <c r="K45" s="803"/>
      <c r="L45" s="826"/>
      <c r="M45" s="826"/>
    </row>
    <row r="46" spans="2:14">
      <c r="B46" s="369" t="s">
        <v>505</v>
      </c>
      <c r="C46" s="152" t="s">
        <v>128</v>
      </c>
      <c r="D46" s="878">
        <v>0.44992667999999958</v>
      </c>
      <c r="E46" s="878">
        <v>0.44992668000000008</v>
      </c>
      <c r="F46" s="878">
        <v>0.22220000000000001</v>
      </c>
      <c r="G46" s="878">
        <v>0.16238268000000006</v>
      </c>
      <c r="H46" s="878">
        <v>0.16238271000000007</v>
      </c>
      <c r="I46" s="878">
        <v>0.23099329000000005</v>
      </c>
      <c r="J46" s="878">
        <v>0.3272242166960353</v>
      </c>
      <c r="K46" s="878">
        <v>0.32722421669603419</v>
      </c>
      <c r="L46" s="689">
        <v>1.6778120399999998</v>
      </c>
      <c r="M46" s="689">
        <v>2.3322604733920693</v>
      </c>
    </row>
    <row r="47" spans="2:14">
      <c r="B47" s="369" t="s">
        <v>542</v>
      </c>
      <c r="C47" s="152" t="s">
        <v>128</v>
      </c>
      <c r="D47" s="387"/>
      <c r="E47" s="388"/>
      <c r="F47" s="388"/>
      <c r="G47" s="680"/>
      <c r="H47" s="680"/>
      <c r="I47" s="680"/>
      <c r="J47" s="680">
        <v>0</v>
      </c>
      <c r="K47" s="680">
        <v>0</v>
      </c>
      <c r="L47" s="689">
        <v>0</v>
      </c>
      <c r="M47" s="689">
        <v>0</v>
      </c>
    </row>
    <row r="48" spans="2:14">
      <c r="B48" s="369" t="s">
        <v>524</v>
      </c>
      <c r="C48" s="152" t="s">
        <v>128</v>
      </c>
      <c r="D48" s="878">
        <v>0</v>
      </c>
      <c r="E48" s="878">
        <v>0</v>
      </c>
      <c r="F48" s="878">
        <v>0</v>
      </c>
      <c r="G48" s="878">
        <v>0</v>
      </c>
      <c r="H48" s="878">
        <v>0</v>
      </c>
      <c r="I48" s="878">
        <v>0</v>
      </c>
      <c r="J48" s="878">
        <v>0</v>
      </c>
      <c r="K48" s="878">
        <v>0</v>
      </c>
      <c r="L48" s="689">
        <v>0</v>
      </c>
      <c r="M48" s="689">
        <v>0</v>
      </c>
    </row>
    <row r="49" spans="1:14">
      <c r="B49" s="369" t="s">
        <v>525</v>
      </c>
      <c r="C49" s="152" t="s">
        <v>128</v>
      </c>
      <c r="D49" s="878">
        <v>0</v>
      </c>
      <c r="E49" s="878">
        <v>0</v>
      </c>
      <c r="F49" s="878">
        <v>0</v>
      </c>
      <c r="G49" s="878">
        <v>0</v>
      </c>
      <c r="H49" s="878">
        <v>0</v>
      </c>
      <c r="I49" s="878">
        <v>0</v>
      </c>
      <c r="J49" s="878">
        <v>0</v>
      </c>
      <c r="K49" s="878">
        <v>0</v>
      </c>
      <c r="L49" s="689">
        <v>0</v>
      </c>
      <c r="M49" s="689">
        <v>0</v>
      </c>
    </row>
    <row r="50" spans="1:14">
      <c r="B50" s="369" t="s">
        <v>506</v>
      </c>
      <c r="C50" s="152" t="s">
        <v>128</v>
      </c>
      <c r="D50" s="878">
        <v>0</v>
      </c>
      <c r="E50" s="878">
        <v>0</v>
      </c>
      <c r="F50" s="878">
        <v>0</v>
      </c>
      <c r="G50" s="878">
        <v>0</v>
      </c>
      <c r="H50" s="878">
        <v>0</v>
      </c>
      <c r="I50" s="878">
        <v>0</v>
      </c>
      <c r="J50" s="878">
        <v>0</v>
      </c>
      <c r="K50" s="878">
        <v>0</v>
      </c>
      <c r="L50" s="689">
        <v>0</v>
      </c>
      <c r="M50" s="689">
        <v>0</v>
      </c>
    </row>
    <row r="51" spans="1:14">
      <c r="B51" s="369" t="s">
        <v>506</v>
      </c>
      <c r="C51" s="152" t="s">
        <v>128</v>
      </c>
      <c r="D51" s="878">
        <v>0</v>
      </c>
      <c r="E51" s="878">
        <v>0</v>
      </c>
      <c r="F51" s="878">
        <v>0</v>
      </c>
      <c r="G51" s="878">
        <v>0</v>
      </c>
      <c r="H51" s="878">
        <v>0</v>
      </c>
      <c r="I51" s="878">
        <v>0</v>
      </c>
      <c r="J51" s="878">
        <v>0</v>
      </c>
      <c r="K51" s="878">
        <v>0</v>
      </c>
      <c r="L51" s="689">
        <v>0</v>
      </c>
      <c r="M51" s="689">
        <v>0</v>
      </c>
    </row>
    <row r="52" spans="1:14">
      <c r="B52" s="369" t="s">
        <v>506</v>
      </c>
      <c r="C52" s="152" t="s">
        <v>128</v>
      </c>
      <c r="D52" s="878">
        <v>0</v>
      </c>
      <c r="E52" s="878">
        <v>0</v>
      </c>
      <c r="F52" s="878">
        <v>0</v>
      </c>
      <c r="G52" s="878">
        <v>0</v>
      </c>
      <c r="H52" s="878">
        <v>0</v>
      </c>
      <c r="I52" s="878">
        <v>0</v>
      </c>
      <c r="J52" s="878">
        <v>0</v>
      </c>
      <c r="K52" s="878">
        <v>0</v>
      </c>
      <c r="L52" s="689">
        <v>0</v>
      </c>
      <c r="M52" s="689">
        <v>0</v>
      </c>
    </row>
    <row r="53" spans="1:14">
      <c r="B53" s="369" t="s">
        <v>506</v>
      </c>
      <c r="C53" s="152" t="s">
        <v>128</v>
      </c>
      <c r="D53" s="878">
        <v>0</v>
      </c>
      <c r="E53" s="878">
        <v>0</v>
      </c>
      <c r="F53" s="878">
        <v>0</v>
      </c>
      <c r="G53" s="878">
        <v>0</v>
      </c>
      <c r="H53" s="878">
        <v>0</v>
      </c>
      <c r="I53" s="878">
        <v>0</v>
      </c>
      <c r="J53" s="878">
        <v>0</v>
      </c>
      <c r="K53" s="878">
        <v>0</v>
      </c>
      <c r="L53" s="689">
        <v>0</v>
      </c>
      <c r="M53" s="689">
        <v>0</v>
      </c>
    </row>
    <row r="54" spans="1:14" s="862" customFormat="1">
      <c r="B54" s="861"/>
      <c r="C54" s="863"/>
      <c r="D54" s="864"/>
      <c r="E54" s="864"/>
      <c r="F54" s="864"/>
      <c r="G54" s="864"/>
      <c r="H54" s="864"/>
      <c r="I54" s="864"/>
      <c r="J54" s="864"/>
      <c r="K54" s="864"/>
      <c r="L54" s="865"/>
      <c r="M54" s="865"/>
    </row>
    <row r="55" spans="1:14">
      <c r="B55" s="856" t="s">
        <v>522</v>
      </c>
      <c r="C55" s="235" t="s">
        <v>128</v>
      </c>
      <c r="D55" s="145">
        <v>0.44992667999999958</v>
      </c>
      <c r="E55" s="145">
        <v>0.44992668000000008</v>
      </c>
      <c r="F55" s="145">
        <v>0.22220000000000001</v>
      </c>
      <c r="G55" s="145">
        <v>0.16238268000000006</v>
      </c>
      <c r="H55" s="145">
        <v>0.16238271000000007</v>
      </c>
      <c r="I55" s="145">
        <v>0.23099329000000005</v>
      </c>
      <c r="J55" s="145">
        <v>0.3272242166960353</v>
      </c>
      <c r="K55" s="145">
        <v>0.32722421669603419</v>
      </c>
      <c r="L55" s="689">
        <v>1.6778120399999998</v>
      </c>
      <c r="M55" s="690">
        <v>2.3322604733920693</v>
      </c>
    </row>
    <row r="56" spans="1:14">
      <c r="B56" s="856" t="s">
        <v>522</v>
      </c>
      <c r="C56" s="156" t="s">
        <v>159</v>
      </c>
      <c r="D56" s="145">
        <v>0.42433233408625698</v>
      </c>
      <c r="E56" s="145">
        <v>0.41543069386622994</v>
      </c>
      <c r="F56" s="145">
        <v>0.19776356090037397</v>
      </c>
      <c r="G56" s="145">
        <v>0.14023953516667378</v>
      </c>
      <c r="H56" s="145">
        <v>0.13670078505257333</v>
      </c>
      <c r="I56" s="145">
        <v>0.19212992358337277</v>
      </c>
      <c r="J56" s="145">
        <v>0.26514419828073099</v>
      </c>
      <c r="K56" s="145">
        <v>0.25723424523961197</v>
      </c>
      <c r="L56" s="689">
        <v>1.5065968326554811</v>
      </c>
      <c r="M56" s="690">
        <v>2.028975276175824</v>
      </c>
    </row>
    <row r="57" spans="1:14">
      <c r="B57" s="213"/>
      <c r="C57" s="65"/>
      <c r="D57" s="803"/>
      <c r="E57" s="803"/>
      <c r="F57" s="803"/>
      <c r="G57" s="803"/>
      <c r="H57" s="803"/>
      <c r="I57" s="803"/>
      <c r="J57" s="803"/>
      <c r="K57" s="803"/>
      <c r="L57" s="826"/>
      <c r="M57" s="826"/>
    </row>
    <row r="58" spans="1:14" s="2" customFormat="1">
      <c r="A58" s="1"/>
    </row>
    <row r="59" spans="1:14" s="2" customFormat="1">
      <c r="A59" s="1"/>
      <c r="B59" s="827" t="s">
        <v>440</v>
      </c>
      <c r="C59" s="80"/>
      <c r="D59" s="80"/>
      <c r="E59" s="80"/>
      <c r="F59" s="80"/>
      <c r="G59" s="80"/>
      <c r="H59" s="80"/>
      <c r="I59" s="80"/>
      <c r="J59" s="80"/>
      <c r="K59" s="80"/>
      <c r="L59" s="80"/>
      <c r="M59" s="80"/>
      <c r="N59" s="80"/>
    </row>
    <row r="60" spans="1:14" s="2" customFormat="1">
      <c r="A60" s="1"/>
      <c r="B60" s="368" t="s">
        <v>441</v>
      </c>
    </row>
    <row r="61" spans="1:14" s="2" customFormat="1">
      <c r="A61" s="1"/>
    </row>
    <row r="62" spans="1:14" s="31" customFormat="1">
      <c r="B62" s="213" t="s">
        <v>115</v>
      </c>
      <c r="C62" s="155" t="s">
        <v>7</v>
      </c>
      <c r="D62" s="887">
        <v>0.65</v>
      </c>
      <c r="E62" s="888">
        <v>0.65</v>
      </c>
      <c r="F62" s="888">
        <v>0.65</v>
      </c>
      <c r="G62" s="888">
        <v>0.65</v>
      </c>
      <c r="H62" s="888">
        <v>0.65</v>
      </c>
      <c r="I62" s="888">
        <v>0.65</v>
      </c>
      <c r="J62" s="888">
        <v>0.65</v>
      </c>
      <c r="K62" s="889">
        <v>0.65</v>
      </c>
      <c r="N62" s="821"/>
    </row>
    <row r="63" spans="1:14" s="31" customFormat="1">
      <c r="B63" s="213" t="s">
        <v>403</v>
      </c>
      <c r="C63" s="155" t="s">
        <v>7</v>
      </c>
      <c r="D63" s="888">
        <v>0.63351205661484777</v>
      </c>
      <c r="E63" s="888">
        <v>0.62702950783278666</v>
      </c>
      <c r="F63" s="888">
        <v>0.60494869056263623</v>
      </c>
      <c r="G63" s="888">
        <v>0.59621254225711751</v>
      </c>
      <c r="H63" s="888">
        <v>0.57975202702420348</v>
      </c>
      <c r="I63" s="888">
        <v>0.58710115544627706</v>
      </c>
      <c r="J63" s="888">
        <v>0.61405935329359995</v>
      </c>
      <c r="K63" s="889">
        <v>0.60811132745480767</v>
      </c>
      <c r="N63" s="821"/>
    </row>
    <row r="64" spans="1:14" s="31" customFormat="1">
      <c r="B64" s="213"/>
      <c r="C64" s="155"/>
      <c r="D64" s="155"/>
      <c r="E64" s="155"/>
      <c r="F64" s="155"/>
      <c r="G64" s="155"/>
      <c r="H64" s="155"/>
      <c r="I64" s="155"/>
      <c r="J64" s="155"/>
      <c r="K64" s="155"/>
      <c r="N64" s="821"/>
    </row>
    <row r="65" spans="2:15">
      <c r="B65" s="213" t="s">
        <v>430</v>
      </c>
      <c r="C65" s="152" t="s">
        <v>128</v>
      </c>
      <c r="D65" s="95">
        <v>29.70714915664653</v>
      </c>
      <c r="E65" s="96">
        <v>22.614311175607821</v>
      </c>
      <c r="F65" s="96">
        <v>14.384300110863446</v>
      </c>
      <c r="G65" s="96">
        <v>17.776607922250765</v>
      </c>
      <c r="H65" s="96">
        <v>21.348481187460923</v>
      </c>
      <c r="I65" s="96">
        <v>25.17988186168477</v>
      </c>
      <c r="J65" s="96">
        <v>8.9496982346307448</v>
      </c>
      <c r="K65" s="97">
        <v>5.8447384423108133</v>
      </c>
      <c r="L65" s="31"/>
      <c r="M65" s="31"/>
    </row>
    <row r="66" spans="2:15" s="31" customFormat="1">
      <c r="B66" s="213" t="s">
        <v>448</v>
      </c>
      <c r="C66" s="152" t="s">
        <v>128</v>
      </c>
      <c r="D66" s="95">
        <v>0.77316570113336902</v>
      </c>
      <c r="E66" s="95">
        <v>0.82844882296153877</v>
      </c>
      <c r="F66" s="95">
        <v>1.0712173866046553</v>
      </c>
      <c r="G66" s="95">
        <v>1.6037209546281379</v>
      </c>
      <c r="H66" s="95">
        <v>2.5867741027638478</v>
      </c>
      <c r="I66" s="95">
        <v>2.6976364471559</v>
      </c>
      <c r="J66" s="95">
        <v>0.52382223420992635</v>
      </c>
      <c r="K66" s="95">
        <v>0.40260446347375417</v>
      </c>
      <c r="N66" s="821"/>
    </row>
    <row r="67" spans="2:15">
      <c r="B67" s="213" t="s">
        <v>447</v>
      </c>
      <c r="C67" s="152" t="s">
        <v>128</v>
      </c>
      <c r="D67" s="102">
        <v>30.480314857779899</v>
      </c>
      <c r="E67" s="103">
        <v>23.442759998569358</v>
      </c>
      <c r="F67" s="103">
        <v>15.455517497468101</v>
      </c>
      <c r="G67" s="103">
        <v>19.380328876878902</v>
      </c>
      <c r="H67" s="103">
        <v>23.93525529022477</v>
      </c>
      <c r="I67" s="103">
        <v>27.877518308840671</v>
      </c>
      <c r="J67" s="103">
        <v>9.4735204688406718</v>
      </c>
      <c r="K67" s="104">
        <v>6.2473429057845671</v>
      </c>
      <c r="L67" s="31"/>
      <c r="M67" s="31"/>
    </row>
    <row r="68" spans="2:15">
      <c r="B68" s="213"/>
      <c r="C68" s="152"/>
      <c r="D68" s="152"/>
      <c r="E68" s="152"/>
      <c r="F68" s="152"/>
      <c r="G68" s="152"/>
      <c r="H68" s="152"/>
      <c r="I68" s="152"/>
      <c r="J68" s="152"/>
      <c r="K68" s="152"/>
      <c r="L68" s="152"/>
      <c r="M68" s="152"/>
      <c r="N68" s="152"/>
      <c r="O68" s="152"/>
    </row>
    <row r="69" spans="2:15">
      <c r="B69" s="831" t="s">
        <v>447</v>
      </c>
      <c r="C69" s="156" t="s">
        <v>159</v>
      </c>
      <c r="D69" s="145">
        <v>28.74642407799816</v>
      </c>
      <c r="E69" s="146">
        <v>21.64539798427861</v>
      </c>
      <c r="F69" s="146">
        <v>13.755797371095085</v>
      </c>
      <c r="G69" s="146">
        <v>16.737550538461129</v>
      </c>
      <c r="H69" s="146">
        <v>20.149732619978344</v>
      </c>
      <c r="I69" s="146">
        <v>23.187277268407371</v>
      </c>
      <c r="J69" s="146">
        <v>7.6762319579181941</v>
      </c>
      <c r="K69" s="147">
        <v>4.9110990419616272</v>
      </c>
      <c r="L69" s="689">
        <v>124.22217986021872</v>
      </c>
      <c r="M69" s="690">
        <v>136.80951086009853</v>
      </c>
    </row>
    <row r="70" spans="2:15">
      <c r="B70" s="371" t="s">
        <v>523</v>
      </c>
      <c r="C70" s="159" t="s">
        <v>159</v>
      </c>
      <c r="D70" s="95">
        <v>0.43537611364475282</v>
      </c>
      <c r="E70" s="95">
        <v>0.43064951113123662</v>
      </c>
      <c r="F70" s="95">
        <v>0.21249126841763688</v>
      </c>
      <c r="G70" s="95">
        <v>0.15289127852501119</v>
      </c>
      <c r="H70" s="95">
        <v>0.15326468238542809</v>
      </c>
      <c r="I70" s="95">
        <v>0.21271368514726063</v>
      </c>
      <c r="J70" s="95">
        <v>0.28066298144973051</v>
      </c>
      <c r="K70" s="95">
        <v>0.27495337096507805</v>
      </c>
      <c r="L70" s="685">
        <v>1.597386539251326</v>
      </c>
      <c r="M70" s="686">
        <v>2.1530028916661346</v>
      </c>
      <c r="N70" s="155"/>
    </row>
    <row r="72" spans="2:15">
      <c r="B72" s="823" t="s">
        <v>318</v>
      </c>
      <c r="C72" s="824"/>
      <c r="D72" s="824"/>
      <c r="E72" s="824"/>
      <c r="F72" s="824"/>
      <c r="G72" s="824"/>
      <c r="H72" s="824"/>
      <c r="I72" s="824"/>
      <c r="J72" s="824"/>
      <c r="K72" s="824"/>
      <c r="L72" s="824"/>
      <c r="M72" s="824"/>
      <c r="N72" s="824"/>
      <c r="O72" s="155"/>
    </row>
    <row r="73" spans="2:15" s="31" customFormat="1">
      <c r="B73" s="825"/>
      <c r="C73" s="65"/>
      <c r="D73" s="65"/>
      <c r="E73" s="65"/>
      <c r="F73" s="65"/>
      <c r="G73" s="65"/>
      <c r="H73" s="65"/>
      <c r="I73" s="65"/>
      <c r="J73" s="65"/>
      <c r="K73" s="65"/>
      <c r="L73" s="65"/>
      <c r="M73" s="65"/>
      <c r="N73" s="65"/>
      <c r="O73" s="65"/>
    </row>
    <row r="74" spans="2:15">
      <c r="B74" s="368" t="s">
        <v>477</v>
      </c>
      <c r="C74" s="367"/>
      <c r="D74" s="367"/>
      <c r="E74" s="367"/>
      <c r="F74" s="367"/>
      <c r="G74" s="367"/>
      <c r="H74" s="367"/>
      <c r="I74" s="367"/>
      <c r="J74" s="367"/>
      <c r="K74" s="367"/>
      <c r="L74" s="367"/>
      <c r="M74" s="367"/>
      <c r="N74" s="367"/>
      <c r="O74" s="155"/>
    </row>
    <row r="75" spans="2:15">
      <c r="B75" s="368" t="s">
        <v>347</v>
      </c>
      <c r="C75" s="367"/>
      <c r="D75" s="367"/>
      <c r="E75" s="367"/>
      <c r="F75" s="367"/>
      <c r="G75" s="367"/>
      <c r="H75" s="367"/>
      <c r="I75" s="367"/>
      <c r="J75" s="367"/>
      <c r="K75" s="367"/>
      <c r="L75" s="367"/>
      <c r="M75" s="367"/>
      <c r="N75" s="367"/>
      <c r="O75" s="155"/>
    </row>
    <row r="76" spans="2:15">
      <c r="B76" s="368" t="s">
        <v>348</v>
      </c>
      <c r="C76" s="367"/>
      <c r="D76" s="367"/>
      <c r="E76" s="367"/>
      <c r="F76" s="367"/>
      <c r="G76" s="367"/>
      <c r="H76" s="367"/>
      <c r="I76" s="367"/>
      <c r="J76" s="367"/>
      <c r="K76" s="367"/>
      <c r="L76" s="367"/>
      <c r="M76" s="367"/>
      <c r="N76" s="367"/>
      <c r="O76" s="155"/>
    </row>
    <row r="77" spans="2:15">
      <c r="B77" s="368" t="s">
        <v>529</v>
      </c>
      <c r="C77" s="367"/>
      <c r="D77" s="367"/>
      <c r="E77" s="367"/>
      <c r="F77" s="367"/>
      <c r="G77" s="367"/>
      <c r="H77" s="367"/>
      <c r="I77" s="367"/>
      <c r="J77" s="367"/>
      <c r="K77" s="367"/>
      <c r="L77" s="367"/>
      <c r="M77" s="367"/>
      <c r="N77" s="367"/>
      <c r="O77" s="155"/>
    </row>
    <row r="78" spans="2:15" s="31" customFormat="1">
      <c r="B78" s="372"/>
      <c r="C78" s="372"/>
      <c r="D78" s="372"/>
      <c r="E78" s="372"/>
      <c r="F78" s="372"/>
      <c r="G78" s="372"/>
      <c r="H78" s="372"/>
      <c r="I78" s="372"/>
      <c r="J78" s="372"/>
      <c r="K78" s="372"/>
      <c r="L78" s="372"/>
      <c r="M78" s="372"/>
      <c r="N78" s="372"/>
      <c r="O78" s="65"/>
    </row>
    <row r="79" spans="2:15">
      <c r="B79" s="371" t="s">
        <v>233</v>
      </c>
      <c r="C79" s="155" t="s">
        <v>159</v>
      </c>
      <c r="D79" s="596">
        <v>13.911081028941394</v>
      </c>
      <c r="E79" s="596">
        <v>13.443300059887232</v>
      </c>
      <c r="F79" s="596">
        <v>12.960960600424306</v>
      </c>
      <c r="G79" s="596">
        <v>11.549597470104596</v>
      </c>
      <c r="H79" s="596">
        <v>9.8851454732311694</v>
      </c>
      <c r="I79" s="596">
        <v>7.0081192161080699</v>
      </c>
      <c r="J79" s="896">
        <v>4.9965319534625605</v>
      </c>
      <c r="K79" s="899"/>
      <c r="L79" s="897"/>
      <c r="M79" s="897"/>
      <c r="O79" s="65"/>
    </row>
    <row r="80" spans="2:15">
      <c r="B80" s="371" t="s">
        <v>317</v>
      </c>
      <c r="C80" s="155" t="s">
        <v>159</v>
      </c>
      <c r="D80" s="687">
        <v>13.911081028941394</v>
      </c>
      <c r="E80" s="688">
        <v>13.443300059887234</v>
      </c>
      <c r="F80" s="688">
        <v>12.834340994549489</v>
      </c>
      <c r="G80" s="688">
        <v>11.312134458893041</v>
      </c>
      <c r="H80" s="688">
        <v>9.6789129062662411</v>
      </c>
      <c r="I80" s="688">
        <v>6.9077722971974262</v>
      </c>
      <c r="J80" s="688">
        <v>4.9828713952804993</v>
      </c>
      <c r="K80" s="898">
        <v>2.9809883400052604</v>
      </c>
      <c r="L80" s="900">
        <v>68.087541745734825</v>
      </c>
      <c r="M80" s="900">
        <v>76.051401481020577</v>
      </c>
      <c r="O80" s="65"/>
    </row>
    <row r="81" spans="2:15" s="31" customFormat="1">
      <c r="B81" s="828"/>
      <c r="C81" s="65"/>
      <c r="D81" s="829"/>
      <c r="E81" s="829"/>
      <c r="F81" s="829"/>
      <c r="G81" s="829"/>
      <c r="H81" s="829"/>
      <c r="I81" s="829"/>
      <c r="J81" s="829"/>
      <c r="K81" s="829"/>
      <c r="L81" s="826"/>
      <c r="M81" s="826"/>
      <c r="O81" s="65"/>
    </row>
    <row r="82" spans="2:15" s="31" customFormat="1">
      <c r="B82" s="828"/>
      <c r="C82" s="65"/>
      <c r="D82" s="829"/>
      <c r="E82" s="830"/>
      <c r="F82" s="830"/>
      <c r="G82" s="830"/>
      <c r="H82" s="830"/>
      <c r="I82" s="830"/>
      <c r="J82" s="830"/>
      <c r="K82" s="830"/>
      <c r="L82" s="826"/>
      <c r="M82" s="826"/>
      <c r="O82" s="65"/>
    </row>
    <row r="83" spans="2:15">
      <c r="B83" s="832" t="s">
        <v>431</v>
      </c>
      <c r="C83" s="824"/>
      <c r="D83" s="824"/>
      <c r="E83" s="824"/>
      <c r="F83" s="824"/>
      <c r="G83" s="824"/>
      <c r="H83" s="824"/>
      <c r="I83" s="824"/>
      <c r="J83" s="824"/>
      <c r="K83" s="824"/>
      <c r="L83" s="824"/>
      <c r="M83" s="824"/>
      <c r="N83" s="824"/>
    </row>
    <row r="84" spans="2:15">
      <c r="B84" s="371"/>
      <c r="C84" s="155"/>
      <c r="D84" s="155"/>
      <c r="E84" s="155"/>
      <c r="F84" s="155"/>
      <c r="G84" s="155"/>
      <c r="H84" s="155"/>
      <c r="I84" s="155"/>
      <c r="J84" s="155"/>
      <c r="K84" s="155"/>
      <c r="L84" s="155"/>
      <c r="M84" s="155"/>
      <c r="N84" s="155"/>
    </row>
    <row r="85" spans="2:15">
      <c r="B85" s="851" t="s">
        <v>485</v>
      </c>
      <c r="C85" s="155"/>
      <c r="D85" s="155"/>
      <c r="E85" s="155"/>
      <c r="F85" s="155"/>
      <c r="G85" s="155"/>
      <c r="H85" s="155"/>
      <c r="I85" s="155"/>
      <c r="J85" s="155"/>
      <c r="K85" s="155"/>
      <c r="L85" s="155"/>
      <c r="M85" s="155"/>
      <c r="N85" s="155"/>
    </row>
    <row r="86" spans="2:15">
      <c r="B86" s="213" t="s">
        <v>486</v>
      </c>
      <c r="C86" s="155" t="s">
        <v>159</v>
      </c>
      <c r="D86" s="145">
        <v>-14.530491671260545</v>
      </c>
      <c r="E86" s="145">
        <v>-7.8525971646359318</v>
      </c>
      <c r="F86" s="145">
        <v>-0.16580965448769427</v>
      </c>
      <c r="G86" s="145">
        <v>-4.1806243958011651</v>
      </c>
      <c r="H86" s="145">
        <v>-8.4298622332911908</v>
      </c>
      <c r="I86" s="145">
        <v>-14.22786112782466</v>
      </c>
      <c r="J86" s="145">
        <v>-2.5340605442477857</v>
      </c>
      <c r="K86" s="145">
        <v>-1.8708535324179205</v>
      </c>
      <c r="L86" s="689">
        <v>-49.387246247301185</v>
      </c>
      <c r="M86" s="690">
        <v>-53.79216032396689</v>
      </c>
    </row>
    <row r="87" spans="2:15">
      <c r="B87" s="213"/>
    </row>
    <row r="88" spans="2:15">
      <c r="B88" s="213" t="s">
        <v>487</v>
      </c>
      <c r="C88" s="155" t="s">
        <v>159</v>
      </c>
      <c r="D88" s="145">
        <v>-15.270719162701518</v>
      </c>
      <c r="E88" s="145">
        <v>-8.6327474355226119</v>
      </c>
      <c r="F88" s="145">
        <v>-1.1339476449632326</v>
      </c>
      <c r="G88" s="145">
        <v>-5.5783073580930989</v>
      </c>
      <c r="H88" s="145">
        <v>-10.624084396097532</v>
      </c>
      <c r="I88" s="145">
        <v>-16.492218656357206</v>
      </c>
      <c r="J88" s="145">
        <v>-2.9740235440874252</v>
      </c>
      <c r="K88" s="145">
        <v>-2.205064072921445</v>
      </c>
      <c r="L88" s="689">
        <v>-57.732024653735195</v>
      </c>
      <c r="M88" s="690">
        <v>-62.911112270744063</v>
      </c>
    </row>
    <row r="89" spans="2:15">
      <c r="B89" s="213"/>
    </row>
    <row r="90" spans="2:15">
      <c r="B90" s="213" t="s">
        <v>488</v>
      </c>
      <c r="C90" s="155" t="s">
        <v>159</v>
      </c>
      <c r="D90" s="145">
        <v>0.74022749144097233</v>
      </c>
      <c r="E90" s="145">
        <v>0.7801502708866801</v>
      </c>
      <c r="F90" s="145">
        <v>0.96813799047553839</v>
      </c>
      <c r="G90" s="145">
        <v>1.3976829622919338</v>
      </c>
      <c r="H90" s="145">
        <v>2.1942221628063407</v>
      </c>
      <c r="I90" s="145">
        <v>2.2643575285325461</v>
      </c>
      <c r="J90" s="145">
        <v>0.43996299983963949</v>
      </c>
      <c r="K90" s="145">
        <v>0.3342105405035245</v>
      </c>
      <c r="L90" s="689">
        <v>8.3447784064340116</v>
      </c>
      <c r="M90" s="690">
        <v>9.1189519467771767</v>
      </c>
    </row>
    <row r="91" spans="2:15">
      <c r="B91" s="200"/>
    </row>
  </sheetData>
  <conditionalFormatting sqref="D6:K6">
    <cfRule type="expression" dxfId="55" priority="26">
      <formula>AND(D$5="Actuals",E$5="Forecast")</formula>
    </cfRule>
  </conditionalFormatting>
  <conditionalFormatting sqref="D5:K5">
    <cfRule type="expression" dxfId="54" priority="19">
      <formula>AND(D$5="Actuals",E$5="Forecast")</formula>
    </cfRule>
  </conditionalFormatting>
  <conditionalFormatting sqref="D29:G29 I29:K29">
    <cfRule type="expression" dxfId="53" priority="17">
      <formula>D$5="Forecast"</formula>
    </cfRule>
    <cfRule type="expression" dxfId="52" priority="18">
      <formula>D$5="Actuals"</formula>
    </cfRule>
  </conditionalFormatting>
  <conditionalFormatting sqref="D47:G47">
    <cfRule type="expression" dxfId="51" priority="11">
      <formula>D$5="Forecast"</formula>
    </cfRule>
    <cfRule type="expression" dxfId="50" priority="12">
      <formula>D$5="Actuals"</formula>
    </cfRule>
  </conditionalFormatting>
  <conditionalFormatting sqref="I47">
    <cfRule type="expression" dxfId="49" priority="9">
      <formula>I$5="Forecast"</formula>
    </cfRule>
    <cfRule type="expression" dxfId="48" priority="10">
      <formula>I$5="Actuals"</formula>
    </cfRule>
  </conditionalFormatting>
  <conditionalFormatting sqref="H47">
    <cfRule type="expression" dxfId="47" priority="7">
      <formula>H$5="Forecast"</formula>
    </cfRule>
    <cfRule type="expression" dxfId="46" priority="8">
      <formula>H$5="Actuals"</formula>
    </cfRule>
  </conditionalFormatting>
  <conditionalFormatting sqref="H29">
    <cfRule type="expression" dxfId="45" priority="5">
      <formula>H$5="Forecast"</formula>
    </cfRule>
    <cfRule type="expression" dxfId="44" priority="6">
      <formula>H$5="Actuals"</formula>
    </cfRule>
  </conditionalFormatting>
  <conditionalFormatting sqref="J47">
    <cfRule type="expression" dxfId="43" priority="3">
      <formula>J$5="Forecast"</formula>
    </cfRule>
    <cfRule type="expression" dxfId="42" priority="4">
      <formula>J$5="Actuals"</formula>
    </cfRule>
  </conditionalFormatting>
  <conditionalFormatting sqref="K47">
    <cfRule type="expression" dxfId="41" priority="1">
      <formula>K$5="Forecast"</formula>
    </cfRule>
    <cfRule type="expression" dxfId="40" priority="2">
      <formula>K$5="Actuals"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6"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31" customFormat="1" ht="21">
      <c r="A1" s="906" t="s">
        <v>237</v>
      </c>
      <c r="B1" s="916"/>
      <c r="C1" s="256"/>
      <c r="D1" s="256"/>
      <c r="E1" s="256"/>
      <c r="F1" s="256"/>
      <c r="G1" s="256"/>
      <c r="H1" s="256"/>
      <c r="I1" s="257"/>
      <c r="J1" s="257"/>
      <c r="K1" s="258"/>
      <c r="L1" s="363"/>
    </row>
    <row r="2" spans="1:12" s="31" customFormat="1" ht="21">
      <c r="A2" s="909" t="s">
        <v>248</v>
      </c>
      <c r="B2" s="901"/>
      <c r="C2" s="29"/>
      <c r="D2" s="29"/>
      <c r="E2" s="29"/>
      <c r="F2" s="29"/>
      <c r="G2" s="29"/>
      <c r="H2" s="29"/>
      <c r="I2" s="27"/>
      <c r="J2" s="27"/>
      <c r="K2" s="27"/>
      <c r="L2" s="123"/>
    </row>
    <row r="3" spans="1:12" s="31" customFormat="1" ht="22.8">
      <c r="A3" s="912">
        <v>2021</v>
      </c>
      <c r="B3" s="918" t="s">
        <v>649</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650</v>
      </c>
      <c r="E5" s="390" t="s">
        <v>650</v>
      </c>
      <c r="F5" s="390" t="s">
        <v>650</v>
      </c>
      <c r="G5" s="390" t="s">
        <v>650</v>
      </c>
      <c r="H5" s="390" t="s">
        <v>650</v>
      </c>
      <c r="I5" s="390" t="s">
        <v>650</v>
      </c>
      <c r="J5" s="390" t="s">
        <v>651</v>
      </c>
      <c r="K5" s="391" t="s">
        <v>651</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519</v>
      </c>
      <c r="C8" s="152" t="s">
        <v>128</v>
      </c>
      <c r="D8" s="880">
        <v>-25.849311740000001</v>
      </c>
      <c r="E8" s="697">
        <v>-32.200000000000003</v>
      </c>
      <c r="F8" s="697">
        <v>-19.45701588</v>
      </c>
      <c r="G8" s="697">
        <v>-33.159069620000004</v>
      </c>
      <c r="H8" s="697">
        <v>-4.6033230300000003</v>
      </c>
      <c r="I8" s="697">
        <v>-0.46483783000000001</v>
      </c>
      <c r="J8" s="697">
        <v>-18.102348879999997</v>
      </c>
      <c r="K8" s="697">
        <v>46.080253994590286</v>
      </c>
    </row>
    <row r="9" spans="1:12" s="2" customFormat="1">
      <c r="B9" s="213"/>
    </row>
    <row r="10" spans="1:12">
      <c r="B10" s="213" t="s">
        <v>520</v>
      </c>
      <c r="C10" s="152" t="s">
        <v>128</v>
      </c>
      <c r="D10" s="691">
        <v>-32.200000000000003</v>
      </c>
      <c r="E10" s="692">
        <v>-19.45701588</v>
      </c>
      <c r="F10" s="692">
        <v>-33.159069620000004</v>
      </c>
      <c r="G10" s="692">
        <v>-4.6033230300000003</v>
      </c>
      <c r="H10" s="692">
        <v>-0.46483783000000001</v>
      </c>
      <c r="I10" s="692">
        <v>-18.102348879999997</v>
      </c>
      <c r="J10" s="692">
        <v>46.080253994590286</v>
      </c>
      <c r="K10" s="693">
        <v>56.795068704973794</v>
      </c>
    </row>
    <row r="11" spans="1:12">
      <c r="B11" s="213" t="s">
        <v>368</v>
      </c>
      <c r="C11" s="152" t="s">
        <v>128</v>
      </c>
      <c r="D11" s="694">
        <v>566.72789999999998</v>
      </c>
      <c r="E11" s="695">
        <v>619.78910460000009</v>
      </c>
      <c r="F11" s="695">
        <v>653.2063776</v>
      </c>
      <c r="G11" s="695">
        <v>655.20138665000002</v>
      </c>
      <c r="H11" s="695">
        <v>657.61491336000006</v>
      </c>
      <c r="I11" s="695">
        <v>755.00605408999991</v>
      </c>
      <c r="J11" s="695">
        <v>758.03838235769604</v>
      </c>
      <c r="K11" s="696">
        <v>761.06460232592212</v>
      </c>
    </row>
    <row r="12" spans="1:12">
      <c r="B12" s="213" t="s">
        <v>369</v>
      </c>
      <c r="C12" s="152" t="s">
        <v>128</v>
      </c>
      <c r="D12" s="694">
        <v>57.5</v>
      </c>
      <c r="E12" s="695">
        <v>0</v>
      </c>
      <c r="F12" s="695">
        <v>0</v>
      </c>
      <c r="G12" s="695">
        <v>0</v>
      </c>
      <c r="H12" s="695">
        <v>0</v>
      </c>
      <c r="I12" s="695">
        <v>0</v>
      </c>
      <c r="J12" s="695">
        <v>0</v>
      </c>
      <c r="K12" s="696">
        <v>0</v>
      </c>
    </row>
    <row r="13" spans="1:12">
      <c r="B13" s="213" t="s">
        <v>370</v>
      </c>
      <c r="C13" s="152" t="s">
        <v>128</v>
      </c>
      <c r="D13" s="694">
        <v>0</v>
      </c>
      <c r="E13" s="695">
        <v>0</v>
      </c>
      <c r="F13" s="695">
        <v>0</v>
      </c>
      <c r="G13" s="695">
        <v>0</v>
      </c>
      <c r="H13" s="695">
        <v>0</v>
      </c>
      <c r="I13" s="695">
        <v>0</v>
      </c>
      <c r="J13" s="695">
        <v>0</v>
      </c>
      <c r="K13" s="696">
        <v>0</v>
      </c>
    </row>
    <row r="14" spans="1:12">
      <c r="B14" s="213" t="s">
        <v>371</v>
      </c>
      <c r="C14" s="152" t="s">
        <v>128</v>
      </c>
      <c r="D14" s="694">
        <v>-3.1354999999999973</v>
      </c>
      <c r="E14" s="695">
        <v>-16.786109879999998</v>
      </c>
      <c r="F14" s="695">
        <v>-8.1006748700000006</v>
      </c>
      <c r="G14" s="695">
        <v>-5.8129591400000002</v>
      </c>
      <c r="H14" s="695">
        <v>1.3225</v>
      </c>
      <c r="I14" s="695">
        <v>-2.9437707699999995</v>
      </c>
      <c r="J14" s="695">
        <v>-2.9437707699999995</v>
      </c>
      <c r="K14" s="696">
        <v>-2.9437707699999995</v>
      </c>
    </row>
    <row r="15" spans="1:12">
      <c r="B15" s="213" t="s">
        <v>293</v>
      </c>
      <c r="C15" s="152" t="s">
        <v>128</v>
      </c>
      <c r="D15" s="694">
        <v>0</v>
      </c>
      <c r="E15" s="695">
        <v>0</v>
      </c>
      <c r="F15" s="695">
        <v>0</v>
      </c>
      <c r="G15" s="695">
        <v>0</v>
      </c>
      <c r="H15" s="695">
        <v>0</v>
      </c>
      <c r="I15" s="695">
        <v>0</v>
      </c>
      <c r="J15" s="695">
        <v>0</v>
      </c>
      <c r="K15" s="696">
        <v>0</v>
      </c>
    </row>
    <row r="16" spans="1:12">
      <c r="B16" s="213" t="s">
        <v>294</v>
      </c>
      <c r="C16" s="152" t="s">
        <v>128</v>
      </c>
      <c r="D16" s="694">
        <v>0</v>
      </c>
      <c r="E16" s="695">
        <v>0</v>
      </c>
      <c r="F16" s="695">
        <v>0</v>
      </c>
      <c r="G16" s="695">
        <v>0</v>
      </c>
      <c r="H16" s="695">
        <v>0</v>
      </c>
      <c r="I16" s="695">
        <v>0</v>
      </c>
      <c r="J16" s="695">
        <v>0</v>
      </c>
      <c r="K16" s="696">
        <v>0</v>
      </c>
    </row>
    <row r="17" spans="2:13">
      <c r="B17" s="213" t="s">
        <v>298</v>
      </c>
      <c r="C17" s="152" t="s">
        <v>128</v>
      </c>
      <c r="D17" s="694">
        <v>0</v>
      </c>
      <c r="E17" s="695">
        <v>0</v>
      </c>
      <c r="F17" s="695">
        <v>0</v>
      </c>
      <c r="G17" s="695">
        <v>0</v>
      </c>
      <c r="H17" s="695">
        <v>4.5366950200000007</v>
      </c>
      <c r="I17" s="695">
        <v>0</v>
      </c>
      <c r="J17" s="695">
        <v>0</v>
      </c>
      <c r="K17" s="696">
        <v>0</v>
      </c>
    </row>
    <row r="18" spans="2:13">
      <c r="B18" s="213" t="s">
        <v>299</v>
      </c>
      <c r="C18" s="152" t="s">
        <v>128</v>
      </c>
      <c r="D18" s="694">
        <v>0</v>
      </c>
      <c r="E18" s="695">
        <v>0</v>
      </c>
      <c r="F18" s="695">
        <v>0</v>
      </c>
      <c r="G18" s="695">
        <v>0</v>
      </c>
      <c r="H18" s="695">
        <v>0</v>
      </c>
      <c r="I18" s="695">
        <v>0</v>
      </c>
      <c r="J18" s="695">
        <v>0</v>
      </c>
      <c r="K18" s="696">
        <v>0</v>
      </c>
    </row>
    <row r="19" spans="2:13">
      <c r="B19" s="213" t="s">
        <v>300</v>
      </c>
      <c r="C19" s="152" t="s">
        <v>128</v>
      </c>
      <c r="D19" s="694">
        <v>0</v>
      </c>
      <c r="E19" s="695">
        <v>0</v>
      </c>
      <c r="F19" s="695">
        <v>0</v>
      </c>
      <c r="G19" s="695">
        <v>0</v>
      </c>
      <c r="H19" s="695">
        <v>0</v>
      </c>
      <c r="I19" s="695">
        <v>0</v>
      </c>
      <c r="J19" s="695">
        <v>0</v>
      </c>
      <c r="K19" s="696">
        <v>0</v>
      </c>
    </row>
    <row r="20" spans="2:13">
      <c r="B20" s="213" t="s">
        <v>301</v>
      </c>
      <c r="C20" s="152" t="s">
        <v>128</v>
      </c>
      <c r="D20" s="694">
        <v>0</v>
      </c>
      <c r="E20" s="695">
        <v>0</v>
      </c>
      <c r="F20" s="695">
        <v>0</v>
      </c>
      <c r="G20" s="695">
        <v>0</v>
      </c>
      <c r="H20" s="695">
        <v>0</v>
      </c>
      <c r="I20" s="695">
        <v>0</v>
      </c>
      <c r="J20" s="695">
        <v>0</v>
      </c>
      <c r="K20" s="696">
        <v>0</v>
      </c>
    </row>
    <row r="21" spans="2:13">
      <c r="B21" s="213" t="s">
        <v>302</v>
      </c>
      <c r="C21" s="152" t="s">
        <v>128</v>
      </c>
      <c r="D21" s="694">
        <v>0</v>
      </c>
      <c r="E21" s="695">
        <v>0</v>
      </c>
      <c r="F21" s="695">
        <v>0</v>
      </c>
      <c r="G21" s="695">
        <v>0</v>
      </c>
      <c r="H21" s="695">
        <v>0</v>
      </c>
      <c r="I21" s="695">
        <v>0</v>
      </c>
      <c r="J21" s="695">
        <v>0</v>
      </c>
      <c r="K21" s="696">
        <v>0</v>
      </c>
    </row>
    <row r="22" spans="2:13">
      <c r="B22" s="213" t="s">
        <v>303</v>
      </c>
      <c r="C22" s="152" t="s">
        <v>128</v>
      </c>
      <c r="D22" s="694">
        <v>0</v>
      </c>
      <c r="E22" s="695">
        <v>0</v>
      </c>
      <c r="F22" s="695">
        <v>0</v>
      </c>
      <c r="G22" s="695">
        <v>0</v>
      </c>
      <c r="H22" s="695">
        <v>0</v>
      </c>
      <c r="I22" s="695">
        <v>0</v>
      </c>
      <c r="J22" s="695">
        <v>0</v>
      </c>
      <c r="K22" s="696">
        <v>0</v>
      </c>
    </row>
    <row r="23" spans="2:13">
      <c r="B23" s="14" t="s">
        <v>319</v>
      </c>
      <c r="C23" s="235" t="s">
        <v>128</v>
      </c>
      <c r="D23" s="697">
        <v>588.89239999999995</v>
      </c>
      <c r="E23" s="697">
        <v>583.54597884000009</v>
      </c>
      <c r="F23" s="697">
        <v>611.94663310999999</v>
      </c>
      <c r="G23" s="697">
        <v>644.78510448000009</v>
      </c>
      <c r="H23" s="697">
        <v>663.00927055000011</v>
      </c>
      <c r="I23" s="697">
        <v>733.95993443999987</v>
      </c>
      <c r="J23" s="697">
        <v>801.17486558228632</v>
      </c>
      <c r="K23" s="698">
        <v>814.91590026089591</v>
      </c>
      <c r="L23" s="2"/>
      <c r="M23" s="323"/>
    </row>
    <row r="24" spans="2:13">
      <c r="B24" s="14"/>
      <c r="C24" s="152"/>
      <c r="D24" s="239"/>
      <c r="E24" s="239"/>
      <c r="F24" s="239"/>
      <c r="G24" s="239"/>
      <c r="H24" s="239"/>
      <c r="I24" s="239"/>
      <c r="J24" s="239"/>
      <c r="K24" s="239"/>
      <c r="L24" s="2"/>
      <c r="M24" s="2"/>
    </row>
    <row r="25" spans="2:13">
      <c r="B25" s="14" t="s">
        <v>123</v>
      </c>
      <c r="C25" s="16"/>
      <c r="D25" s="240"/>
      <c r="E25" s="240"/>
      <c r="F25" s="240"/>
      <c r="G25" s="240"/>
      <c r="H25" s="240"/>
      <c r="I25" s="240"/>
      <c r="J25" s="240"/>
      <c r="K25" s="240"/>
      <c r="L25" s="2"/>
      <c r="M25" s="2"/>
    </row>
    <row r="26" spans="2:13">
      <c r="B26" s="369" t="s">
        <v>531</v>
      </c>
      <c r="C26" s="152" t="s">
        <v>128</v>
      </c>
      <c r="D26" s="347">
        <v>6.7392560799999996</v>
      </c>
      <c r="E26" s="347">
        <v>6.5719434000000003</v>
      </c>
      <c r="F26" s="347">
        <v>6.4523000000000001</v>
      </c>
      <c r="G26" s="347">
        <v>5.9998303499999999</v>
      </c>
      <c r="H26" s="347">
        <v>5.5795676399999996</v>
      </c>
      <c r="I26" s="347">
        <v>6.5535533599999996</v>
      </c>
      <c r="J26" s="347">
        <v>6.1435058796019142</v>
      </c>
      <c r="K26" s="347">
        <v>5.7334583992038279</v>
      </c>
      <c r="L26" s="2"/>
      <c r="M26" s="2"/>
    </row>
    <row r="27" spans="2:13">
      <c r="B27" s="369" t="s">
        <v>8</v>
      </c>
      <c r="C27" s="152" t="s">
        <v>128</v>
      </c>
      <c r="D27" s="347">
        <v>0</v>
      </c>
      <c r="E27" s="379">
        <v>0</v>
      </c>
      <c r="F27" s="379">
        <v>0</v>
      </c>
      <c r="G27" s="379">
        <v>0</v>
      </c>
      <c r="H27" s="379">
        <v>0</v>
      </c>
      <c r="I27" s="379">
        <v>0</v>
      </c>
      <c r="J27" s="379">
        <v>0</v>
      </c>
      <c r="K27" s="383">
        <v>0</v>
      </c>
      <c r="L27" s="35"/>
      <c r="M27" s="35"/>
    </row>
    <row r="28" spans="2:13">
      <c r="B28" s="369" t="s">
        <v>9</v>
      </c>
      <c r="C28" s="152" t="s">
        <v>128</v>
      </c>
      <c r="D28" s="347">
        <v>0</v>
      </c>
      <c r="E28" s="379">
        <v>0</v>
      </c>
      <c r="F28" s="379">
        <v>0</v>
      </c>
      <c r="G28" s="379">
        <v>0</v>
      </c>
      <c r="H28" s="379">
        <v>0</v>
      </c>
      <c r="I28" s="379">
        <v>0</v>
      </c>
      <c r="J28" s="379">
        <v>0</v>
      </c>
      <c r="K28" s="383">
        <v>0</v>
      </c>
      <c r="L28" s="35"/>
      <c r="M28" s="35"/>
    </row>
    <row r="29" spans="2:13">
      <c r="B29" s="369" t="s">
        <v>10</v>
      </c>
      <c r="C29" s="152" t="s">
        <v>128</v>
      </c>
      <c r="D29" s="347">
        <v>0</v>
      </c>
      <c r="E29" s="379">
        <v>0</v>
      </c>
      <c r="F29" s="379">
        <v>0</v>
      </c>
      <c r="G29" s="379">
        <v>0</v>
      </c>
      <c r="H29" s="379">
        <v>0</v>
      </c>
      <c r="I29" s="379">
        <v>0</v>
      </c>
      <c r="J29" s="379">
        <v>0</v>
      </c>
      <c r="K29" s="383">
        <v>0</v>
      </c>
      <c r="L29" s="35"/>
      <c r="M29" s="35"/>
    </row>
    <row r="30" spans="2:13">
      <c r="B30" s="369" t="s">
        <v>621</v>
      </c>
      <c r="C30" s="152" t="s">
        <v>128</v>
      </c>
      <c r="D30" s="347">
        <v>1.532816</v>
      </c>
      <c r="E30" s="379">
        <v>-1.5355479999999999</v>
      </c>
      <c r="F30" s="379">
        <v>-2.6335999999999999</v>
      </c>
      <c r="G30" s="379">
        <v>-2.3757519999999999</v>
      </c>
      <c r="H30" s="379">
        <v>-2.1178720000000002</v>
      </c>
      <c r="I30" s="379">
        <v>0.70181354999999979</v>
      </c>
      <c r="J30" s="379">
        <v>0.78463681370205096</v>
      </c>
      <c r="K30" s="383">
        <v>0.86746007740410214</v>
      </c>
    </row>
    <row r="31" spans="2:13">
      <c r="B31" s="369" t="s">
        <v>622</v>
      </c>
      <c r="C31" s="152" t="s">
        <v>128</v>
      </c>
      <c r="D31" s="347">
        <v>3.1354999999999973</v>
      </c>
      <c r="E31" s="379">
        <v>16.786109879999998</v>
      </c>
      <c r="F31" s="379">
        <v>8.1006999999999998</v>
      </c>
      <c r="G31" s="379">
        <v>5.8129591400000002</v>
      </c>
      <c r="H31" s="379">
        <v>-1.3224654100000002</v>
      </c>
      <c r="I31" s="379">
        <v>2.9437707699999995</v>
      </c>
      <c r="J31" s="379">
        <v>2.9437707699999995</v>
      </c>
      <c r="K31" s="383">
        <v>2.9437707699999995</v>
      </c>
    </row>
    <row r="32" spans="2:13" ht="12.75" customHeight="1">
      <c r="B32" s="369" t="s">
        <v>623</v>
      </c>
      <c r="C32" s="152" t="s">
        <v>128</v>
      </c>
      <c r="D32" s="347">
        <v>1.8409100000000001E-3</v>
      </c>
      <c r="E32" s="379">
        <v>0</v>
      </c>
      <c r="F32" s="379">
        <v>0</v>
      </c>
      <c r="G32" s="379">
        <v>0</v>
      </c>
      <c r="H32" s="379">
        <v>0</v>
      </c>
      <c r="I32" s="379">
        <v>0</v>
      </c>
      <c r="J32" s="379">
        <v>-1E-8</v>
      </c>
      <c r="K32" s="383">
        <v>-1E-8</v>
      </c>
    </row>
    <row r="33" spans="2:12">
      <c r="B33" s="369" t="s">
        <v>624</v>
      </c>
      <c r="C33" s="152" t="s">
        <v>128</v>
      </c>
      <c r="D33" s="347">
        <v>0</v>
      </c>
      <c r="E33" s="379">
        <v>0</v>
      </c>
      <c r="F33" s="379">
        <v>0</v>
      </c>
      <c r="G33" s="379">
        <v>0</v>
      </c>
      <c r="H33" s="379">
        <v>-4.5366</v>
      </c>
      <c r="I33" s="379">
        <v>0</v>
      </c>
      <c r="J33" s="379">
        <v>0</v>
      </c>
      <c r="K33" s="383">
        <v>0</v>
      </c>
    </row>
    <row r="34" spans="2:12">
      <c r="B34" s="369" t="s">
        <v>356</v>
      </c>
      <c r="C34" s="152" t="s">
        <v>128</v>
      </c>
      <c r="D34" s="347">
        <v>0</v>
      </c>
      <c r="E34" s="379">
        <v>0</v>
      </c>
      <c r="F34" s="379">
        <v>0</v>
      </c>
      <c r="G34" s="379">
        <v>0</v>
      </c>
      <c r="H34" s="379">
        <v>0</v>
      </c>
      <c r="I34" s="379">
        <v>0</v>
      </c>
      <c r="J34" s="379">
        <v>0</v>
      </c>
      <c r="K34" s="383">
        <v>0</v>
      </c>
    </row>
    <row r="35" spans="2:12">
      <c r="B35" s="369" t="s">
        <v>357</v>
      </c>
      <c r="C35" s="152" t="s">
        <v>128</v>
      </c>
      <c r="D35" s="347">
        <v>0</v>
      </c>
      <c r="E35" s="379">
        <v>0</v>
      </c>
      <c r="F35" s="379">
        <v>0</v>
      </c>
      <c r="G35" s="379">
        <v>0</v>
      </c>
      <c r="H35" s="379">
        <v>0</v>
      </c>
      <c r="I35" s="379">
        <v>0</v>
      </c>
      <c r="J35" s="379">
        <v>0</v>
      </c>
      <c r="K35" s="383">
        <v>0</v>
      </c>
    </row>
    <row r="36" spans="2:12">
      <c r="B36" s="369" t="s">
        <v>358</v>
      </c>
      <c r="C36" s="152" t="s">
        <v>128</v>
      </c>
      <c r="D36" s="347">
        <v>0</v>
      </c>
      <c r="E36" s="379">
        <v>0</v>
      </c>
      <c r="F36" s="379">
        <v>0</v>
      </c>
      <c r="G36" s="379">
        <v>0</v>
      </c>
      <c r="H36" s="379">
        <v>0</v>
      </c>
      <c r="I36" s="379">
        <v>0</v>
      </c>
      <c r="J36" s="379">
        <v>0</v>
      </c>
      <c r="K36" s="383">
        <v>0</v>
      </c>
    </row>
    <row r="37" spans="2:12">
      <c r="B37" s="369" t="s">
        <v>359</v>
      </c>
      <c r="C37" s="152" t="s">
        <v>128</v>
      </c>
      <c r="D37" s="347">
        <v>0</v>
      </c>
      <c r="E37" s="379">
        <v>0</v>
      </c>
      <c r="F37" s="379">
        <v>0</v>
      </c>
      <c r="G37" s="379">
        <v>0</v>
      </c>
      <c r="H37" s="379">
        <v>0</v>
      </c>
      <c r="I37" s="379">
        <v>0</v>
      </c>
      <c r="J37" s="379">
        <v>0</v>
      </c>
      <c r="K37" s="383">
        <v>0</v>
      </c>
    </row>
    <row r="38" spans="2:12">
      <c r="B38" s="369" t="s">
        <v>360</v>
      </c>
      <c r="C38" s="152" t="s">
        <v>128</v>
      </c>
      <c r="D38" s="347">
        <v>0</v>
      </c>
      <c r="E38" s="379">
        <v>0</v>
      </c>
      <c r="F38" s="379">
        <v>0</v>
      </c>
      <c r="G38" s="379">
        <v>0</v>
      </c>
      <c r="H38" s="379">
        <v>0</v>
      </c>
      <c r="I38" s="379">
        <v>0</v>
      </c>
      <c r="J38" s="379">
        <v>0</v>
      </c>
      <c r="K38" s="383">
        <v>0</v>
      </c>
    </row>
    <row r="39" spans="2:12">
      <c r="B39" s="369" t="s">
        <v>361</v>
      </c>
      <c r="C39" s="152" t="s">
        <v>128</v>
      </c>
      <c r="D39" s="347">
        <v>0</v>
      </c>
      <c r="E39" s="379">
        <v>0</v>
      </c>
      <c r="F39" s="379">
        <v>0</v>
      </c>
      <c r="G39" s="379">
        <v>0</v>
      </c>
      <c r="H39" s="379">
        <v>0</v>
      </c>
      <c r="I39" s="379">
        <v>0</v>
      </c>
      <c r="J39" s="379">
        <v>0</v>
      </c>
      <c r="K39" s="383">
        <v>0</v>
      </c>
    </row>
    <row r="40" spans="2:12">
      <c r="B40" s="369" t="s">
        <v>362</v>
      </c>
      <c r="C40" s="152" t="s">
        <v>128</v>
      </c>
      <c r="D40" s="347">
        <v>0</v>
      </c>
      <c r="E40" s="379">
        <v>0</v>
      </c>
      <c r="F40" s="379">
        <v>0</v>
      </c>
      <c r="G40" s="379">
        <v>0</v>
      </c>
      <c r="H40" s="379">
        <v>0</v>
      </c>
      <c r="I40" s="379">
        <v>0</v>
      </c>
      <c r="J40" s="379">
        <v>0</v>
      </c>
      <c r="K40" s="383">
        <v>0</v>
      </c>
    </row>
    <row r="41" spans="2:12">
      <c r="B41" s="369" t="s">
        <v>363</v>
      </c>
      <c r="C41" s="152" t="s">
        <v>128</v>
      </c>
      <c r="D41" s="380">
        <v>0</v>
      </c>
      <c r="E41" s="381">
        <v>0</v>
      </c>
      <c r="F41" s="381">
        <v>0</v>
      </c>
      <c r="G41" s="381">
        <v>0</v>
      </c>
      <c r="H41" s="381">
        <v>0</v>
      </c>
      <c r="I41" s="381">
        <v>0</v>
      </c>
      <c r="J41" s="381">
        <v>0</v>
      </c>
      <c r="K41" s="384">
        <v>0</v>
      </c>
    </row>
    <row r="42" spans="2:12">
      <c r="B42" s="199" t="s">
        <v>234</v>
      </c>
      <c r="C42" s="152" t="s">
        <v>128</v>
      </c>
      <c r="D42" s="705">
        <v>600.30181299000003</v>
      </c>
      <c r="E42" s="705">
        <v>605.36848412000018</v>
      </c>
      <c r="F42" s="705">
        <v>623.86603310999999</v>
      </c>
      <c r="G42" s="705">
        <v>654.22214197000005</v>
      </c>
      <c r="H42" s="705">
        <v>660.61190078000016</v>
      </c>
      <c r="I42" s="705">
        <v>744.15907211999991</v>
      </c>
      <c r="J42" s="705">
        <v>811.04677903559025</v>
      </c>
      <c r="K42" s="705">
        <v>824.46058949750386</v>
      </c>
    </row>
    <row r="43" spans="2:12">
      <c r="B43" s="370" t="s">
        <v>306</v>
      </c>
      <c r="C43" s="152" t="s">
        <v>128</v>
      </c>
      <c r="D43" s="706"/>
      <c r="E43" s="707"/>
      <c r="F43" s="707"/>
      <c r="G43" s="708"/>
      <c r="H43" s="708"/>
      <c r="I43" s="708"/>
      <c r="J43" s="708">
        <v>0</v>
      </c>
      <c r="K43" s="709">
        <v>0</v>
      </c>
    </row>
    <row r="44" spans="2:12">
      <c r="B44" s="346" t="s">
        <v>435</v>
      </c>
      <c r="C44" s="152" t="s">
        <v>128</v>
      </c>
      <c r="D44" s="95">
        <v>600.30181299000003</v>
      </c>
      <c r="E44" s="96">
        <v>605.36848412000018</v>
      </c>
      <c r="F44" s="96">
        <v>623.86603310999999</v>
      </c>
      <c r="G44" s="96">
        <v>654.22214197000005</v>
      </c>
      <c r="H44" s="96">
        <v>660.61190078000016</v>
      </c>
      <c r="I44" s="96">
        <v>744.15907211999991</v>
      </c>
      <c r="J44" s="96">
        <v>811.04677903559025</v>
      </c>
      <c r="K44" s="97">
        <v>824.46058949750386</v>
      </c>
    </row>
    <row r="45" spans="2:12">
      <c r="D45" s="226" t="s">
        <v>652</v>
      </c>
      <c r="E45" s="227" t="s">
        <v>652</v>
      </c>
      <c r="F45" s="227" t="s">
        <v>652</v>
      </c>
      <c r="G45" s="227" t="s">
        <v>652</v>
      </c>
      <c r="H45" s="227" t="s">
        <v>652</v>
      </c>
      <c r="I45" s="227" t="s">
        <v>652</v>
      </c>
      <c r="J45" s="227" t="s">
        <v>652</v>
      </c>
      <c r="K45" s="228" t="s">
        <v>652</v>
      </c>
    </row>
    <row r="47" spans="2:12">
      <c r="B47" s="819" t="s">
        <v>436</v>
      </c>
      <c r="C47" s="152" t="s">
        <v>128</v>
      </c>
      <c r="D47" s="834">
        <v>549.15068825999992</v>
      </c>
      <c r="E47" s="96">
        <v>600.30181299000003</v>
      </c>
      <c r="F47" s="96">
        <v>605.36848412000018</v>
      </c>
      <c r="G47" s="96">
        <v>623.86603310999999</v>
      </c>
      <c r="H47" s="96">
        <v>654.22214197000005</v>
      </c>
      <c r="I47" s="96">
        <v>660.61190078000016</v>
      </c>
      <c r="J47" s="96">
        <v>744.15907211999991</v>
      </c>
      <c r="K47" s="97">
        <v>811.04677903559025</v>
      </c>
      <c r="L47" s="818"/>
    </row>
    <row r="48" spans="2:12">
      <c r="B48" s="819" t="s">
        <v>437</v>
      </c>
      <c r="C48" s="152" t="s">
        <v>128</v>
      </c>
      <c r="D48" s="577">
        <v>600.30181299000003</v>
      </c>
      <c r="E48" s="578">
        <v>605.36848412000018</v>
      </c>
      <c r="F48" s="578">
        <v>623.86603310999999</v>
      </c>
      <c r="G48" s="578">
        <v>654.22214197000005</v>
      </c>
      <c r="H48" s="578">
        <v>660.61190078000016</v>
      </c>
      <c r="I48" s="578">
        <v>744.15907211999991</v>
      </c>
      <c r="J48" s="578">
        <v>811.04677903559025</v>
      </c>
      <c r="K48" s="833">
        <v>824.46058949750386</v>
      </c>
      <c r="L48" s="818"/>
    </row>
    <row r="49" spans="2:13">
      <c r="D49" s="23"/>
      <c r="E49" s="23"/>
      <c r="F49" s="23"/>
      <c r="G49" s="23"/>
      <c r="H49" s="23"/>
      <c r="I49" s="23"/>
      <c r="J49" s="23"/>
      <c r="K49" s="23"/>
    </row>
    <row r="50" spans="2:13">
      <c r="B50" s="14" t="s">
        <v>124</v>
      </c>
    </row>
    <row r="51" spans="2:13">
      <c r="B51" t="s">
        <v>125</v>
      </c>
      <c r="C51" s="480" t="s">
        <v>7</v>
      </c>
      <c r="D51" s="474">
        <v>0</v>
      </c>
      <c r="E51" s="475">
        <v>0</v>
      </c>
      <c r="F51" s="475">
        <v>0</v>
      </c>
      <c r="G51" s="475">
        <v>0</v>
      </c>
      <c r="H51" s="475">
        <v>0</v>
      </c>
      <c r="I51" s="475">
        <v>0</v>
      </c>
      <c r="J51" s="475">
        <v>0</v>
      </c>
      <c r="K51" s="476">
        <v>0</v>
      </c>
    </row>
    <row r="52" spans="2:13">
      <c r="B52" t="s">
        <v>126</v>
      </c>
      <c r="C52" s="480" t="s">
        <v>7</v>
      </c>
      <c r="D52" s="486">
        <v>1</v>
      </c>
      <c r="E52" s="487">
        <v>1</v>
      </c>
      <c r="F52" s="487">
        <v>1</v>
      </c>
      <c r="G52" s="487">
        <v>1</v>
      </c>
      <c r="H52" s="487">
        <v>1</v>
      </c>
      <c r="I52" s="487">
        <v>1</v>
      </c>
      <c r="J52" s="487">
        <v>1</v>
      </c>
      <c r="K52" s="488">
        <v>1</v>
      </c>
    </row>
    <row r="53" spans="2:13">
      <c r="C53" s="818"/>
      <c r="D53" s="818"/>
      <c r="E53" s="818"/>
      <c r="F53" s="818"/>
      <c r="G53" s="818"/>
      <c r="H53" s="818"/>
      <c r="I53" s="818"/>
      <c r="J53" s="818"/>
      <c r="K53" s="818"/>
      <c r="L53" s="818"/>
    </row>
    <row r="54" spans="2:13">
      <c r="B54" s="200" t="s">
        <v>459</v>
      </c>
      <c r="C54" s="266" t="s">
        <v>128</v>
      </c>
      <c r="D54" s="710">
        <v>574.72625062499992</v>
      </c>
      <c r="E54" s="711">
        <v>602.83514855500016</v>
      </c>
      <c r="F54" s="711">
        <v>614.61725861500008</v>
      </c>
      <c r="G54" s="711">
        <v>639.04408753999996</v>
      </c>
      <c r="H54" s="711">
        <v>657.4170213750001</v>
      </c>
      <c r="I54" s="711">
        <v>702.38548645000003</v>
      </c>
      <c r="J54" s="711">
        <v>777.60292557779508</v>
      </c>
      <c r="K54" s="712">
        <v>817.753684266547</v>
      </c>
    </row>
    <row r="55" spans="2:13">
      <c r="B55" s="200" t="s">
        <v>272</v>
      </c>
      <c r="C55" s="152" t="s">
        <v>128</v>
      </c>
      <c r="D55" s="699">
        <v>332.48024153875144</v>
      </c>
      <c r="E55" s="700">
        <v>358.57917250078253</v>
      </c>
      <c r="F55" s="700">
        <v>401.36520106000398</v>
      </c>
      <c r="G55" s="700">
        <v>432.79530235396714</v>
      </c>
      <c r="H55" s="700">
        <v>476.54541554728462</v>
      </c>
      <c r="I55" s="700">
        <v>493.97646912491462</v>
      </c>
      <c r="J55" s="700">
        <v>488.72893860928139</v>
      </c>
      <c r="K55" s="701">
        <v>526.9896996285986</v>
      </c>
    </row>
    <row r="56" spans="2:13">
      <c r="B56" s="200" t="s">
        <v>507</v>
      </c>
      <c r="C56" s="152" t="s">
        <v>128</v>
      </c>
      <c r="D56" s="872">
        <v>907.20649216375136</v>
      </c>
      <c r="E56" s="872">
        <v>961.41432105578269</v>
      </c>
      <c r="F56" s="872">
        <v>1015.9824596750041</v>
      </c>
      <c r="G56" s="872">
        <v>1071.8393898939671</v>
      </c>
      <c r="H56" s="872">
        <v>1133.9624369222847</v>
      </c>
      <c r="I56" s="872">
        <v>1196.3619555749146</v>
      </c>
      <c r="J56" s="872">
        <v>1266.3318641870765</v>
      </c>
      <c r="K56" s="872">
        <v>1344.7433838951456</v>
      </c>
    </row>
    <row r="57" spans="2:13">
      <c r="B57" s="200" t="s">
        <v>235</v>
      </c>
      <c r="C57" s="152" t="s">
        <v>7</v>
      </c>
      <c r="D57" s="231">
        <v>0.63351205661484777</v>
      </c>
      <c r="E57" s="232">
        <v>0.62702950783278666</v>
      </c>
      <c r="F57" s="232">
        <v>0.60494869056263623</v>
      </c>
      <c r="G57" s="232">
        <v>0.59621254225711751</v>
      </c>
      <c r="H57" s="232">
        <v>0.57975202702420348</v>
      </c>
      <c r="I57" s="232">
        <v>0.58710115544627706</v>
      </c>
      <c r="J57" s="232">
        <v>0.61405935329359995</v>
      </c>
      <c r="K57" s="233">
        <v>0.60811132745480767</v>
      </c>
    </row>
    <row r="58" spans="2:13">
      <c r="B58" s="200" t="s">
        <v>115</v>
      </c>
      <c r="C58" s="152" t="s">
        <v>7</v>
      </c>
      <c r="D58" s="873">
        <v>0.65</v>
      </c>
      <c r="E58" s="874">
        <v>0.65</v>
      </c>
      <c r="F58" s="874">
        <v>0.65</v>
      </c>
      <c r="G58" s="874">
        <v>0.65</v>
      </c>
      <c r="H58" s="874">
        <v>0.65</v>
      </c>
      <c r="I58" s="874">
        <v>0.65</v>
      </c>
      <c r="J58" s="874">
        <v>0.65</v>
      </c>
      <c r="K58" s="875">
        <v>0.65</v>
      </c>
    </row>
    <row r="59" spans="2:13">
      <c r="B59" s="200" t="s">
        <v>236</v>
      </c>
      <c r="C59" s="152" t="s">
        <v>7</v>
      </c>
      <c r="D59" s="236">
        <v>-1.6487943385152248E-2</v>
      </c>
      <c r="E59" s="237">
        <v>-2.2970492167213363E-2</v>
      </c>
      <c r="F59" s="237">
        <v>-4.5051309437363796E-2</v>
      </c>
      <c r="G59" s="237">
        <v>-5.3787457742882516E-2</v>
      </c>
      <c r="H59" s="237">
        <v>-7.0247972975796547E-2</v>
      </c>
      <c r="I59" s="237">
        <v>-6.2898844553722966E-2</v>
      </c>
      <c r="J59" s="237">
        <v>-3.594064670640007E-2</v>
      </c>
      <c r="K59" s="238">
        <v>-4.1888672545192351E-2</v>
      </c>
    </row>
    <row r="61" spans="2:13">
      <c r="B61" s="200" t="s">
        <v>514</v>
      </c>
      <c r="C61" s="155" t="s">
        <v>159</v>
      </c>
      <c r="D61" s="1003">
        <v>531.69457329595514</v>
      </c>
      <c r="E61" s="703">
        <v>544.88337557851082</v>
      </c>
      <c r="F61" s="703">
        <v>538.05390013077442</v>
      </c>
      <c r="G61" s="703">
        <v>543.24900878702874</v>
      </c>
      <c r="H61" s="703">
        <v>546.38455470288</v>
      </c>
      <c r="I61" s="703">
        <v>572.41511605425444</v>
      </c>
      <c r="J61" s="703">
        <v>619.38841832613787</v>
      </c>
      <c r="K61" s="704">
        <v>633.83663516360218</v>
      </c>
      <c r="M61" s="322"/>
    </row>
    <row r="62" spans="2:13">
      <c r="B62" s="200" t="s">
        <v>512</v>
      </c>
      <c r="C62" s="155" t="s">
        <v>159</v>
      </c>
      <c r="D62" s="665">
        <v>307.58633342750767</v>
      </c>
      <c r="E62" s="666">
        <v>324.10822493132963</v>
      </c>
      <c r="F62" s="666">
        <v>351.36682021222543</v>
      </c>
      <c r="G62" s="666">
        <v>367.91768141780739</v>
      </c>
      <c r="H62" s="666">
        <v>396.0607136774745</v>
      </c>
      <c r="I62" s="666">
        <v>402.5703881373372</v>
      </c>
      <c r="J62" s="666">
        <v>389.29000177112908</v>
      </c>
      <c r="K62" s="667">
        <v>408.46698022285238</v>
      </c>
      <c r="M62" s="322"/>
    </row>
    <row r="63" spans="2:13">
      <c r="B63" s="200" t="s">
        <v>513</v>
      </c>
      <c r="C63" s="155" t="s">
        <v>159</v>
      </c>
      <c r="D63" s="871">
        <v>839.28090672346275</v>
      </c>
      <c r="E63" s="871">
        <v>868.99160050984051</v>
      </c>
      <c r="F63" s="871">
        <v>889.42072034299986</v>
      </c>
      <c r="G63" s="871">
        <v>911.16669020483619</v>
      </c>
      <c r="H63" s="871">
        <v>942.44526838035449</v>
      </c>
      <c r="I63" s="871">
        <v>974.98550419159164</v>
      </c>
      <c r="J63" s="871">
        <v>1008.678420097267</v>
      </c>
      <c r="K63" s="871">
        <v>1042.3036153864546</v>
      </c>
    </row>
    <row r="64" spans="2:13">
      <c r="B64" s="200" t="s">
        <v>235</v>
      </c>
      <c r="C64" s="152" t="s">
        <v>7</v>
      </c>
      <c r="D64" s="231">
        <v>0.63351205661484777</v>
      </c>
      <c r="E64" s="232">
        <v>0.62702950783278666</v>
      </c>
      <c r="F64" s="232">
        <v>0.60494869056263623</v>
      </c>
      <c r="G64" s="232">
        <v>0.59621254225711751</v>
      </c>
      <c r="H64" s="232">
        <v>0.57975202702420348</v>
      </c>
      <c r="I64" s="232">
        <v>0.58710115544627706</v>
      </c>
      <c r="J64" s="232">
        <v>0.61405935329359995</v>
      </c>
      <c r="K64" s="233">
        <v>0.60811132745480767</v>
      </c>
    </row>
    <row r="65" spans="2:11">
      <c r="B65" s="200" t="s">
        <v>115</v>
      </c>
      <c r="C65" s="152" t="s">
        <v>7</v>
      </c>
      <c r="D65" s="873">
        <v>0.65</v>
      </c>
      <c r="E65" s="874">
        <v>0.65</v>
      </c>
      <c r="F65" s="874">
        <v>0.65</v>
      </c>
      <c r="G65" s="874">
        <v>0.65</v>
      </c>
      <c r="H65" s="874">
        <v>0.65</v>
      </c>
      <c r="I65" s="874">
        <v>0.65</v>
      </c>
      <c r="J65" s="874">
        <v>0.65</v>
      </c>
      <c r="K65" s="875">
        <v>0.65</v>
      </c>
    </row>
    <row r="66" spans="2:11">
      <c r="B66" s="200" t="s">
        <v>236</v>
      </c>
      <c r="C66" s="152" t="s">
        <v>7</v>
      </c>
      <c r="D66" s="236">
        <v>-1.6487943385152248E-2</v>
      </c>
      <c r="E66" s="237">
        <v>-2.2970492167213363E-2</v>
      </c>
      <c r="F66" s="237">
        <v>-4.5051309437363796E-2</v>
      </c>
      <c r="G66" s="237">
        <v>-5.3787457742882516E-2</v>
      </c>
      <c r="H66" s="237">
        <v>-7.0247972975796547E-2</v>
      </c>
      <c r="I66" s="237">
        <v>-6.2898844553722966E-2</v>
      </c>
      <c r="J66" s="237">
        <v>-3.594064670640007E-2</v>
      </c>
      <c r="K66" s="238">
        <v>-4.1888672545192351E-2</v>
      </c>
    </row>
  </sheetData>
  <conditionalFormatting sqref="D6:K6">
    <cfRule type="expression" dxfId="38" priority="18">
      <formula>AND(D$5="Actuals",E$5="Forecast")</formula>
    </cfRule>
  </conditionalFormatting>
  <conditionalFormatting sqref="D5:K5">
    <cfRule type="expression" dxfId="3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100.08984375" customWidth="1"/>
    <col min="3" max="3" width="14.08984375" style="198" customWidth="1"/>
    <col min="4" max="11" width="11.08984375" customWidth="1"/>
    <col min="12" max="12" width="5" customWidth="1"/>
    <col min="14" max="14" width="9" style="213"/>
  </cols>
  <sheetData>
    <row r="1" spans="1:14" s="31" customFormat="1" ht="21">
      <c r="A1" s="906" t="s">
        <v>120</v>
      </c>
      <c r="B1" s="935"/>
      <c r="C1" s="397"/>
      <c r="D1" s="120"/>
      <c r="E1" s="120"/>
      <c r="F1" s="120"/>
      <c r="G1" s="120"/>
      <c r="H1" s="120"/>
      <c r="I1" s="126"/>
      <c r="J1" s="126"/>
      <c r="K1" s="127"/>
      <c r="L1" s="363"/>
      <c r="N1" s="212"/>
    </row>
    <row r="2" spans="1:14" s="31" customFormat="1" ht="21">
      <c r="A2" s="909" t="str">
        <f>'RFPR cover'!C5</f>
        <v>WPD-SWALES</v>
      </c>
      <c r="B2" s="901"/>
      <c r="C2" s="221"/>
      <c r="D2" s="29"/>
      <c r="E2" s="29"/>
      <c r="F2" s="29"/>
      <c r="G2" s="29"/>
      <c r="H2" s="29"/>
      <c r="I2" s="27"/>
      <c r="J2" s="27"/>
      <c r="K2" s="27"/>
      <c r="L2" s="123"/>
      <c r="N2" s="212"/>
    </row>
    <row r="3" spans="1:14" s="31" customFormat="1" ht="21">
      <c r="A3" s="912">
        <f>'RFPR cover'!C7</f>
        <v>2021</v>
      </c>
      <c r="B3" s="919"/>
      <c r="C3" s="398"/>
      <c r="D3" s="260"/>
      <c r="E3" s="260"/>
      <c r="F3" s="260"/>
      <c r="G3" s="260"/>
      <c r="H3" s="260"/>
      <c r="I3" s="255"/>
      <c r="J3" s="255"/>
      <c r="K3" s="255"/>
      <c r="L3" s="261"/>
      <c r="N3" s="212"/>
    </row>
    <row r="4" spans="1:14" s="2" customFormat="1" ht="12.75" customHeight="1">
      <c r="C4" s="1"/>
      <c r="N4" s="129"/>
    </row>
    <row r="5" spans="1:14" s="2" customFormat="1">
      <c r="B5" s="38"/>
      <c r="C5" s="222"/>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Forecast</v>
      </c>
      <c r="J5" s="390" t="str">
        <f>IF(J6&lt;='RFPR cover'!$C$7-1,"Actuals","Forecast")</f>
        <v>Forecast</v>
      </c>
      <c r="K5" s="390" t="str">
        <f>IF(K6&lt;='RFPR cover'!$C$7-1,"Actuals","Forecast")</f>
        <v>Forecast</v>
      </c>
      <c r="N5" s="129"/>
    </row>
    <row r="6" spans="1:14"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14" s="2" customFormat="1">
      <c r="A7" s="35"/>
      <c r="B7" s="35"/>
      <c r="C7" s="320"/>
      <c r="D7" s="429"/>
      <c r="E7" s="429"/>
      <c r="F7" s="429"/>
      <c r="G7" s="429"/>
      <c r="H7" s="429"/>
      <c r="I7" s="429"/>
      <c r="J7" s="429"/>
      <c r="K7" s="429"/>
      <c r="L7" s="35"/>
      <c r="M7" s="35"/>
      <c r="N7" s="225"/>
    </row>
    <row r="8" spans="1:14" s="2" customFormat="1">
      <c r="B8" s="12" t="s">
        <v>323</v>
      </c>
      <c r="N8" s="129"/>
    </row>
    <row r="9" spans="1:14" s="2" customFormat="1">
      <c r="B9" s="368" t="s">
        <v>322</v>
      </c>
      <c r="C9" s="368"/>
      <c r="D9" s="368"/>
      <c r="E9" s="368"/>
      <c r="F9" s="368"/>
      <c r="G9" s="368"/>
      <c r="H9" s="368"/>
      <c r="I9" s="368"/>
      <c r="J9" s="368"/>
      <c r="K9" s="368"/>
      <c r="L9" s="368"/>
      <c r="N9" s="129"/>
    </row>
    <row r="10" spans="1:14" s="35" customFormat="1">
      <c r="B10" s="428"/>
      <c r="C10" s="428"/>
      <c r="D10" s="428"/>
      <c r="E10" s="428"/>
      <c r="F10" s="428"/>
      <c r="G10" s="428"/>
      <c r="H10" s="428"/>
      <c r="I10" s="428"/>
      <c r="J10" s="428"/>
      <c r="K10" s="428"/>
      <c r="L10" s="428"/>
      <c r="N10" s="225"/>
    </row>
    <row r="11" spans="1:14" s="2" customFormat="1">
      <c r="B11" s="200" t="s">
        <v>321</v>
      </c>
      <c r="C11" s="210" t="str">
        <f>'RFPR cover'!$C$14</f>
        <v>£m 12/13</v>
      </c>
      <c r="D11" s="713">
        <v>870.25709511491561</v>
      </c>
      <c r="E11" s="714">
        <v>900.58689353537898</v>
      </c>
      <c r="F11" s="714">
        <v>928.79650494396424</v>
      </c>
      <c r="G11" s="714">
        <v>964.23139254572072</v>
      </c>
      <c r="H11" s="714">
        <v>992.21131115905712</v>
      </c>
      <c r="I11" s="714">
        <v>1015.1610337993123</v>
      </c>
      <c r="J11" s="714">
        <v>1035.2776364395399</v>
      </c>
      <c r="K11" s="715">
        <v>1058.1257365844501</v>
      </c>
      <c r="N11" s="129"/>
    </row>
    <row r="12" spans="1:14" s="2" customFormat="1">
      <c r="N12" s="129"/>
    </row>
    <row r="13" spans="1:14" s="2" customFormat="1">
      <c r="B13" s="12" t="s">
        <v>324</v>
      </c>
      <c r="C13" s="1"/>
      <c r="D13" s="1"/>
      <c r="E13" s="1"/>
      <c r="F13" s="1"/>
      <c r="G13" s="1"/>
      <c r="H13" s="1"/>
      <c r="I13" s="1"/>
      <c r="J13" s="1"/>
      <c r="K13" s="1"/>
      <c r="N13" s="129"/>
    </row>
    <row r="14" spans="1:14" s="2" customFormat="1">
      <c r="B14" s="368" t="s">
        <v>346</v>
      </c>
      <c r="C14" s="321"/>
      <c r="D14" s="321"/>
      <c r="E14" s="321"/>
      <c r="F14" s="321"/>
      <c r="G14" s="321"/>
      <c r="H14" s="321"/>
      <c r="I14" s="321"/>
      <c r="J14" s="321"/>
      <c r="K14" s="321"/>
      <c r="L14" s="293"/>
      <c r="N14" s="129"/>
    </row>
    <row r="15" spans="1:14" s="35" customFormat="1">
      <c r="B15" s="428"/>
      <c r="C15" s="320"/>
      <c r="D15" s="320"/>
      <c r="E15" s="320"/>
      <c r="F15" s="320"/>
      <c r="G15" s="320"/>
      <c r="H15" s="320"/>
      <c r="I15" s="320"/>
      <c r="J15" s="320"/>
      <c r="K15" s="320"/>
      <c r="N15" s="225"/>
    </row>
    <row r="16" spans="1:14" s="2" customFormat="1">
      <c r="B16" s="392" t="s">
        <v>325</v>
      </c>
      <c r="C16" s="210" t="str">
        <f>'RFPR cover'!$C$14</f>
        <v>£m 12/13</v>
      </c>
      <c r="D16" s="581">
        <v>840.95061479930121</v>
      </c>
      <c r="E16" s="716">
        <f>D29</f>
        <v>870.25709511491561</v>
      </c>
      <c r="F16" s="716">
        <f t="shared" ref="F16:K16" si="1">E29</f>
        <v>900.58689353537898</v>
      </c>
      <c r="G16" s="716">
        <f t="shared" si="1"/>
        <v>910.60066212217816</v>
      </c>
      <c r="H16" s="716">
        <f t="shared" si="1"/>
        <v>943.47469287467345</v>
      </c>
      <c r="I16" s="716">
        <f t="shared" si="1"/>
        <v>972.17189950579245</v>
      </c>
      <c r="J16" s="716">
        <f t="shared" si="1"/>
        <v>1006.6295156026408</v>
      </c>
      <c r="K16" s="584">
        <f t="shared" si="1"/>
        <v>1038.3606096462354</v>
      </c>
      <c r="N16" s="129"/>
    </row>
    <row r="17" spans="2:14" s="2" customFormat="1">
      <c r="B17" s="392" t="s">
        <v>326</v>
      </c>
      <c r="C17" s="210" t="str">
        <f>'RFPR cover'!$C$14</f>
        <v>£m 12/13</v>
      </c>
      <c r="D17" s="589"/>
      <c r="E17" s="590"/>
      <c r="F17" s="590"/>
      <c r="G17" s="590"/>
      <c r="H17" s="590"/>
      <c r="I17" s="590"/>
      <c r="J17" s="590"/>
      <c r="K17" s="683"/>
      <c r="N17" s="129"/>
    </row>
    <row r="18" spans="2:14" s="2" customFormat="1">
      <c r="B18" s="12" t="s">
        <v>327</v>
      </c>
      <c r="C18" s="210" t="str">
        <f>'RFPR cover'!$C$14</f>
        <v>£m 12/13</v>
      </c>
      <c r="D18" s="717">
        <f>SUM(D16:D17)</f>
        <v>840.95061479930121</v>
      </c>
      <c r="E18" s="718">
        <f t="shared" ref="E18:K18" si="2">SUM(E16:E17)</f>
        <v>870.25709511491561</v>
      </c>
      <c r="F18" s="718">
        <f t="shared" si="2"/>
        <v>900.58689353537898</v>
      </c>
      <c r="G18" s="718">
        <f t="shared" si="2"/>
        <v>910.60066212217816</v>
      </c>
      <c r="H18" s="718">
        <f t="shared" si="2"/>
        <v>943.47469287467345</v>
      </c>
      <c r="I18" s="718">
        <f t="shared" si="2"/>
        <v>972.17189950579245</v>
      </c>
      <c r="J18" s="718">
        <f t="shared" si="2"/>
        <v>1006.6295156026408</v>
      </c>
      <c r="K18" s="719">
        <f t="shared" si="2"/>
        <v>1038.3606096462354</v>
      </c>
      <c r="N18" s="129"/>
    </row>
    <row r="19" spans="2:14" s="2" customFormat="1">
      <c r="B19" s="394" t="s">
        <v>328</v>
      </c>
      <c r="C19" s="210" t="str">
        <f>'RFPR cover'!$C$14</f>
        <v>£m 12/13</v>
      </c>
      <c r="D19" s="585">
        <v>114.41790021853342</v>
      </c>
      <c r="E19" s="586">
        <v>116.4294365834574</v>
      </c>
      <c r="F19" s="586">
        <v>107.96243783192534</v>
      </c>
      <c r="G19" s="586">
        <v>114.30257768096084</v>
      </c>
      <c r="H19" s="586">
        <v>105.35183030820882</v>
      </c>
      <c r="I19" s="586">
        <v>102.97796057943877</v>
      </c>
      <c r="J19" s="586">
        <v>98.422651049446117</v>
      </c>
      <c r="K19" s="682">
        <v>100.39648554420135</v>
      </c>
      <c r="N19" s="129"/>
    </row>
    <row r="20" spans="2:14" s="2" customFormat="1">
      <c r="B20" s="394" t="s">
        <v>335</v>
      </c>
      <c r="C20" s="210" t="str">
        <f>'RFPR cover'!$C$14</f>
        <v>£m 12/13</v>
      </c>
      <c r="D20" s="589">
        <v>0</v>
      </c>
      <c r="E20" s="590">
        <v>0</v>
      </c>
      <c r="F20" s="590">
        <v>-18.195842821786002</v>
      </c>
      <c r="G20" s="590">
        <v>-3.1802897963858014</v>
      </c>
      <c r="H20" s="590">
        <v>0</v>
      </c>
      <c r="I20" s="590">
        <v>7.0806161479769054</v>
      </c>
      <c r="J20" s="590">
        <v>8.3451777799100313</v>
      </c>
      <c r="K20" s="683">
        <v>8.3449903980818387</v>
      </c>
      <c r="N20" s="129"/>
    </row>
    <row r="21" spans="2:14" s="2" customFormat="1">
      <c r="B21" s="393" t="s">
        <v>331</v>
      </c>
      <c r="C21" s="210" t="str">
        <f>'RFPR cover'!$C$14</f>
        <v>£m 12/13</v>
      </c>
      <c r="D21" s="717">
        <f t="shared" ref="D21:K21" si="3">SUM(D19:D20)</f>
        <v>114.41790021853342</v>
      </c>
      <c r="E21" s="718">
        <f t="shared" si="3"/>
        <v>116.4294365834574</v>
      </c>
      <c r="F21" s="718">
        <f t="shared" si="3"/>
        <v>89.766595010139341</v>
      </c>
      <c r="G21" s="718">
        <f t="shared" si="3"/>
        <v>111.12228788457503</v>
      </c>
      <c r="H21" s="718">
        <f t="shared" si="3"/>
        <v>105.35183030820882</v>
      </c>
      <c r="I21" s="718">
        <f t="shared" si="3"/>
        <v>110.05857672741568</v>
      </c>
      <c r="J21" s="718">
        <f t="shared" si="3"/>
        <v>106.76782882935615</v>
      </c>
      <c r="K21" s="719">
        <f t="shared" si="3"/>
        <v>108.74147594228319</v>
      </c>
      <c r="N21" s="129"/>
    </row>
    <row r="22" spans="2:14" s="2" customFormat="1">
      <c r="B22" s="394" t="s">
        <v>329</v>
      </c>
      <c r="C22" s="210" t="str">
        <f>'RFPR cover'!$C$14</f>
        <v>£m 12/13</v>
      </c>
      <c r="D22" s="585">
        <v>-85.111419902918968</v>
      </c>
      <c r="E22" s="586">
        <v>-86.099638162994083</v>
      </c>
      <c r="F22" s="586">
        <v>-79.752826423340125</v>
      </c>
      <c r="G22" s="586">
        <v>-78.867690079204365</v>
      </c>
      <c r="H22" s="586">
        <v>-77.371911694872452</v>
      </c>
      <c r="I22" s="586">
        <v>-76.318248648349865</v>
      </c>
      <c r="J22" s="586">
        <v>-75.571297225531879</v>
      </c>
      <c r="K22" s="586">
        <v>-74.76254942437572</v>
      </c>
      <c r="N22" s="129"/>
    </row>
    <row r="23" spans="2:14" s="2" customFormat="1">
      <c r="B23" s="394" t="s">
        <v>330</v>
      </c>
      <c r="C23" s="210" t="str">
        <f>'RFPR cover'!$C$14</f>
        <v>£m 12/13</v>
      </c>
      <c r="D23" s="589">
        <v>0</v>
      </c>
      <c r="E23" s="589">
        <v>0</v>
      </c>
      <c r="F23" s="589">
        <v>0</v>
      </c>
      <c r="G23" s="589">
        <v>0.61943294712462982</v>
      </c>
      <c r="H23" s="589">
        <v>0.7172880177826545</v>
      </c>
      <c r="I23" s="589">
        <v>0.7172880177826545</v>
      </c>
      <c r="J23" s="589">
        <v>0.53456243977034723</v>
      </c>
      <c r="K23" s="589">
        <v>0.33527461219040611</v>
      </c>
      <c r="N23" s="129"/>
    </row>
    <row r="24" spans="2:14" s="2" customFormat="1">
      <c r="B24" s="393" t="s">
        <v>332</v>
      </c>
      <c r="C24" s="210" t="str">
        <f>'RFPR cover'!$C$14</f>
        <v>£m 12/13</v>
      </c>
      <c r="D24" s="717">
        <f t="shared" ref="D24:K24" si="4">SUM(D22:D23)</f>
        <v>-85.111419902918968</v>
      </c>
      <c r="E24" s="718">
        <f t="shared" si="4"/>
        <v>-86.099638162994083</v>
      </c>
      <c r="F24" s="718">
        <f t="shared" si="4"/>
        <v>-79.752826423340125</v>
      </c>
      <c r="G24" s="718">
        <f t="shared" si="4"/>
        <v>-78.248257132079729</v>
      </c>
      <c r="H24" s="718">
        <f t="shared" si="4"/>
        <v>-76.654623677089802</v>
      </c>
      <c r="I24" s="718">
        <f t="shared" si="4"/>
        <v>-75.600960630567215</v>
      </c>
      <c r="J24" s="718">
        <f t="shared" si="4"/>
        <v>-75.036734785761539</v>
      </c>
      <c r="K24" s="719">
        <f t="shared" si="4"/>
        <v>-74.427274812185317</v>
      </c>
      <c r="N24" s="129"/>
    </row>
    <row r="25" spans="2:14" s="2" customFormat="1">
      <c r="B25" s="395" t="s">
        <v>268</v>
      </c>
      <c r="C25" s="210" t="str">
        <f>'RFPR cover'!$C$14</f>
        <v>£m 12/13</v>
      </c>
      <c r="D25" s="720"/>
      <c r="E25" s="721"/>
      <c r="F25" s="721"/>
      <c r="G25" s="721"/>
      <c r="H25" s="721"/>
      <c r="I25" s="721"/>
      <c r="J25" s="721"/>
      <c r="K25" s="722"/>
      <c r="N25" s="129"/>
    </row>
    <row r="26" spans="2:14" s="2" customFormat="1">
      <c r="B26" s="395" t="s">
        <v>268</v>
      </c>
      <c r="C26" s="210" t="str">
        <f>'RFPR cover'!$C$14</f>
        <v>£m 12/13</v>
      </c>
      <c r="D26" s="720"/>
      <c r="E26" s="721"/>
      <c r="F26" s="721"/>
      <c r="G26" s="721"/>
      <c r="H26" s="721"/>
      <c r="I26" s="721"/>
      <c r="J26" s="721"/>
      <c r="K26" s="722"/>
      <c r="N26" s="129"/>
    </row>
    <row r="27" spans="2:14" s="2" customFormat="1">
      <c r="B27" s="395" t="s">
        <v>268</v>
      </c>
      <c r="C27" s="210" t="str">
        <f>'RFPR cover'!$C$14</f>
        <v>£m 12/13</v>
      </c>
      <c r="D27" s="720"/>
      <c r="E27" s="721"/>
      <c r="F27" s="721"/>
      <c r="G27" s="721"/>
      <c r="H27" s="721"/>
      <c r="I27" s="721"/>
      <c r="J27" s="721"/>
      <c r="K27" s="722"/>
      <c r="N27" s="129"/>
    </row>
    <row r="28" spans="2:14" s="2" customFormat="1">
      <c r="B28" s="393" t="s">
        <v>333</v>
      </c>
      <c r="C28" s="210" t="str">
        <f>'RFPR cover'!$C$14</f>
        <v>£m 12/13</v>
      </c>
      <c r="D28" s="723">
        <f>SUM(D25:D27)</f>
        <v>0</v>
      </c>
      <c r="E28" s="724">
        <f t="shared" ref="E28:K28" si="5">SUM(E25:E27)</f>
        <v>0</v>
      </c>
      <c r="F28" s="724">
        <f t="shared" si="5"/>
        <v>0</v>
      </c>
      <c r="G28" s="724">
        <f t="shared" si="5"/>
        <v>0</v>
      </c>
      <c r="H28" s="724">
        <f t="shared" si="5"/>
        <v>0</v>
      </c>
      <c r="I28" s="724">
        <f t="shared" si="5"/>
        <v>0</v>
      </c>
      <c r="J28" s="724">
        <f t="shared" si="5"/>
        <v>0</v>
      </c>
      <c r="K28" s="725">
        <f t="shared" si="5"/>
        <v>0</v>
      </c>
      <c r="N28" s="129"/>
    </row>
    <row r="29" spans="2:14" s="2" customFormat="1">
      <c r="B29" s="12" t="s">
        <v>334</v>
      </c>
      <c r="C29" s="210" t="str">
        <f>'RFPR cover'!$C$14</f>
        <v>£m 12/13</v>
      </c>
      <c r="D29" s="726">
        <f>D18+D21+D24+D28</f>
        <v>870.25709511491561</v>
      </c>
      <c r="E29" s="727">
        <f t="shared" ref="E29:K29" si="6">E18+E21+E24+E28</f>
        <v>900.58689353537898</v>
      </c>
      <c r="F29" s="727">
        <f t="shared" si="6"/>
        <v>910.60066212217816</v>
      </c>
      <c r="G29" s="727">
        <f t="shared" si="6"/>
        <v>943.47469287467345</v>
      </c>
      <c r="H29" s="727">
        <f t="shared" si="6"/>
        <v>972.17189950579245</v>
      </c>
      <c r="I29" s="727">
        <f t="shared" si="6"/>
        <v>1006.6295156026408</v>
      </c>
      <c r="J29" s="727">
        <f t="shared" si="6"/>
        <v>1038.3606096462354</v>
      </c>
      <c r="K29" s="728">
        <f t="shared" si="6"/>
        <v>1072.6748107763333</v>
      </c>
      <c r="N29" s="129"/>
    </row>
    <row r="30" spans="2:14" s="2" customFormat="1">
      <c r="B30" s="12"/>
      <c r="C30" s="210"/>
      <c r="D30" s="210"/>
      <c r="E30" s="210"/>
      <c r="F30" s="210"/>
      <c r="G30" s="210"/>
      <c r="H30" s="210"/>
      <c r="I30" s="210"/>
      <c r="J30" s="210"/>
      <c r="K30" s="210"/>
      <c r="L30" s="210"/>
      <c r="N30" s="129"/>
    </row>
    <row r="31" spans="2:14" s="2" customFormat="1">
      <c r="B31" s="12" t="s">
        <v>510</v>
      </c>
      <c r="C31" s="210" t="str">
        <f>'RFPR cover'!$C$14</f>
        <v>£m 12/13</v>
      </c>
      <c r="D31" s="726">
        <f t="shared" ref="D31:K31" si="7">(D20+D23+D28)</f>
        <v>0</v>
      </c>
      <c r="E31" s="726">
        <f t="shared" si="7"/>
        <v>0</v>
      </c>
      <c r="F31" s="726">
        <f t="shared" si="7"/>
        <v>-18.195842821786002</v>
      </c>
      <c r="G31" s="726">
        <f t="shared" si="7"/>
        <v>-2.5608568492611719</v>
      </c>
      <c r="H31" s="726">
        <f t="shared" si="7"/>
        <v>0.7172880177826545</v>
      </c>
      <c r="I31" s="726">
        <f t="shared" si="7"/>
        <v>7.7979041657595598</v>
      </c>
      <c r="J31" s="726">
        <f t="shared" si="7"/>
        <v>8.8797402196803787</v>
      </c>
      <c r="K31" s="726">
        <f t="shared" si="7"/>
        <v>8.6802650102722456</v>
      </c>
      <c r="L31" s="210"/>
      <c r="N31" s="129"/>
    </row>
    <row r="32" spans="2:14" s="2" customFormat="1">
      <c r="B32" s="12" t="s">
        <v>511</v>
      </c>
      <c r="C32" s="210"/>
      <c r="D32" s="514" t="str">
        <f>IF(D5="Actuals",IF(ABS((D29-SUM($D$31:D31))-D11)&lt;'RFPR cover'!$F$14,"TRUE","FALSE"),"NA")</f>
        <v>TRUE</v>
      </c>
      <c r="E32" s="514" t="str">
        <f>IF(E5="Actuals",IF(ABS((E29-SUM($D$31:E31))-E11)&lt;'RFPR cover'!$F$14,"TRUE","FALSE"),"NA")</f>
        <v>TRUE</v>
      </c>
      <c r="F32" s="514" t="str">
        <f>IF(F5="Actuals",IF(ABS((F29-SUM($D$31:F31))-F11)&lt;'RFPR cover'!$F$14,"TRUE","FALSE"),"NA")</f>
        <v>TRUE</v>
      </c>
      <c r="G32" s="514" t="str">
        <f>IF(G5="Actuals",IF(ABS((G29-SUM($D$31:G31))-G11)&lt;'RFPR cover'!$F$14,"TRUE","FALSE"),"NA")</f>
        <v>TRUE</v>
      </c>
      <c r="H32" s="514" t="str">
        <f>IF(H5="Actuals",IF(ABS((H29-SUM($D$31:H31))-H11)&lt;'RFPR cover'!$F$14,"TRUE","FALSE"),"NA")</f>
        <v>TRUE</v>
      </c>
      <c r="I32" s="514" t="str">
        <f>IF(I5="Actuals",IF(ABS((I29-SUM($D$31:I31))-I11)&lt;'RFPR cover'!$F$14,"TRUE","FALSE"),"NA")</f>
        <v>NA</v>
      </c>
      <c r="J32" s="514" t="str">
        <f>IF(J5="Actuals",IF(ABS((J29-SUM($D$31:J31))-J11)&lt;'RFPR cover'!$F$14,"TRUE","FALSE"),"NA")</f>
        <v>NA</v>
      </c>
      <c r="K32" s="514" t="str">
        <f>IF(K5="Actuals",IF(ABS((K29-SUM($D$31:K31))-K11)&lt;'RFPR cover'!$F$14,"TRUE","FALSE"),"NA")</f>
        <v>NA</v>
      </c>
      <c r="L32" s="210"/>
      <c r="N32" s="129"/>
    </row>
    <row r="33" spans="2:14" s="35" customFormat="1">
      <c r="B33" s="50"/>
      <c r="C33" s="477"/>
      <c r="D33" s="478"/>
      <c r="E33" s="478"/>
      <c r="F33" s="478"/>
      <c r="G33" s="478"/>
      <c r="H33" s="478"/>
      <c r="I33" s="478"/>
      <c r="J33" s="478"/>
      <c r="K33" s="478"/>
      <c r="N33" s="225"/>
    </row>
    <row r="34" spans="2:14" s="35" customFormat="1">
      <c r="B34" s="50" t="s">
        <v>42</v>
      </c>
      <c r="C34" s="267" t="s">
        <v>127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1.2544129968325328</v>
      </c>
      <c r="K34" s="112">
        <f>Data!J$35</f>
        <v>1.2929861964851332</v>
      </c>
      <c r="N34" s="225"/>
    </row>
    <row r="35" spans="2:14" s="31" customFormat="1">
      <c r="B35" s="37" t="s">
        <v>374</v>
      </c>
      <c r="C35" s="267" t="s">
        <v>127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1.2341368161847346</v>
      </c>
      <c r="K35" s="114">
        <f>Data!J$34</f>
        <v>1.2720865232824152</v>
      </c>
      <c r="L35" s="234"/>
      <c r="N35" s="212"/>
    </row>
    <row r="36" spans="2:14" s="31" customFormat="1">
      <c r="B36" s="171" t="s">
        <v>508</v>
      </c>
      <c r="C36" s="267" t="s">
        <v>127</v>
      </c>
      <c r="D36" s="867">
        <f>INDEX(Data!$F$14:$F$30,MATCH($D$6-1,Data!$C$14:$C$30,0),0)/IF('RFPR cover'!$C$6="ED1",Data!$E$17,Data!$E$14)</f>
        <v>1.0526208235414325</v>
      </c>
      <c r="E36" s="868"/>
      <c r="F36" s="868"/>
      <c r="G36" s="868"/>
      <c r="H36" s="868"/>
      <c r="I36" s="868"/>
      <c r="J36" s="868"/>
      <c r="K36" s="868"/>
      <c r="L36" s="234"/>
      <c r="N36" s="212"/>
    </row>
    <row r="37" spans="2:14" s="35" customFormat="1">
      <c r="B37" s="50"/>
      <c r="C37" s="477"/>
      <c r="D37" s="478"/>
      <c r="E37" s="478"/>
      <c r="F37" s="478"/>
      <c r="G37" s="478"/>
      <c r="H37" s="478"/>
      <c r="I37" s="478"/>
      <c r="J37" s="478"/>
      <c r="K37" s="478"/>
      <c r="N37" s="225"/>
    </row>
    <row r="38" spans="2:14" s="2" customFormat="1">
      <c r="B38" s="12" t="s">
        <v>334</v>
      </c>
      <c r="C38" s="266" t="s">
        <v>128</v>
      </c>
      <c r="D38" s="726">
        <f t="shared" ref="D38:K38" si="8">D29*D34</f>
        <v>929.21085561978816</v>
      </c>
      <c r="E38" s="726">
        <f t="shared" si="8"/>
        <v>993.61778649177711</v>
      </c>
      <c r="F38" s="726">
        <f t="shared" si="8"/>
        <v>1038.3471328582311</v>
      </c>
      <c r="G38" s="726">
        <f t="shared" si="8"/>
        <v>1105.3316469297031</v>
      </c>
      <c r="H38" s="726">
        <f t="shared" si="8"/>
        <v>1162.5932269148661</v>
      </c>
      <c r="I38" s="726">
        <f t="shared" si="8"/>
        <v>1230.1306842349632</v>
      </c>
      <c r="J38" s="726">
        <f t="shared" si="8"/>
        <v>1302.53304413919</v>
      </c>
      <c r="K38" s="726">
        <f t="shared" si="8"/>
        <v>1386.9537236511012</v>
      </c>
      <c r="N38" s="129"/>
    </row>
    <row r="39" spans="2:14" s="2" customFormat="1">
      <c r="B39" s="12"/>
      <c r="C39" s="210"/>
      <c r="D39" s="210"/>
      <c r="E39" s="210"/>
      <c r="F39" s="210"/>
      <c r="G39" s="210"/>
      <c r="H39" s="210"/>
      <c r="I39" s="210"/>
      <c r="J39" s="210"/>
      <c r="K39" s="210"/>
      <c r="N39" s="129"/>
    </row>
    <row r="40" spans="2:14" s="2" customFormat="1">
      <c r="B40" s="505" t="s">
        <v>337</v>
      </c>
      <c r="C40" s="210" t="s">
        <v>340</v>
      </c>
      <c r="D40" s="408">
        <f>INDEX(Data!$K$73:$T$100,MATCH('RFPR cover'!$C$5,Data!$B$73:$B$100,0),MATCH('R9 - RAV'!D$6,Data!$K$72:$T$72,0))</f>
        <v>2.5499999999999998E-2</v>
      </c>
      <c r="E40" s="409">
        <f>INDEX(Data!$K$73:$T$100,MATCH('RFPR cover'!$C$5,Data!$B$73:$B$100,0),MATCH('R9 - RAV'!E$6,Data!$K$72:$T$72,0))</f>
        <v>2.3799999999999998E-2</v>
      </c>
      <c r="F40" s="409">
        <f>INDEX(Data!$K$73:$T$100,MATCH('RFPR cover'!$C$5,Data!$B$73:$B$100,0),MATCH('R9 - RAV'!F$6,Data!$K$72:$T$72,0))</f>
        <v>2.2200000000000001E-2</v>
      </c>
      <c r="G40" s="409">
        <f>INDEX(Data!$K$73:$T$100,MATCH('RFPR cover'!$C$5,Data!$B$73:$B$100,0),MATCH('R9 - RAV'!G$6,Data!$K$72:$T$72,0))</f>
        <v>1.9099999999999999E-2</v>
      </c>
      <c r="H40" s="409">
        <f>INDEX(Data!$K$73:$T$100,MATCH('RFPR cover'!$C$5,Data!$B$73:$B$100,0),MATCH('R9 - RAV'!H$6,Data!$K$72:$T$72,0))</f>
        <v>1.5800000000000002E-2</v>
      </c>
      <c r="I40" s="409">
        <f>INDEX(Data!$K$73:$T$100,MATCH('RFPR cover'!$C$5,Data!$B$73:$B$100,0),MATCH('R9 - RAV'!I$6,Data!$K$72:$T$72,0))</f>
        <v>1.09E-2</v>
      </c>
      <c r="J40" s="409">
        <f>INDEX(Data!$K$73:$T$100,MATCH('RFPR cover'!$C$5,Data!$B$73:$B$100,0),MATCH('R9 - RAV'!J$6,Data!$K$72:$T$72,0))</f>
        <v>7.6E-3</v>
      </c>
      <c r="K40" s="410">
        <f>INDEX(Data!$K$73:$T$100,MATCH('RFPR cover'!$C$5,Data!$B$73:$B$100,0),MATCH('R9 - RAV'!K$6,Data!$K$72:$T$72,0))</f>
        <v>4.4000000000000003E-3</v>
      </c>
      <c r="N40" s="129"/>
    </row>
    <row r="41" spans="2:14" s="2" customFormat="1">
      <c r="B41" s="505" t="s">
        <v>338</v>
      </c>
      <c r="C41" s="210" t="s">
        <v>340</v>
      </c>
      <c r="D41" s="411">
        <f>'RFPR cover'!$C$10</f>
        <v>6.4000000000000001E-2</v>
      </c>
      <c r="E41" s="412">
        <f>'RFPR cover'!$C$10</f>
        <v>6.4000000000000001E-2</v>
      </c>
      <c r="F41" s="412">
        <f>'RFPR cover'!$C$10</f>
        <v>6.4000000000000001E-2</v>
      </c>
      <c r="G41" s="412">
        <f>'RFPR cover'!$C$10</f>
        <v>6.4000000000000001E-2</v>
      </c>
      <c r="H41" s="412">
        <f>'RFPR cover'!$C$10</f>
        <v>6.4000000000000001E-2</v>
      </c>
      <c r="I41" s="412">
        <f>'RFPR cover'!$C$10</f>
        <v>6.4000000000000001E-2</v>
      </c>
      <c r="J41" s="412">
        <f>'RFPR cover'!$C$10</f>
        <v>6.4000000000000001E-2</v>
      </c>
      <c r="K41" s="413">
        <f>'RFPR cover'!$C$10</f>
        <v>6.4000000000000001E-2</v>
      </c>
      <c r="N41" s="129"/>
    </row>
    <row r="42" spans="2:14" s="2" customFormat="1">
      <c r="B42" s="505" t="s">
        <v>339</v>
      </c>
      <c r="C42" s="210" t="s">
        <v>7</v>
      </c>
      <c r="D42" s="414">
        <f>'RFPR cover'!$C$12</f>
        <v>0.65</v>
      </c>
      <c r="E42" s="415">
        <f>'RFPR cover'!$C$12</f>
        <v>0.65</v>
      </c>
      <c r="F42" s="415">
        <f>'RFPR cover'!$C$12</f>
        <v>0.65</v>
      </c>
      <c r="G42" s="415">
        <f>'RFPR cover'!$C$12</f>
        <v>0.65</v>
      </c>
      <c r="H42" s="415">
        <f>'RFPR cover'!$C$12</f>
        <v>0.65</v>
      </c>
      <c r="I42" s="415">
        <f>'RFPR cover'!$C$12</f>
        <v>0.65</v>
      </c>
      <c r="J42" s="415">
        <f>'RFPR cover'!$C$12</f>
        <v>0.65</v>
      </c>
      <c r="K42" s="416">
        <f>'RFPR cover'!$C$12</f>
        <v>0.65</v>
      </c>
      <c r="N42" s="129"/>
    </row>
    <row r="43" spans="2:14">
      <c r="B43" s="200" t="s">
        <v>273</v>
      </c>
      <c r="C43" s="396" t="s">
        <v>340</v>
      </c>
      <c r="D43" s="405">
        <f t="shared" ref="D43:K43" si="9">D40*D42+D41*(1-D42)</f>
        <v>3.8974999999999996E-2</v>
      </c>
      <c r="E43" s="406">
        <f t="shared" si="9"/>
        <v>3.7870000000000001E-2</v>
      </c>
      <c r="F43" s="406">
        <f t="shared" si="9"/>
        <v>3.6830000000000002E-2</v>
      </c>
      <c r="G43" s="406">
        <f t="shared" si="9"/>
        <v>3.4814999999999999E-2</v>
      </c>
      <c r="H43" s="406">
        <f t="shared" si="9"/>
        <v>3.2670000000000005E-2</v>
      </c>
      <c r="I43" s="406">
        <f t="shared" si="9"/>
        <v>2.9485000000000001E-2</v>
      </c>
      <c r="J43" s="406">
        <f t="shared" si="9"/>
        <v>2.734E-2</v>
      </c>
      <c r="K43" s="407">
        <f t="shared" si="9"/>
        <v>2.5260000000000001E-2</v>
      </c>
      <c r="L43" s="211"/>
    </row>
    <row r="44" spans="2:14">
      <c r="C44" s="223"/>
      <c r="D44" s="218"/>
      <c r="E44" s="218"/>
      <c r="F44" s="218"/>
      <c r="G44" s="218"/>
      <c r="H44" s="218"/>
      <c r="I44" s="218"/>
      <c r="J44" s="218"/>
      <c r="K44" s="218"/>
    </row>
    <row r="45" spans="2:14">
      <c r="B45" s="371" t="s">
        <v>341</v>
      </c>
      <c r="C45" s="396" t="str">
        <f>'RFPR cover'!$C$14</f>
        <v>£m 12/13</v>
      </c>
      <c r="D45" s="95">
        <f t="shared" ref="D45:K45" si="10">D47*D42</f>
        <v>545.53258937025078</v>
      </c>
      <c r="E45" s="96">
        <f t="shared" si="10"/>
        <v>564.84454033139639</v>
      </c>
      <c r="F45" s="96">
        <f t="shared" si="10"/>
        <v>578.1234682229499</v>
      </c>
      <c r="G45" s="96">
        <f t="shared" si="10"/>
        <v>592.25834863314356</v>
      </c>
      <c r="H45" s="96">
        <f t="shared" si="10"/>
        <v>612.58942444723039</v>
      </c>
      <c r="I45" s="96">
        <f t="shared" si="10"/>
        <v>633.74057772453455</v>
      </c>
      <c r="J45" s="96">
        <f t="shared" si="10"/>
        <v>655.64097306322356</v>
      </c>
      <c r="K45" s="97">
        <f t="shared" si="10"/>
        <v>677.49735000119551</v>
      </c>
    </row>
    <row r="46" spans="2:14">
      <c r="B46" s="371" t="s">
        <v>232</v>
      </c>
      <c r="C46" s="396" t="str">
        <f>'RFPR cover'!$C$14</f>
        <v>£m 12/13</v>
      </c>
      <c r="D46" s="520">
        <f t="shared" ref="D46:K46" si="11">D47*(1-D42)</f>
        <v>293.74831735321192</v>
      </c>
      <c r="E46" s="521">
        <f t="shared" si="11"/>
        <v>304.14706017844418</v>
      </c>
      <c r="F46" s="521">
        <f t="shared" si="11"/>
        <v>311.2972521200499</v>
      </c>
      <c r="G46" s="521">
        <f t="shared" si="11"/>
        <v>318.90834157169263</v>
      </c>
      <c r="H46" s="521">
        <f t="shared" si="11"/>
        <v>329.85584393312405</v>
      </c>
      <c r="I46" s="521">
        <f t="shared" si="11"/>
        <v>341.24492646705704</v>
      </c>
      <c r="J46" s="521">
        <f t="shared" si="11"/>
        <v>353.03744703404345</v>
      </c>
      <c r="K46" s="522">
        <f t="shared" si="11"/>
        <v>364.80626538525905</v>
      </c>
    </row>
    <row r="47" spans="2:14">
      <c r="B47" s="200" t="s">
        <v>231</v>
      </c>
      <c r="C47" s="210" t="str">
        <f>'RFPR cover'!$C$14</f>
        <v>£m 12/13</v>
      </c>
      <c r="D47" s="102">
        <f t="shared" ref="D47:K47" si="12">AVERAGE(D16,D29*(1/(1+D43)))</f>
        <v>839.28090672346275</v>
      </c>
      <c r="E47" s="103">
        <f t="shared" si="12"/>
        <v>868.99160050984051</v>
      </c>
      <c r="F47" s="103">
        <f t="shared" si="12"/>
        <v>889.42072034299986</v>
      </c>
      <c r="G47" s="103">
        <f t="shared" si="12"/>
        <v>911.16669020483619</v>
      </c>
      <c r="H47" s="103">
        <f t="shared" si="12"/>
        <v>942.44526838035449</v>
      </c>
      <c r="I47" s="103">
        <f t="shared" si="12"/>
        <v>974.98550419159164</v>
      </c>
      <c r="J47" s="103">
        <f t="shared" si="12"/>
        <v>1008.678420097267</v>
      </c>
      <c r="K47" s="104">
        <f t="shared" si="12"/>
        <v>1042.3036153864546</v>
      </c>
      <c r="N47" s="214"/>
    </row>
    <row r="48" spans="2:14">
      <c r="B48" s="200"/>
      <c r="C48" s="210"/>
      <c r="D48" s="210"/>
      <c r="E48" s="210"/>
      <c r="F48" s="210"/>
      <c r="G48" s="210"/>
      <c r="H48" s="210"/>
      <c r="I48" s="210"/>
      <c r="J48" s="210"/>
      <c r="K48" s="210"/>
      <c r="N48" s="214"/>
    </row>
    <row r="49" spans="2:14">
      <c r="B49" s="371" t="s">
        <v>342</v>
      </c>
      <c r="C49" s="396" t="str">
        <f>'RFPR cover'!$C$14</f>
        <v>£m 12/13</v>
      </c>
      <c r="D49" s="729">
        <f>D40*D45</f>
        <v>13.911081028941394</v>
      </c>
      <c r="E49" s="730">
        <f t="shared" ref="D49:K50" si="13">E40*E45</f>
        <v>13.443300059887234</v>
      </c>
      <c r="F49" s="730">
        <f t="shared" si="13"/>
        <v>12.834340994549489</v>
      </c>
      <c r="G49" s="730">
        <f t="shared" si="13"/>
        <v>11.312134458893041</v>
      </c>
      <c r="H49" s="730">
        <f t="shared" si="13"/>
        <v>9.6789129062662411</v>
      </c>
      <c r="I49" s="730">
        <f t="shared" si="13"/>
        <v>6.9077722971974262</v>
      </c>
      <c r="J49" s="730">
        <f t="shared" si="13"/>
        <v>4.9828713952804993</v>
      </c>
      <c r="K49" s="731">
        <f t="shared" si="13"/>
        <v>2.9809883400052604</v>
      </c>
    </row>
    <row r="50" spans="2:14">
      <c r="B50" s="371" t="s">
        <v>229</v>
      </c>
      <c r="C50" s="396" t="str">
        <f>'RFPR cover'!$C$14</f>
        <v>£m 12/13</v>
      </c>
      <c r="D50" s="92">
        <f t="shared" si="13"/>
        <v>18.799892310605564</v>
      </c>
      <c r="E50" s="93">
        <f t="shared" si="13"/>
        <v>19.465411851420427</v>
      </c>
      <c r="F50" s="93">
        <f t="shared" si="13"/>
        <v>19.923024135683196</v>
      </c>
      <c r="G50" s="93">
        <f t="shared" si="13"/>
        <v>20.410133860588328</v>
      </c>
      <c r="H50" s="93">
        <f t="shared" si="13"/>
        <v>21.11077401171994</v>
      </c>
      <c r="I50" s="93">
        <f t="shared" si="13"/>
        <v>21.839675293891652</v>
      </c>
      <c r="J50" s="93">
        <f t="shared" si="13"/>
        <v>22.59439661017878</v>
      </c>
      <c r="K50" s="94">
        <f t="shared" si="13"/>
        <v>23.34760098465658</v>
      </c>
      <c r="N50" s="214"/>
    </row>
    <row r="51" spans="2:14">
      <c r="B51" s="200" t="s">
        <v>344</v>
      </c>
      <c r="C51" s="396" t="str">
        <f>'RFPR cover'!$C$14</f>
        <v>£m 12/13</v>
      </c>
      <c r="D51" s="102">
        <f>SUM(D49:D50)</f>
        <v>32.71097333954696</v>
      </c>
      <c r="E51" s="103">
        <f t="shared" ref="E51:K51" si="14">SUM(E49:E50)</f>
        <v>32.908711911307662</v>
      </c>
      <c r="F51" s="103">
        <f t="shared" si="14"/>
        <v>32.757365130232685</v>
      </c>
      <c r="G51" s="103">
        <f t="shared" si="14"/>
        <v>31.722268319481369</v>
      </c>
      <c r="H51" s="103">
        <f t="shared" si="14"/>
        <v>30.789686917986181</v>
      </c>
      <c r="I51" s="103">
        <f t="shared" si="14"/>
        <v>28.747447591089077</v>
      </c>
      <c r="J51" s="103">
        <f t="shared" si="14"/>
        <v>27.577268005459281</v>
      </c>
      <c r="K51" s="104">
        <f t="shared" si="14"/>
        <v>26.328589324661841</v>
      </c>
      <c r="N51" s="214"/>
    </row>
    <row r="53" spans="2:14" s="31" customFormat="1">
      <c r="B53" s="371" t="s">
        <v>341</v>
      </c>
      <c r="C53" s="266" t="s">
        <v>128</v>
      </c>
      <c r="D53" s="95">
        <f t="shared" ref="D53:K54" si="15">D$35*D45</f>
        <v>578.43734038251671</v>
      </c>
      <c r="E53" s="96">
        <f t="shared" si="15"/>
        <v>611.74735641768632</v>
      </c>
      <c r="F53" s="96">
        <f t="shared" si="15"/>
        <v>649.55866517721347</v>
      </c>
      <c r="G53" s="96">
        <f t="shared" si="15"/>
        <v>685.77307953227182</v>
      </c>
      <c r="H53" s="96">
        <f t="shared" si="15"/>
        <v>727.67636865307827</v>
      </c>
      <c r="I53" s="96">
        <f t="shared" si="15"/>
        <v>761.93139686315783</v>
      </c>
      <c r="J53" s="96">
        <f t="shared" si="15"/>
        <v>809.15066305650805</v>
      </c>
      <c r="K53" s="97">
        <f t="shared" si="15"/>
        <v>861.83524849607045</v>
      </c>
      <c r="L53" s="234"/>
      <c r="N53" s="212"/>
    </row>
    <row r="54" spans="2:14" s="31" customFormat="1">
      <c r="B54" s="371" t="s">
        <v>232</v>
      </c>
      <c r="C54" s="266" t="s">
        <v>128</v>
      </c>
      <c r="D54" s="520">
        <f t="shared" si="15"/>
        <v>311.46626020597046</v>
      </c>
      <c r="E54" s="521">
        <f t="shared" si="15"/>
        <v>329.40242268644647</v>
      </c>
      <c r="F54" s="521">
        <f t="shared" si="15"/>
        <v>349.76235817234567</v>
      </c>
      <c r="G54" s="521">
        <f t="shared" si="15"/>
        <v>369.26242744045402</v>
      </c>
      <c r="H54" s="521">
        <f t="shared" si="15"/>
        <v>391.82573696704213</v>
      </c>
      <c r="I54" s="521">
        <f t="shared" si="15"/>
        <v>410.27075215708498</v>
      </c>
      <c r="J54" s="521">
        <f t="shared" si="15"/>
        <v>435.69651087658127</v>
      </c>
      <c r="K54" s="522">
        <f t="shared" si="15"/>
        <v>464.06513380557629</v>
      </c>
      <c r="L54" s="234"/>
      <c r="N54" s="212"/>
    </row>
    <row r="55" spans="2:14">
      <c r="B55" s="200" t="s">
        <v>343</v>
      </c>
      <c r="C55" s="266" t="s">
        <v>128</v>
      </c>
      <c r="D55" s="732">
        <f>SUM(D53:D54)</f>
        <v>889.90360058848717</v>
      </c>
      <c r="E55" s="733">
        <f t="shared" ref="E55:K55" si="16">SUM(E53:E54)</f>
        <v>941.14977910413279</v>
      </c>
      <c r="F55" s="733">
        <f t="shared" si="16"/>
        <v>999.32102334955914</v>
      </c>
      <c r="G55" s="733">
        <f t="shared" si="16"/>
        <v>1055.0355069727259</v>
      </c>
      <c r="H55" s="733">
        <f t="shared" si="16"/>
        <v>1119.5021056201203</v>
      </c>
      <c r="I55" s="733">
        <f t="shared" si="16"/>
        <v>1172.2021490202428</v>
      </c>
      <c r="J55" s="733">
        <f t="shared" si="16"/>
        <v>1244.8471739330894</v>
      </c>
      <c r="K55" s="734">
        <f t="shared" si="16"/>
        <v>1325.9003823016467</v>
      </c>
    </row>
    <row r="56" spans="2:14" s="31" customFormat="1">
      <c r="B56" s="200"/>
      <c r="C56" s="210"/>
      <c r="D56" s="210"/>
      <c r="E56" s="210"/>
      <c r="F56" s="210"/>
      <c r="G56" s="210"/>
      <c r="H56" s="210"/>
      <c r="I56" s="210"/>
      <c r="J56" s="210"/>
      <c r="K56" s="210"/>
      <c r="L56" s="234"/>
      <c r="N56" s="212"/>
    </row>
    <row r="57" spans="2:14" s="31" customFormat="1">
      <c r="B57" s="371" t="s">
        <v>342</v>
      </c>
      <c r="C57" s="266" t="s">
        <v>128</v>
      </c>
      <c r="D57" s="95">
        <f t="shared" ref="D57:K58" si="17">D$35*D49</f>
        <v>14.750152179754174</v>
      </c>
      <c r="E57" s="96">
        <f t="shared" si="17"/>
        <v>14.559587082740935</v>
      </c>
      <c r="F57" s="96">
        <f t="shared" si="17"/>
        <v>14.42020236693414</v>
      </c>
      <c r="G57" s="96">
        <f t="shared" si="17"/>
        <v>13.098265819066393</v>
      </c>
      <c r="H57" s="96">
        <f t="shared" si="17"/>
        <v>11.497286624718638</v>
      </c>
      <c r="I57" s="96">
        <f t="shared" si="17"/>
        <v>8.3050522258084207</v>
      </c>
      <c r="J57" s="96">
        <f t="shared" si="17"/>
        <v>6.1495450392294613</v>
      </c>
      <c r="K57" s="97">
        <f t="shared" si="17"/>
        <v>3.7920750933827101</v>
      </c>
      <c r="L57" s="234"/>
      <c r="N57" s="212"/>
    </row>
    <row r="58" spans="2:14">
      <c r="B58" s="371" t="s">
        <v>238</v>
      </c>
      <c r="C58" s="266" t="s">
        <v>128</v>
      </c>
      <c r="D58" s="735">
        <f t="shared" si="17"/>
        <v>19.933840653182113</v>
      </c>
      <c r="E58" s="736">
        <f t="shared" si="17"/>
        <v>21.081755051932575</v>
      </c>
      <c r="F58" s="736">
        <f t="shared" si="17"/>
        <v>22.384790923030124</v>
      </c>
      <c r="G58" s="736">
        <f t="shared" si="17"/>
        <v>23.632795356189057</v>
      </c>
      <c r="H58" s="736">
        <f t="shared" si="17"/>
        <v>25.076847165890698</v>
      </c>
      <c r="I58" s="736">
        <f t="shared" si="17"/>
        <v>26.257328138053438</v>
      </c>
      <c r="J58" s="736">
        <f t="shared" si="17"/>
        <v>27.884576696101199</v>
      </c>
      <c r="K58" s="737">
        <f t="shared" si="17"/>
        <v>29.700168563556883</v>
      </c>
    </row>
    <row r="59" spans="2:14">
      <c r="B59" s="200" t="s">
        <v>344</v>
      </c>
      <c r="C59" s="266" t="s">
        <v>128</v>
      </c>
      <c r="D59" s="102">
        <f t="shared" ref="D59:K59" si="18">SUM(D57:D58)</f>
        <v>34.683992832936283</v>
      </c>
      <c r="E59" s="103">
        <f t="shared" si="18"/>
        <v>35.641342134673508</v>
      </c>
      <c r="F59" s="103">
        <f t="shared" si="18"/>
        <v>36.804993289964266</v>
      </c>
      <c r="G59" s="103">
        <f t="shared" si="18"/>
        <v>36.731061175255448</v>
      </c>
      <c r="H59" s="103">
        <f t="shared" si="18"/>
        <v>36.574133790609338</v>
      </c>
      <c r="I59" s="103">
        <f t="shared" si="18"/>
        <v>34.562380363861863</v>
      </c>
      <c r="J59" s="103">
        <f t="shared" si="18"/>
        <v>34.034121735330658</v>
      </c>
      <c r="K59" s="104">
        <f t="shared" si="18"/>
        <v>33.492243656939593</v>
      </c>
    </row>
    <row r="60" spans="2:14">
      <c r="B60" s="14"/>
      <c r="C60" s="235"/>
      <c r="D60" s="235"/>
      <c r="E60" s="235"/>
      <c r="F60" s="235"/>
      <c r="G60" s="235"/>
      <c r="H60" s="235"/>
      <c r="I60" s="235"/>
      <c r="J60" s="235"/>
      <c r="K60" s="235"/>
    </row>
    <row r="61" spans="2:14">
      <c r="B61" s="14"/>
      <c r="C61" s="235"/>
      <c r="D61" s="235"/>
      <c r="E61" s="235"/>
      <c r="F61" s="235"/>
      <c r="G61" s="235"/>
      <c r="H61" s="235"/>
      <c r="I61" s="235"/>
      <c r="J61" s="235"/>
      <c r="K61" s="235"/>
    </row>
    <row r="62" spans="2:14">
      <c r="B62" s="14"/>
      <c r="C62" s="235"/>
      <c r="D62" s="235"/>
      <c r="E62" s="235"/>
      <c r="F62" s="235"/>
      <c r="G62" s="235"/>
      <c r="H62" s="235"/>
      <c r="I62" s="235"/>
      <c r="J62" s="235"/>
      <c r="K62" s="235"/>
    </row>
    <row r="63" spans="2:14">
      <c r="B63" s="14"/>
      <c r="C63" s="235"/>
      <c r="D63" s="235"/>
      <c r="E63" s="235"/>
      <c r="F63" s="235"/>
      <c r="G63" s="235"/>
      <c r="H63" s="235"/>
      <c r="I63" s="235"/>
      <c r="J63" s="235"/>
      <c r="K63" s="235"/>
    </row>
  </sheetData>
  <conditionalFormatting sqref="D6:K6">
    <cfRule type="expression" dxfId="34" priority="13">
      <formula>AND(D$5="Actuals",E$5="Forecast")</formula>
    </cfRule>
  </conditionalFormatting>
  <conditionalFormatting sqref="D5:K5">
    <cfRule type="expression" dxfId="3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1" customFormat="1" ht="21">
      <c r="A1" s="920" t="s">
        <v>261</v>
      </c>
      <c r="B1" s="916"/>
      <c r="C1" s="256"/>
      <c r="D1" s="256"/>
      <c r="E1" s="256"/>
      <c r="F1" s="256"/>
      <c r="G1" s="256"/>
      <c r="H1" s="256"/>
      <c r="I1" s="257"/>
      <c r="J1" s="257"/>
      <c r="K1" s="258"/>
      <c r="L1" s="259"/>
    </row>
    <row r="2" spans="1:13" s="31" customFormat="1" ht="21">
      <c r="A2" s="909" t="str">
        <f>'RFPR cover'!C5</f>
        <v>WPD-SWALES</v>
      </c>
      <c r="B2" s="901"/>
      <c r="C2" s="29"/>
      <c r="D2" s="29"/>
      <c r="E2" s="29"/>
      <c r="F2" s="29"/>
      <c r="G2" s="29"/>
      <c r="H2" s="29"/>
      <c r="I2" s="27"/>
      <c r="J2" s="27"/>
      <c r="K2" s="27"/>
      <c r="L2" s="123"/>
    </row>
    <row r="3" spans="1:13" s="31" customFormat="1" ht="21">
      <c r="A3" s="912">
        <f>'RFPR cover'!C7</f>
        <v>2021</v>
      </c>
      <c r="B3" s="919"/>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Forecast</v>
      </c>
      <c r="J5" s="389" t="str">
        <f>IF(J6&lt;=('RFPR cover'!$C$7-1),"Actuals","Forecast")</f>
        <v>Forecast</v>
      </c>
      <c r="K5" s="389"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5" customFormat="1">
      <c r="D7" s="429"/>
      <c r="E7" s="429"/>
      <c r="F7" s="429"/>
      <c r="G7" s="429"/>
      <c r="H7" s="429"/>
      <c r="I7" s="429"/>
      <c r="J7" s="429"/>
      <c r="K7" s="429"/>
    </row>
    <row r="8" spans="1:13" s="2" customFormat="1">
      <c r="B8" s="368" t="s">
        <v>364</v>
      </c>
      <c r="C8" s="293"/>
      <c r="D8" s="293"/>
      <c r="E8" s="293"/>
      <c r="F8" s="293"/>
      <c r="G8" s="293"/>
      <c r="H8" s="293"/>
      <c r="I8" s="293"/>
      <c r="J8" s="293"/>
      <c r="K8" s="293"/>
      <c r="L8" s="293"/>
    </row>
    <row r="9" spans="1:13" s="2" customFormat="1">
      <c r="B9" s="368" t="s">
        <v>469</v>
      </c>
      <c r="C9" s="293"/>
      <c r="D9" s="293"/>
      <c r="E9" s="293"/>
      <c r="F9" s="293"/>
      <c r="G9" s="293"/>
      <c r="H9" s="293"/>
      <c r="I9" s="293"/>
      <c r="J9" s="293"/>
      <c r="K9" s="293"/>
      <c r="L9" s="293"/>
    </row>
    <row r="10" spans="1:13" s="2" customFormat="1">
      <c r="B10" s="368" t="s">
        <v>365</v>
      </c>
      <c r="C10" s="293"/>
      <c r="D10" s="293"/>
      <c r="E10" s="293"/>
      <c r="F10" s="293"/>
      <c r="G10" s="293"/>
      <c r="H10" s="293"/>
      <c r="I10" s="293"/>
      <c r="J10" s="293"/>
      <c r="K10" s="293"/>
      <c r="L10" s="293"/>
    </row>
    <row r="11" spans="1:13" s="35" customFormat="1">
      <c r="B11" s="428"/>
    </row>
    <row r="12" spans="1:13">
      <c r="B12" s="199" t="s">
        <v>532</v>
      </c>
      <c r="C12" s="266" t="s">
        <v>128</v>
      </c>
      <c r="D12" s="637">
        <v>1.0509999999999906</v>
      </c>
      <c r="E12" s="637">
        <v>0</v>
      </c>
      <c r="F12" s="637">
        <v>14.031690000000003</v>
      </c>
      <c r="G12" s="637">
        <v>8.1310499999999983</v>
      </c>
      <c r="H12" s="637">
        <v>10.050429999999995</v>
      </c>
      <c r="I12" s="638"/>
      <c r="J12" s="638"/>
      <c r="K12" s="639"/>
    </row>
    <row r="13" spans="1:13">
      <c r="B13" s="14"/>
      <c r="C13" s="14"/>
      <c r="D13" s="738"/>
      <c r="E13" s="738"/>
      <c r="F13" s="738"/>
      <c r="G13" s="738"/>
      <c r="H13" s="738"/>
      <c r="I13" s="738"/>
      <c r="J13" s="738"/>
      <c r="K13" s="738"/>
    </row>
    <row r="14" spans="1:13">
      <c r="B14" s="14" t="s">
        <v>468</v>
      </c>
      <c r="C14" s="266"/>
      <c r="D14" s="738"/>
      <c r="E14" s="738"/>
      <c r="F14" s="738"/>
      <c r="G14" s="738"/>
      <c r="H14" s="738"/>
      <c r="I14" s="738"/>
      <c r="J14" s="738"/>
      <c r="K14" s="738"/>
    </row>
    <row r="15" spans="1:13">
      <c r="B15" s="369" t="s">
        <v>490</v>
      </c>
      <c r="C15" s="266" t="s">
        <v>128</v>
      </c>
      <c r="D15" s="593"/>
      <c r="E15" s="594"/>
      <c r="F15" s="594"/>
      <c r="G15" s="594"/>
      <c r="H15" s="594"/>
      <c r="I15" s="594"/>
      <c r="J15" s="594"/>
      <c r="K15" s="604"/>
    </row>
    <row r="16" spans="1:13">
      <c r="B16" s="430" t="s">
        <v>633</v>
      </c>
      <c r="C16" s="266" t="s">
        <v>128</v>
      </c>
      <c r="D16" s="637">
        <v>0.25949126993339966</v>
      </c>
      <c r="E16" s="637">
        <v>0.23444121365650045</v>
      </c>
      <c r="F16" s="637">
        <v>0.18499417522007722</v>
      </c>
      <c r="G16" s="637">
        <v>0.17349246421249534</v>
      </c>
      <c r="H16" s="637">
        <v>0.1530394930044178</v>
      </c>
      <c r="I16" s="594"/>
      <c r="J16" s="594"/>
      <c r="K16" s="604"/>
    </row>
    <row r="17" spans="2:12">
      <c r="B17" s="430" t="s">
        <v>634</v>
      </c>
      <c r="C17" s="266" t="s">
        <v>128</v>
      </c>
      <c r="D17" s="637">
        <v>-0.20580822806639709</v>
      </c>
      <c r="E17" s="637">
        <v>-0.11053038460974707</v>
      </c>
      <c r="F17" s="637">
        <v>-0.23786950614577179</v>
      </c>
      <c r="G17" s="637">
        <v>-0.25121032272957067</v>
      </c>
      <c r="H17" s="637">
        <v>-0.38122440248678424</v>
      </c>
      <c r="I17" s="594"/>
      <c r="J17" s="594"/>
      <c r="K17" s="604"/>
    </row>
    <row r="18" spans="2:12">
      <c r="B18" s="430" t="s">
        <v>142</v>
      </c>
      <c r="C18" s="266" t="s">
        <v>128</v>
      </c>
      <c r="D18" s="637">
        <v>-2.112458170800087E-2</v>
      </c>
      <c r="E18" s="637">
        <v>-2.5728692625986718E-2</v>
      </c>
      <c r="F18" s="637">
        <v>8.5499096849420947E-2</v>
      </c>
      <c r="G18" s="637">
        <v>-6.9458417141788298E-2</v>
      </c>
      <c r="H18" s="637">
        <v>9.6271645701702172E-2</v>
      </c>
      <c r="I18" s="594"/>
      <c r="J18" s="594"/>
      <c r="K18" s="604"/>
    </row>
    <row r="19" spans="2:12">
      <c r="B19" s="268" t="s">
        <v>366</v>
      </c>
      <c r="C19" s="266" t="s">
        <v>128</v>
      </c>
      <c r="D19" s="739">
        <f>SUM(D15:D18)</f>
        <v>3.2558460159001698E-2</v>
      </c>
      <c r="E19" s="740">
        <f t="shared" ref="E19:K19" si="1">SUM(E15:E18)</f>
        <v>9.8182136420766661E-2</v>
      </c>
      <c r="F19" s="740">
        <f t="shared" si="1"/>
        <v>3.2623765923726372E-2</v>
      </c>
      <c r="G19" s="740">
        <f t="shared" si="1"/>
        <v>-0.14717627565886363</v>
      </c>
      <c r="H19" s="740">
        <f t="shared" si="1"/>
        <v>-0.13191326378066426</v>
      </c>
      <c r="I19" s="740">
        <f t="shared" si="1"/>
        <v>0</v>
      </c>
      <c r="J19" s="740">
        <f t="shared" si="1"/>
        <v>0</v>
      </c>
      <c r="K19" s="741">
        <f t="shared" si="1"/>
        <v>0</v>
      </c>
    </row>
    <row r="20" spans="2:12" s="31" customFormat="1">
      <c r="B20" s="369"/>
      <c r="C20" s="369"/>
      <c r="D20" s="742"/>
      <c r="E20" s="742"/>
      <c r="F20" s="742"/>
      <c r="G20" s="742"/>
      <c r="H20" s="742"/>
      <c r="I20" s="742"/>
      <c r="J20" s="742"/>
      <c r="K20" s="742"/>
      <c r="L20" s="369"/>
    </row>
    <row r="21" spans="2:12">
      <c r="B21" s="14" t="s">
        <v>333</v>
      </c>
      <c r="C21" s="266"/>
      <c r="D21" s="743"/>
      <c r="E21" s="743"/>
      <c r="F21" s="743"/>
      <c r="G21" s="743"/>
      <c r="H21" s="743"/>
      <c r="I21" s="743"/>
      <c r="J21" s="743"/>
      <c r="K21" s="743"/>
      <c r="L21" s="266"/>
    </row>
    <row r="22" spans="2:12">
      <c r="B22" s="369" t="s">
        <v>491</v>
      </c>
      <c r="C22" s="266" t="s">
        <v>128</v>
      </c>
      <c r="D22" s="854">
        <f>('R5 - Output Incentives'!D102)*INDEX(Data!$G$14:$G$30,MATCH('R10 - Tax'!D$6,Data!$C$14:$C$30,0),1)</f>
        <v>1.2753731118599998</v>
      </c>
      <c r="E22" s="855">
        <f>('R5 - Output Incentives'!E102)*INDEX(Data!$G$14:$G$30,MATCH('R10 - Tax'!E$6,Data!$C$14:$C$30,0),1)</f>
        <v>1.2764827392158873</v>
      </c>
      <c r="F22" s="855">
        <f>('R5 - Output Incentives'!F102)*INDEX(Data!$G$14:$G$30,MATCH('R10 - Tax'!F$6,Data!$C$14:$C$30,0),1)</f>
        <v>1.612929441867393</v>
      </c>
      <c r="G22" s="855">
        <f>('R5 - Output Incentives'!G102)*INDEX(Data!$G$14:$G$30,MATCH('R10 - Tax'!G$6,Data!$C$14:$C$30,0),1)</f>
        <v>1.7544266047794728</v>
      </c>
      <c r="H22" s="857">
        <f>('R5 - Output Incentives'!H102)*INDEX(Data!$G$14:$G$30,MATCH('R10 - Tax'!H$6,Data!$C$14:$C$30,0),1)</f>
        <v>1.358181341057449</v>
      </c>
      <c r="I22" s="857">
        <f>('R5 - Output Incentives'!I102)*INDEX(Data!$G$14:$G$30,MATCH('R10 - Tax'!I$6,Data!$C$14:$C$30,0),1)</f>
        <v>1.9616156468204808</v>
      </c>
      <c r="J22" s="857">
        <f>('R5 - Output Incentives'!J102)*INDEX(Data!$G$14:$G$30,MATCH('R10 - Tax'!J$6,Data!$C$14:$C$30,0),1)</f>
        <v>2.0158474445768446</v>
      </c>
      <c r="K22" s="858">
        <f>('R5 - Output Incentives'!K102)*INDEX(Data!$G$14:$G$30,MATCH('R10 - Tax'!K$6,Data!$C$14:$C$30,0),1)</f>
        <v>2.1187367226542739</v>
      </c>
    </row>
    <row r="23" spans="2:12">
      <c r="B23" s="369" t="s">
        <v>492</v>
      </c>
      <c r="C23" s="266" t="s">
        <v>128</v>
      </c>
      <c r="D23" s="597">
        <f>('R4 - Totex'!D77-'R4 - Totex'!D79)*D40</f>
        <v>0.77961142752221713</v>
      </c>
      <c r="E23" s="599">
        <f>('R4 - Totex'!E77-'R4 - Totex'!E79)*E40</f>
        <v>0.79599623948432419</v>
      </c>
      <c r="F23" s="599">
        <f>('R4 - Totex'!F77-'R4 - Totex'!F79)*F40</f>
        <v>0.74713861209906762</v>
      </c>
      <c r="G23" s="599">
        <f>('R4 - Totex'!G77-'R4 - Totex'!G79)*G40</f>
        <v>0.81943112472246948</v>
      </c>
      <c r="H23" s="859">
        <f>('R4 - Totex'!H77-'R4 - Totex'!H79)*H40</f>
        <v>0.77011137857705703</v>
      </c>
      <c r="I23" s="859">
        <f>('R4 - Totex'!I77-'R4 - Totex'!I79)*I40</f>
        <v>0.78129045505855432</v>
      </c>
      <c r="J23" s="859">
        <f>('R4 - Totex'!J77-'R4 - Totex'!J79)*J40</f>
        <v>0.77505944311028185</v>
      </c>
      <c r="K23" s="860">
        <f>('R4 - Totex'!K77-'R4 - Totex'!K79)*K40</f>
        <v>0.81290453855512224</v>
      </c>
    </row>
    <row r="24" spans="2:12">
      <c r="B24" s="369" t="s">
        <v>493</v>
      </c>
      <c r="C24" s="266" t="s">
        <v>128</v>
      </c>
      <c r="D24" s="595">
        <v>-0.64702315347356731</v>
      </c>
      <c r="E24" s="595">
        <v>2.5913933053192895</v>
      </c>
      <c r="F24" s="595">
        <v>-0.44480754548425061</v>
      </c>
      <c r="G24" s="595">
        <v>-1.3213458163386427E-2</v>
      </c>
      <c r="H24" s="595">
        <v>0.85438980078518822</v>
      </c>
      <c r="I24" s="596"/>
      <c r="J24" s="596"/>
      <c r="K24" s="605"/>
    </row>
    <row r="25" spans="2:12">
      <c r="B25" s="369" t="s">
        <v>494</v>
      </c>
      <c r="C25" s="266" t="s">
        <v>128</v>
      </c>
      <c r="D25" s="595"/>
      <c r="E25" s="596"/>
      <c r="F25" s="596"/>
      <c r="G25" s="596"/>
      <c r="H25" s="596"/>
      <c r="I25" s="596"/>
      <c r="J25" s="596"/>
      <c r="K25" s="605"/>
    </row>
    <row r="26" spans="2:12">
      <c r="B26" s="369" t="s">
        <v>495</v>
      </c>
      <c r="C26" s="266" t="s">
        <v>128</v>
      </c>
      <c r="D26" s="595"/>
      <c r="E26" s="596"/>
      <c r="F26" s="596"/>
      <c r="G26" s="596"/>
      <c r="H26" s="596"/>
      <c r="I26" s="596"/>
      <c r="J26" s="596"/>
      <c r="K26" s="605"/>
    </row>
    <row r="27" spans="2:12">
      <c r="B27" s="369" t="s">
        <v>496</v>
      </c>
      <c r="C27" s="266" t="s">
        <v>128</v>
      </c>
      <c r="D27" s="595"/>
      <c r="E27" s="596"/>
      <c r="F27" s="596"/>
      <c r="G27" s="596"/>
      <c r="H27" s="596"/>
      <c r="I27" s="596"/>
      <c r="J27" s="596"/>
      <c r="K27" s="605"/>
    </row>
    <row r="28" spans="2:12">
      <c r="B28" s="369" t="s">
        <v>573</v>
      </c>
      <c r="C28" s="266" t="s">
        <v>128</v>
      </c>
      <c r="D28" s="595">
        <v>0.14550362971767528</v>
      </c>
      <c r="E28" s="595">
        <v>0.5405562510177041</v>
      </c>
      <c r="F28" s="595">
        <v>-0.64091566959117974</v>
      </c>
      <c r="G28" s="595">
        <v>-0.18453924823166701</v>
      </c>
      <c r="H28" s="595">
        <v>0.27456451887605393</v>
      </c>
      <c r="I28" s="596"/>
      <c r="J28" s="596"/>
      <c r="K28" s="605"/>
    </row>
    <row r="29" spans="2:12">
      <c r="B29" s="430" t="s">
        <v>635</v>
      </c>
      <c r="C29" s="266" t="s">
        <v>128</v>
      </c>
      <c r="D29" s="595">
        <v>0.98235928431807773</v>
      </c>
      <c r="E29" s="595">
        <v>0.18575657194004525</v>
      </c>
      <c r="F29" s="595">
        <v>-1.0496927430525924</v>
      </c>
      <c r="G29" s="595">
        <v>-0.12668584948186185</v>
      </c>
      <c r="H29" s="595">
        <v>0.55155992560406952</v>
      </c>
      <c r="I29" s="596"/>
      <c r="J29" s="596"/>
      <c r="K29" s="605"/>
    </row>
    <row r="30" spans="2:12">
      <c r="B30" s="430" t="s">
        <v>388</v>
      </c>
      <c r="C30" s="266" t="s">
        <v>128</v>
      </c>
      <c r="D30" s="595">
        <v>-0.75102663023141347</v>
      </c>
      <c r="E30" s="595">
        <v>-0.32637606760260174</v>
      </c>
      <c r="F30" s="595">
        <v>2.1854709914832213</v>
      </c>
      <c r="G30" s="595">
        <v>1.8148885078597785</v>
      </c>
      <c r="H30" s="595">
        <v>-0.14092379814124434</v>
      </c>
      <c r="I30" s="596"/>
      <c r="J30" s="596"/>
      <c r="K30" s="605"/>
    </row>
    <row r="31" spans="2:12">
      <c r="B31" s="430" t="s">
        <v>587</v>
      </c>
      <c r="C31" s="266" t="s">
        <v>128</v>
      </c>
      <c r="D31" s="595">
        <v>-1.3035014562035974</v>
      </c>
      <c r="E31" s="595">
        <v>-0.27391003612070292</v>
      </c>
      <c r="F31" s="595">
        <v>0</v>
      </c>
      <c r="G31" s="595">
        <v>0</v>
      </c>
      <c r="H31" s="595">
        <v>0</v>
      </c>
      <c r="I31" s="596"/>
      <c r="J31" s="596"/>
      <c r="K31" s="605"/>
    </row>
    <row r="32" spans="2:12">
      <c r="B32" s="430" t="s">
        <v>636</v>
      </c>
      <c r="C32" s="266" t="s">
        <v>128</v>
      </c>
      <c r="D32" s="595">
        <v>0.30565148622959326</v>
      </c>
      <c r="E32" s="595">
        <v>0.32322096248467336</v>
      </c>
      <c r="F32" s="595">
        <v>0.33350953233991454</v>
      </c>
      <c r="G32" s="595">
        <v>0.36355677584718893</v>
      </c>
      <c r="H32" s="595">
        <v>0.39665679004194176</v>
      </c>
      <c r="I32" s="596"/>
      <c r="J32" s="596"/>
      <c r="K32" s="605"/>
    </row>
    <row r="33" spans="2:13">
      <c r="B33" s="430" t="s">
        <v>637</v>
      </c>
      <c r="C33" s="266"/>
      <c r="D33" s="595">
        <v>-2.2535368900649169</v>
      </c>
      <c r="E33" s="595">
        <v>-1.8085391754231883</v>
      </c>
      <c r="F33" s="595">
        <v>-0.13629212233212781</v>
      </c>
      <c r="G33" s="595">
        <v>-0.24143858935769189</v>
      </c>
      <c r="H33" s="595">
        <v>0.8242520310505026</v>
      </c>
      <c r="I33" s="607"/>
      <c r="J33" s="607"/>
      <c r="K33" s="608"/>
    </row>
    <row r="34" spans="2:13">
      <c r="B34" s="430" t="s">
        <v>638</v>
      </c>
      <c r="C34" s="266" t="s">
        <v>128</v>
      </c>
      <c r="D34" s="606">
        <v>0</v>
      </c>
      <c r="E34" s="606">
        <v>-1.4158875682568215</v>
      </c>
      <c r="F34" s="606">
        <v>6.1337646763596991</v>
      </c>
      <c r="G34" s="606">
        <v>0.94140421092140614</v>
      </c>
      <c r="H34" s="606">
        <v>0</v>
      </c>
      <c r="I34" s="607"/>
      <c r="J34" s="607"/>
      <c r="K34" s="608"/>
    </row>
    <row r="35" spans="2:13">
      <c r="B35" s="14" t="s">
        <v>177</v>
      </c>
      <c r="C35" s="266" t="s">
        <v>128</v>
      </c>
      <c r="D35" s="744">
        <f t="shared" ref="D35:K35" si="2">SUM(D22:D34)</f>
        <v>-1.4665891903259318</v>
      </c>
      <c r="E35" s="745">
        <f t="shared" si="2"/>
        <v>1.888693222058609</v>
      </c>
      <c r="F35" s="745">
        <f t="shared" si="2"/>
        <v>8.7411051736891459</v>
      </c>
      <c r="G35" s="745">
        <f t="shared" si="2"/>
        <v>5.127830078895709</v>
      </c>
      <c r="H35" s="745">
        <f t="shared" si="2"/>
        <v>4.8887919878510164</v>
      </c>
      <c r="I35" s="745">
        <f t="shared" si="2"/>
        <v>2.7429061018790351</v>
      </c>
      <c r="J35" s="745">
        <f t="shared" si="2"/>
        <v>2.7909068876871266</v>
      </c>
      <c r="K35" s="746">
        <f t="shared" si="2"/>
        <v>2.9316412612093963</v>
      </c>
    </row>
    <row r="37" spans="2:13" ht="12.75" customHeight="1">
      <c r="B37" s="819" t="s">
        <v>503</v>
      </c>
      <c r="C37" s="266" t="s">
        <v>128</v>
      </c>
      <c r="D37" s="637"/>
      <c r="E37" s="637"/>
      <c r="F37" s="638"/>
      <c r="G37" s="638"/>
      <c r="H37" s="638"/>
      <c r="I37" s="590">
        <v>13.287755593665784</v>
      </c>
      <c r="J37" s="590">
        <v>8.5273680740726778</v>
      </c>
      <c r="K37" s="590">
        <v>6.7733678645693312</v>
      </c>
    </row>
    <row r="38" spans="2:13" ht="12.75" customHeight="1">
      <c r="B38" s="819" t="s">
        <v>472</v>
      </c>
      <c r="C38" s="266" t="s">
        <v>128</v>
      </c>
      <c r="D38" s="744">
        <f t="shared" ref="D38:K38" si="3">D12+D37-D19-D35</f>
        <v>2.4850307301669208</v>
      </c>
      <c r="E38" s="745">
        <f>E12+E37-E19-E35</f>
        <v>-1.9868753584793757</v>
      </c>
      <c r="F38" s="745">
        <f>F12+F37-F19-F35</f>
        <v>5.2579610603871298</v>
      </c>
      <c r="G38" s="745">
        <f>G12+G37-G19-G35</f>
        <v>3.1503961967631522</v>
      </c>
      <c r="H38" s="745">
        <f t="shared" si="3"/>
        <v>5.2935512759296426</v>
      </c>
      <c r="I38" s="745">
        <f t="shared" si="3"/>
        <v>10.544849491786749</v>
      </c>
      <c r="J38" s="745">
        <f t="shared" si="3"/>
        <v>5.7364611863855508</v>
      </c>
      <c r="K38" s="746">
        <f t="shared" si="3"/>
        <v>3.8417266033599349</v>
      </c>
    </row>
    <row r="39" spans="2:13" ht="12.75" customHeight="1">
      <c r="B39" s="481"/>
      <c r="C39" s="266"/>
      <c r="D39" s="266"/>
      <c r="E39" s="266"/>
      <c r="F39" s="266"/>
      <c r="G39" s="266"/>
      <c r="H39" s="266"/>
      <c r="I39" s="266"/>
      <c r="J39" s="266"/>
      <c r="K39" s="266"/>
    </row>
    <row r="40" spans="2:13">
      <c r="B40" s="37" t="s">
        <v>480</v>
      </c>
      <c r="C40" s="267" t="s">
        <v>127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1.2341368161847346</v>
      </c>
      <c r="K40" s="112">
        <f>Data!J$34</f>
        <v>1.2720865232824152</v>
      </c>
      <c r="L40" s="266"/>
    </row>
    <row r="41" spans="2:13">
      <c r="B41" s="199"/>
      <c r="C41" s="266"/>
      <c r="D41" s="266"/>
      <c r="E41" s="266"/>
      <c r="F41" s="266"/>
      <c r="G41" s="266"/>
      <c r="H41" s="266"/>
      <c r="I41" s="266"/>
      <c r="J41" s="266"/>
      <c r="K41" s="266"/>
    </row>
    <row r="42" spans="2:13">
      <c r="B42" s="542" t="s">
        <v>473</v>
      </c>
      <c r="C42" s="396" t="str">
        <f>'RFPR cover'!$C$14</f>
        <v>£m 12/13</v>
      </c>
      <c r="D42" s="784">
        <f t="shared" ref="D42:K42" si="4">D38/D40</f>
        <v>2.3436682839252962</v>
      </c>
      <c r="E42" s="785">
        <f t="shared" si="4"/>
        <v>-1.8345411496797683</v>
      </c>
      <c r="F42" s="785">
        <f t="shared" si="4"/>
        <v>4.6797169323927319</v>
      </c>
      <c r="G42" s="785">
        <f t="shared" si="4"/>
        <v>2.7207957044736624</v>
      </c>
      <c r="H42" s="785">
        <f t="shared" si="4"/>
        <v>4.4563403033219053</v>
      </c>
      <c r="I42" s="785">
        <f t="shared" si="4"/>
        <v>8.7707358384962379</v>
      </c>
      <c r="J42" s="785">
        <f t="shared" si="4"/>
        <v>4.6481565991358247</v>
      </c>
      <c r="K42" s="786">
        <f t="shared" si="4"/>
        <v>3.0200198909795661</v>
      </c>
    </row>
    <row r="43" spans="2:13">
      <c r="B43" s="819"/>
      <c r="C43" s="819"/>
      <c r="D43" s="819"/>
      <c r="E43" s="819"/>
      <c r="F43" s="819"/>
      <c r="G43" s="819"/>
      <c r="H43" s="819"/>
      <c r="I43" s="819"/>
      <c r="J43" s="819"/>
      <c r="K43" s="819"/>
    </row>
    <row r="44" spans="2:13">
      <c r="B44" s="827" t="s">
        <v>453</v>
      </c>
      <c r="C44" s="210"/>
      <c r="D44" s="210"/>
      <c r="E44" s="210"/>
      <c r="F44" s="210"/>
      <c r="G44" s="210"/>
      <c r="H44" s="210"/>
      <c r="I44" s="210"/>
      <c r="J44" s="210"/>
      <c r="K44" s="210"/>
    </row>
    <row r="45" spans="2:13">
      <c r="B45" s="368" t="s">
        <v>441</v>
      </c>
      <c r="C45" s="431"/>
      <c r="D45" s="431"/>
      <c r="E45" s="431"/>
      <c r="F45" s="431"/>
      <c r="G45" s="431"/>
      <c r="H45" s="431"/>
      <c r="I45" s="431"/>
      <c r="J45" s="431"/>
      <c r="K45" s="431"/>
      <c r="L45" s="431"/>
      <c r="M45" s="431"/>
    </row>
    <row r="47" spans="2:13" ht="12.75" customHeight="1">
      <c r="B47" s="213" t="s">
        <v>115</v>
      </c>
      <c r="C47" s="155" t="s">
        <v>7</v>
      </c>
      <c r="D47" s="890">
        <f>'RFPR cover'!$C$12</f>
        <v>0.65</v>
      </c>
      <c r="E47" s="891">
        <f>'RFPR cover'!$C$12</f>
        <v>0.65</v>
      </c>
      <c r="F47" s="891">
        <f>'RFPR cover'!$C$12</f>
        <v>0.65</v>
      </c>
      <c r="G47" s="891">
        <f>'RFPR cover'!$C$12</f>
        <v>0.65</v>
      </c>
      <c r="H47" s="891">
        <f>'RFPR cover'!$C$12</f>
        <v>0.65</v>
      </c>
      <c r="I47" s="891">
        <f>'RFPR cover'!$C$12</f>
        <v>0.65</v>
      </c>
      <c r="J47" s="891">
        <f>'RFPR cover'!$C$12</f>
        <v>0.65</v>
      </c>
      <c r="K47" s="892">
        <f>'RFPR cover'!$C$12</f>
        <v>0.65</v>
      </c>
    </row>
    <row r="48" spans="2:13" ht="12.75" customHeight="1">
      <c r="B48" s="213" t="s">
        <v>403</v>
      </c>
      <c r="C48" s="155" t="s">
        <v>7</v>
      </c>
      <c r="D48" s="890">
        <f>'R8 - Net Debt'!D57</f>
        <v>0.63351205661484777</v>
      </c>
      <c r="E48" s="891">
        <f>'R8 - Net Debt'!E57</f>
        <v>0.62702950783278666</v>
      </c>
      <c r="F48" s="891">
        <f>'R8 - Net Debt'!F57</f>
        <v>0.60494869056263623</v>
      </c>
      <c r="G48" s="891">
        <f>'R8 - Net Debt'!G57</f>
        <v>0.59621254225711751</v>
      </c>
      <c r="H48" s="891">
        <f>'R8 - Net Debt'!H57</f>
        <v>0.57975202702420348</v>
      </c>
      <c r="I48" s="891">
        <f>'R8 - Net Debt'!I57</f>
        <v>0.58710115544627706</v>
      </c>
      <c r="J48" s="891">
        <f>'R8 - Net Debt'!J57</f>
        <v>0.61405935329359995</v>
      </c>
      <c r="K48" s="892">
        <f>'R8 - Net Debt'!K57</f>
        <v>0.60811132745480767</v>
      </c>
    </row>
    <row r="49" spans="2:14" ht="12.75" customHeight="1">
      <c r="B49" s="213"/>
      <c r="C49" s="155"/>
      <c r="D49" s="155"/>
      <c r="E49" s="155"/>
      <c r="F49" s="155"/>
      <c r="G49" s="155"/>
      <c r="H49" s="155"/>
      <c r="I49" s="155"/>
      <c r="J49" s="155"/>
      <c r="K49" s="155"/>
      <c r="L49" s="155"/>
    </row>
    <row r="50" spans="2:14" ht="12.75" customHeight="1">
      <c r="B50" s="819" t="s">
        <v>473</v>
      </c>
      <c r="C50" s="266" t="s">
        <v>128</v>
      </c>
      <c r="D50" s="784">
        <f>D38</f>
        <v>2.4850307301669208</v>
      </c>
      <c r="E50" s="784">
        <f t="shared" ref="E50:K50" si="5">E38</f>
        <v>-1.9868753584793757</v>
      </c>
      <c r="F50" s="784">
        <f t="shared" si="5"/>
        <v>5.2579610603871298</v>
      </c>
      <c r="G50" s="784">
        <f t="shared" si="5"/>
        <v>3.1503961967631522</v>
      </c>
      <c r="H50" s="784">
        <f t="shared" si="5"/>
        <v>5.2935512759296426</v>
      </c>
      <c r="I50" s="784">
        <f t="shared" si="5"/>
        <v>10.544849491786749</v>
      </c>
      <c r="J50" s="784">
        <f t="shared" si="5"/>
        <v>5.7364611863855508</v>
      </c>
      <c r="K50" s="784">
        <f t="shared" si="5"/>
        <v>3.8417266033599349</v>
      </c>
    </row>
    <row r="51" spans="2:14">
      <c r="B51" s="213" t="s">
        <v>454</v>
      </c>
      <c r="C51" s="266" t="s">
        <v>128</v>
      </c>
      <c r="D51" s="784">
        <f>D86-D88</f>
        <v>-0.15697512110923117</v>
      </c>
      <c r="E51" s="784">
        <f t="shared" ref="E51:K51" si="6">E86-E88</f>
        <v>-0.16898627206114458</v>
      </c>
      <c r="F51" s="784">
        <f t="shared" si="6"/>
        <v>-0.20667533238080457</v>
      </c>
      <c r="G51" s="784">
        <f t="shared" si="6"/>
        <v>-0.30749036595234724</v>
      </c>
      <c r="H51" s="784">
        <f t="shared" si="6"/>
        <v>-0.49522547211627055</v>
      </c>
      <c r="I51" s="784">
        <f t="shared" si="6"/>
        <v>-0.51725292575133652</v>
      </c>
      <c r="J51" s="784">
        <f t="shared" si="6"/>
        <v>-0.10316516181362378</v>
      </c>
      <c r="K51" s="784">
        <f t="shared" si="6"/>
        <v>-8.0777497657558373E-2</v>
      </c>
      <c r="L51" s="266"/>
    </row>
    <row r="52" spans="2:14" s="31" customFormat="1">
      <c r="B52" s="828" t="s">
        <v>411</v>
      </c>
      <c r="C52" s="266" t="s">
        <v>128</v>
      </c>
      <c r="D52" s="744">
        <f>SUM(D50:D51)</f>
        <v>2.3280556090576896</v>
      </c>
      <c r="E52" s="745">
        <f t="shared" ref="E52:K52" si="7">SUM(E50:E51)</f>
        <v>-2.15586163054052</v>
      </c>
      <c r="F52" s="745">
        <f t="shared" si="7"/>
        <v>5.0512857280063255</v>
      </c>
      <c r="G52" s="745">
        <f t="shared" si="7"/>
        <v>2.8429058308108051</v>
      </c>
      <c r="H52" s="745">
        <f t="shared" si="7"/>
        <v>4.7983258038133716</v>
      </c>
      <c r="I52" s="745">
        <f t="shared" si="7"/>
        <v>10.027596566035413</v>
      </c>
      <c r="J52" s="745">
        <f t="shared" si="7"/>
        <v>5.6332960245719272</v>
      </c>
      <c r="K52" s="746">
        <f t="shared" si="7"/>
        <v>3.7609491057023767</v>
      </c>
      <c r="L52" s="804"/>
    </row>
    <row r="54" spans="2:14">
      <c r="B54" s="828" t="s">
        <v>411</v>
      </c>
      <c r="C54" s="396" t="str">
        <f>'RFPR cover'!$C$14</f>
        <v>£m 12/13</v>
      </c>
      <c r="D54" s="744">
        <f>D52/D40</f>
        <v>2.1956227856371018</v>
      </c>
      <c r="E54" s="745">
        <f t="shared" ref="E54:K54" si="8">E52/E40</f>
        <v>-1.990571203857104</v>
      </c>
      <c r="F54" s="745">
        <f t="shared" si="8"/>
        <v>4.4957707142023793</v>
      </c>
      <c r="G54" s="745">
        <f t="shared" si="8"/>
        <v>2.455235941638195</v>
      </c>
      <c r="H54" s="745">
        <f t="shared" si="8"/>
        <v>4.0394380923887008</v>
      </c>
      <c r="I54" s="745">
        <f t="shared" si="8"/>
        <v>8.3405079080750557</v>
      </c>
      <c r="J54" s="745">
        <f t="shared" si="8"/>
        <v>4.5645636291662939</v>
      </c>
      <c r="K54" s="746">
        <f t="shared" si="8"/>
        <v>2.9565198882838968</v>
      </c>
    </row>
    <row r="55" spans="2:14">
      <c r="B55" s="828"/>
      <c r="C55" s="396"/>
      <c r="D55" s="396"/>
      <c r="E55" s="396"/>
      <c r="F55" s="396"/>
      <c r="G55" s="396"/>
      <c r="H55" s="396"/>
      <c r="I55" s="396"/>
      <c r="J55" s="396"/>
      <c r="K55" s="396"/>
    </row>
    <row r="57" spans="2:14">
      <c r="B57" s="787" t="s">
        <v>377</v>
      </c>
      <c r="C57" s="788"/>
      <c r="D57" s="788"/>
      <c r="E57" s="788"/>
      <c r="F57" s="788"/>
      <c r="G57" s="788"/>
      <c r="H57" s="788"/>
      <c r="I57" s="788"/>
      <c r="J57" s="788"/>
      <c r="K57" s="788"/>
      <c r="L57" s="788"/>
      <c r="M57" s="489"/>
    </row>
    <row r="58" spans="2:14" s="31" customFormat="1">
      <c r="B58" s="490"/>
      <c r="C58" s="489"/>
      <c r="D58" s="489"/>
      <c r="E58" s="489"/>
      <c r="F58" s="489"/>
      <c r="G58" s="489"/>
      <c r="H58" s="489"/>
      <c r="I58" s="489"/>
      <c r="J58" s="489"/>
      <c r="K58" s="489"/>
      <c r="L58" s="489"/>
      <c r="M58" s="489"/>
    </row>
    <row r="59" spans="2:14">
      <c r="B59" s="367" t="s">
        <v>474</v>
      </c>
      <c r="C59" s="293"/>
      <c r="D59" s="293"/>
      <c r="E59" s="293"/>
      <c r="F59" s="293"/>
      <c r="G59" s="293"/>
      <c r="H59" s="293"/>
      <c r="I59" s="293"/>
      <c r="J59" s="293"/>
      <c r="K59" s="293"/>
      <c r="L59" s="293"/>
      <c r="M59" s="200"/>
      <c r="N59" s="200"/>
    </row>
    <row r="60" spans="2:14" s="31" customFormat="1">
      <c r="B60" s="372"/>
      <c r="C60" s="35"/>
      <c r="D60" s="35"/>
      <c r="E60" s="35"/>
      <c r="F60" s="35"/>
      <c r="G60" s="35"/>
      <c r="H60" s="35"/>
      <c r="I60" s="35"/>
      <c r="J60" s="35"/>
      <c r="K60" s="35"/>
      <c r="L60" s="35"/>
      <c r="M60" s="37"/>
      <c r="N60" s="37"/>
    </row>
    <row r="61" spans="2:14">
      <c r="B61" s="200" t="s">
        <v>376</v>
      </c>
      <c r="C61" s="210" t="str">
        <f>'RFPR cover'!$C$14</f>
        <v>£m 12/13</v>
      </c>
      <c r="D61" s="581">
        <v>6.7340727425985802</v>
      </c>
      <c r="E61" s="582">
        <v>5.7686091563914532</v>
      </c>
      <c r="F61" s="582">
        <v>9.9889611779579077</v>
      </c>
      <c r="G61" s="582">
        <v>7.7902875572586874</v>
      </c>
      <c r="H61" s="582">
        <v>7.8036938654504047</v>
      </c>
      <c r="I61" s="582">
        <v>6.7874405393460382</v>
      </c>
      <c r="J61" s="582">
        <v>7.0696991044206214</v>
      </c>
      <c r="K61" s="684">
        <v>7.044206522165041</v>
      </c>
    </row>
    <row r="62" spans="2:14">
      <c r="B62" s="200" t="s">
        <v>379</v>
      </c>
      <c r="C62" s="210" t="str">
        <f>'RFPR cover'!$C$14</f>
        <v>£m 12/13</v>
      </c>
      <c r="D62" s="589"/>
      <c r="E62" s="590"/>
      <c r="F62" s="590"/>
      <c r="G62" s="590"/>
      <c r="H62" s="590"/>
      <c r="I62" s="590"/>
      <c r="J62" s="590"/>
      <c r="K62" s="683"/>
    </row>
    <row r="63" spans="2:14">
      <c r="B63" s="200" t="s">
        <v>380</v>
      </c>
      <c r="C63" s="210" t="str">
        <f>'RFPR cover'!$C$14</f>
        <v>£m 12/13</v>
      </c>
      <c r="D63" s="645">
        <f t="shared" ref="D63:K63" si="9">SUM(D61:D62)</f>
        <v>6.7340727425985802</v>
      </c>
      <c r="E63" s="646">
        <f t="shared" si="9"/>
        <v>5.7686091563914532</v>
      </c>
      <c r="F63" s="646">
        <f t="shared" si="9"/>
        <v>9.9889611779579077</v>
      </c>
      <c r="G63" s="646">
        <f t="shared" si="9"/>
        <v>7.7902875572586874</v>
      </c>
      <c r="H63" s="646">
        <f t="shared" si="9"/>
        <v>7.8036938654504047</v>
      </c>
      <c r="I63" s="646">
        <f t="shared" si="9"/>
        <v>6.7874405393460382</v>
      </c>
      <c r="J63" s="646">
        <f t="shared" si="9"/>
        <v>7.0696991044206214</v>
      </c>
      <c r="K63" s="647">
        <f t="shared" si="9"/>
        <v>7.044206522165041</v>
      </c>
    </row>
    <row r="64" spans="2:14">
      <c r="B64" s="200"/>
      <c r="C64" s="210"/>
      <c r="D64" s="210"/>
      <c r="E64" s="210"/>
      <c r="F64" s="210"/>
      <c r="G64" s="210"/>
      <c r="H64" s="210"/>
      <c r="I64" s="210"/>
      <c r="J64" s="210"/>
      <c r="K64" s="210"/>
      <c r="L64" s="210"/>
    </row>
    <row r="65" spans="2:13">
      <c r="B65" s="511" t="s">
        <v>475</v>
      </c>
      <c r="C65" s="293"/>
      <c r="D65" s="293"/>
      <c r="E65" s="293"/>
      <c r="F65" s="293"/>
      <c r="G65" s="293"/>
      <c r="H65" s="293"/>
      <c r="I65" s="293"/>
      <c r="J65" s="293"/>
      <c r="K65" s="293"/>
      <c r="L65" s="293"/>
    </row>
    <row r="66" spans="2:13" s="31" customFormat="1">
      <c r="B66" s="512"/>
      <c r="C66" s="35"/>
      <c r="D66" s="35"/>
      <c r="E66" s="35"/>
      <c r="F66" s="35"/>
      <c r="G66" s="35"/>
      <c r="H66" s="35"/>
      <c r="I66" s="35"/>
      <c r="J66" s="35"/>
      <c r="K66" s="35"/>
      <c r="L66" s="35"/>
    </row>
    <row r="67" spans="2:13">
      <c r="B67" s="200" t="s">
        <v>367</v>
      </c>
      <c r="C67" s="210" t="str">
        <f>'RFPR cover'!$C$14</f>
        <v>£m 12/13</v>
      </c>
      <c r="D67" s="581">
        <v>6.7340727425985802</v>
      </c>
      <c r="E67" s="581">
        <v>5.7686091563914532</v>
      </c>
      <c r="F67" s="581">
        <v>9.9889611779579077</v>
      </c>
      <c r="G67" s="581">
        <v>7.7902875572586874</v>
      </c>
      <c r="H67" s="581">
        <v>7.8036938654504047</v>
      </c>
      <c r="I67" s="581">
        <v>7.3099149562001164</v>
      </c>
      <c r="J67" s="581">
        <v>2.8055908282310758</v>
      </c>
      <c r="K67" s="581">
        <v>1.0001995619791606</v>
      </c>
    </row>
    <row r="68" spans="2:13">
      <c r="B68" s="200" t="s">
        <v>382</v>
      </c>
      <c r="C68" s="210" t="str">
        <f>'RFPR cover'!$C$14</f>
        <v>£m 12/13</v>
      </c>
      <c r="D68" s="589"/>
      <c r="E68" s="590"/>
      <c r="F68" s="590"/>
      <c r="G68" s="590"/>
      <c r="H68" s="590"/>
      <c r="I68" s="590"/>
      <c r="J68" s="590"/>
      <c r="K68" s="683"/>
    </row>
    <row r="69" spans="2:13">
      <c r="B69" s="14" t="s">
        <v>383</v>
      </c>
      <c r="C69" s="210" t="str">
        <f>'RFPR cover'!$C$14</f>
        <v>£m 12/13</v>
      </c>
      <c r="D69" s="609">
        <f t="shared" ref="D69:K69" si="10">SUM(D67:D68)</f>
        <v>6.7340727425985802</v>
      </c>
      <c r="E69" s="610">
        <f t="shared" si="10"/>
        <v>5.7686091563914532</v>
      </c>
      <c r="F69" s="610">
        <f t="shared" si="10"/>
        <v>9.9889611779579077</v>
      </c>
      <c r="G69" s="610">
        <f t="shared" si="10"/>
        <v>7.7902875572586874</v>
      </c>
      <c r="H69" s="610">
        <f t="shared" si="10"/>
        <v>7.8036938654504047</v>
      </c>
      <c r="I69" s="610">
        <f t="shared" si="10"/>
        <v>7.3099149562001164</v>
      </c>
      <c r="J69" s="610">
        <f t="shared" si="10"/>
        <v>2.8055908282310758</v>
      </c>
      <c r="K69" s="611">
        <f t="shared" si="10"/>
        <v>1.0001995619791606</v>
      </c>
    </row>
    <row r="70" spans="2:13" s="31" customFormat="1">
      <c r="B70" s="512"/>
      <c r="C70" s="35"/>
      <c r="D70" s="747"/>
      <c r="E70" s="747"/>
      <c r="F70" s="747"/>
      <c r="G70" s="747"/>
      <c r="H70" s="747"/>
      <c r="I70" s="747"/>
      <c r="J70" s="747"/>
      <c r="K70" s="747"/>
      <c r="L70" s="35"/>
    </row>
    <row r="71" spans="2:13" s="31" customFormat="1">
      <c r="B71" s="513" t="s">
        <v>381</v>
      </c>
      <c r="C71" s="35"/>
      <c r="D71" s="702">
        <f t="shared" ref="D71:K71" si="11">D69-D63</f>
        <v>0</v>
      </c>
      <c r="E71" s="703">
        <f t="shared" si="11"/>
        <v>0</v>
      </c>
      <c r="F71" s="703">
        <f t="shared" si="11"/>
        <v>0</v>
      </c>
      <c r="G71" s="703">
        <f t="shared" si="11"/>
        <v>0</v>
      </c>
      <c r="H71" s="703">
        <f t="shared" si="11"/>
        <v>0</v>
      </c>
      <c r="I71" s="703">
        <f t="shared" si="11"/>
        <v>0.52247441685407825</v>
      </c>
      <c r="J71" s="703">
        <f t="shared" si="11"/>
        <v>-4.2641082761895461</v>
      </c>
      <c r="K71" s="704">
        <f t="shared" si="11"/>
        <v>-6.0440069601858806</v>
      </c>
      <c r="L71" s="35"/>
    </row>
    <row r="72" spans="2:13">
      <c r="B72" s="200" t="s">
        <v>378</v>
      </c>
      <c r="C72" s="210" t="str">
        <f>'RFPR cover'!$C$14</f>
        <v>£m 12/13</v>
      </c>
      <c r="D72" s="585">
        <v>0</v>
      </c>
      <c r="E72" s="585">
        <v>0</v>
      </c>
      <c r="F72" s="585">
        <v>0</v>
      </c>
      <c r="G72" s="585">
        <v>0</v>
      </c>
      <c r="H72" s="585">
        <v>0</v>
      </c>
      <c r="I72" s="585">
        <v>-3.3995780145578358E-2</v>
      </c>
      <c r="J72" s="585">
        <v>8.8486432099879053E-3</v>
      </c>
      <c r="K72" s="585">
        <v>-0.45445021038112543</v>
      </c>
    </row>
    <row r="73" spans="2:13">
      <c r="B73" s="200" t="s">
        <v>429</v>
      </c>
      <c r="C73" s="210" t="str">
        <f>'RFPR cover'!$C$14</f>
        <v>£m 12/13</v>
      </c>
      <c r="D73" s="585">
        <v>0</v>
      </c>
      <c r="E73" s="585">
        <v>0</v>
      </c>
      <c r="F73" s="585">
        <v>0</v>
      </c>
      <c r="G73" s="585">
        <v>0</v>
      </c>
      <c r="H73" s="585">
        <v>0</v>
      </c>
      <c r="I73" s="585">
        <v>5.7385586412666001E-3</v>
      </c>
      <c r="J73" s="585">
        <v>1.1946181855225539</v>
      </c>
      <c r="K73" s="585">
        <v>0.46395962803828983</v>
      </c>
    </row>
    <row r="74" spans="2:13">
      <c r="B74" s="200" t="s">
        <v>333</v>
      </c>
      <c r="C74" s="210" t="str">
        <f>'RFPR cover'!$C$14</f>
        <v>£m 12/13</v>
      </c>
      <c r="D74" s="585">
        <v>0</v>
      </c>
      <c r="E74" s="585">
        <v>0</v>
      </c>
      <c r="F74" s="585">
        <v>0</v>
      </c>
      <c r="G74" s="585">
        <v>0</v>
      </c>
      <c r="H74" s="585">
        <v>0</v>
      </c>
      <c r="I74" s="585">
        <v>0.55073163835838912</v>
      </c>
      <c r="J74" s="585">
        <v>-5.4697885276882499</v>
      </c>
      <c r="K74" s="585">
        <v>-6.0544268267203627</v>
      </c>
    </row>
    <row r="75" spans="2:13">
      <c r="B75" s="200" t="s">
        <v>122</v>
      </c>
      <c r="C75" s="210" t="str">
        <f>'RFPR cover'!$C$14</f>
        <v>£m 12/13</v>
      </c>
      <c r="D75" s="514" t="str">
        <f>IF(ABS(D71-SUM(D72:D74))&lt;'RFPR cover'!$F$14,"OK","ERROR")</f>
        <v>OK</v>
      </c>
      <c r="E75" s="515" t="str">
        <f>IF(ABS(E71-SUM(E72:E74))&lt;'RFPR cover'!$F$14,"OK","ERROR")</f>
        <v>OK</v>
      </c>
      <c r="F75" s="515" t="str">
        <f>IF(ABS(F71-SUM(F72:F74))&lt;'RFPR cover'!$F$14,"OK","ERROR")</f>
        <v>OK</v>
      </c>
      <c r="G75" s="515" t="str">
        <f>IF(ABS(G71-SUM(G72:G74))&lt;'RFPR cover'!$F$14,"OK","ERROR")</f>
        <v>OK</v>
      </c>
      <c r="H75" s="515" t="str">
        <f>IF(ABS(H71-SUM(H72:H74))&lt;'RFPR cover'!$F$14,"OK","ERROR")</f>
        <v>OK</v>
      </c>
      <c r="I75" s="515" t="str">
        <f>IF(ABS(I71-SUM(I72:I74))&lt;'RFPR cover'!$F$14,"OK","ERROR")</f>
        <v>OK</v>
      </c>
      <c r="J75" s="515" t="str">
        <f>IF(ABS(J71-SUM(J72:J74))&lt;'RFPR cover'!$F$14,"OK","ERROR")</f>
        <v>OK</v>
      </c>
      <c r="K75" s="516" t="str">
        <f>IF(ABS(K71-SUM(K72:K74))&lt;'RFPR cover'!$F$14,"OK","ERROR")</f>
        <v>OK</v>
      </c>
    </row>
    <row r="76" spans="2:13">
      <c r="B76" s="200"/>
      <c r="C76" s="200"/>
      <c r="D76" s="200"/>
      <c r="E76" s="200"/>
      <c r="F76" s="200"/>
      <c r="G76" s="200"/>
      <c r="H76" s="200"/>
      <c r="I76" s="200"/>
      <c r="J76" s="200"/>
      <c r="K76" s="200"/>
      <c r="L76" s="200"/>
      <c r="M76" s="200"/>
    </row>
    <row r="78" spans="2:13">
      <c r="B78" s="832" t="s">
        <v>431</v>
      </c>
      <c r="C78" s="832"/>
      <c r="D78" s="832"/>
      <c r="E78" s="832"/>
      <c r="F78" s="832"/>
      <c r="G78" s="832"/>
      <c r="H78" s="832"/>
      <c r="I78" s="832"/>
      <c r="J78" s="832"/>
      <c r="K78" s="832"/>
      <c r="L78" s="832"/>
    </row>
    <row r="80" spans="2:13">
      <c r="B80" s="14" t="s">
        <v>432</v>
      </c>
      <c r="C80" s="211" t="str">
        <f>'RFPR cover'!$C$14</f>
        <v>£m 12/13</v>
      </c>
      <c r="D80" s="609">
        <f t="shared" ref="D80:K80" si="12">D$69-D42</f>
        <v>4.3904044586732844</v>
      </c>
      <c r="E80" s="610">
        <f t="shared" si="12"/>
        <v>7.6031503060712211</v>
      </c>
      <c r="F80" s="610">
        <f t="shared" si="12"/>
        <v>5.3092442455651758</v>
      </c>
      <c r="G80" s="610">
        <f t="shared" si="12"/>
        <v>5.069491852785025</v>
      </c>
      <c r="H80" s="610">
        <f t="shared" si="12"/>
        <v>3.3473535621284993</v>
      </c>
      <c r="I80" s="610">
        <f t="shared" si="12"/>
        <v>-1.4608208822961215</v>
      </c>
      <c r="J80" s="610">
        <f t="shared" si="12"/>
        <v>-1.8425657709047489</v>
      </c>
      <c r="K80" s="611">
        <f t="shared" si="12"/>
        <v>-2.0198203290004058</v>
      </c>
    </row>
    <row r="81" spans="2:11">
      <c r="B81" s="14"/>
      <c r="C81" s="14"/>
      <c r="D81" s="14"/>
      <c r="E81" s="14"/>
      <c r="F81" s="14"/>
      <c r="G81" s="14"/>
      <c r="H81" s="14"/>
      <c r="I81" s="14"/>
      <c r="J81" s="14"/>
      <c r="K81" s="14"/>
    </row>
    <row r="82" spans="2:11">
      <c r="B82" s="14" t="s">
        <v>443</v>
      </c>
      <c r="C82" s="211" t="str">
        <f>'RFPR cover'!$C$14</f>
        <v>£m 12/13</v>
      </c>
      <c r="D82" s="609">
        <f t="shared" ref="D82:K82" si="13">D$69-D54</f>
        <v>4.5384499569614789</v>
      </c>
      <c r="E82" s="610">
        <f t="shared" si="13"/>
        <v>7.759180360248557</v>
      </c>
      <c r="F82" s="610">
        <f t="shared" si="13"/>
        <v>5.4931904637555284</v>
      </c>
      <c r="G82" s="610">
        <f t="shared" si="13"/>
        <v>5.3350516156204923</v>
      </c>
      <c r="H82" s="610">
        <f t="shared" si="13"/>
        <v>3.7642557730617039</v>
      </c>
      <c r="I82" s="610">
        <f t="shared" si="13"/>
        <v>-1.0305929518749393</v>
      </c>
      <c r="J82" s="610">
        <f t="shared" si="13"/>
        <v>-1.7589728009352181</v>
      </c>
      <c r="K82" s="611">
        <f t="shared" si="13"/>
        <v>-1.9563203263047362</v>
      </c>
    </row>
    <row r="84" spans="2:11">
      <c r="B84" s="14" t="s">
        <v>442</v>
      </c>
      <c r="C84" s="211" t="str">
        <f>'RFPR cover'!$C$14</f>
        <v>£m 12/13</v>
      </c>
      <c r="D84" s="609">
        <f>D80-D82</f>
        <v>-0.14804549828819447</v>
      </c>
      <c r="E84" s="610">
        <f t="shared" ref="E84:K84" si="14">E80-E82</f>
        <v>-0.15603005417733584</v>
      </c>
      <c r="F84" s="610">
        <f t="shared" si="14"/>
        <v>-0.18394621819035262</v>
      </c>
      <c r="G84" s="610">
        <f t="shared" si="14"/>
        <v>-0.26555976283546734</v>
      </c>
      <c r="H84" s="610">
        <f t="shared" si="14"/>
        <v>-0.41690221093320456</v>
      </c>
      <c r="I84" s="610">
        <f t="shared" si="14"/>
        <v>-0.43022793042118224</v>
      </c>
      <c r="J84" s="610">
        <f t="shared" si="14"/>
        <v>-8.3592969969530806E-2</v>
      </c>
      <c r="K84" s="611">
        <f t="shared" si="14"/>
        <v>-6.3500002695669577E-2</v>
      </c>
    </row>
    <row r="86" spans="2:11">
      <c r="B86" t="s">
        <v>526</v>
      </c>
      <c r="C86" s="266" t="s">
        <v>128</v>
      </c>
      <c r="D86" s="585">
        <f>-'R7 - Financing'!D86*Data!$G$20*D$40</f>
        <v>3.081384731378471</v>
      </c>
      <c r="E86" s="585">
        <f>-'R7 - Financing'!E86*Data!$G$21*E$40</f>
        <v>1.7009301545733773</v>
      </c>
      <c r="F86" s="585">
        <f>-'R7 - Financing'!F86*Data!$G$22*F$40</f>
        <v>3.5396571346568227E-2</v>
      </c>
      <c r="G86" s="585">
        <f>-'R7 - Financing'!G86*Data!$G$23*G$40</f>
        <v>0.91973770880503081</v>
      </c>
      <c r="H86" s="585">
        <f>-'R7 - Financing'!H86*Data!$G$24*H$40</f>
        <v>1.9025796818210341</v>
      </c>
      <c r="I86" s="585">
        <f>-'R7 - Financing'!I86*Data!$G$25*I$40</f>
        <v>3.2501063559165071</v>
      </c>
      <c r="J86" s="585">
        <f>-'R7 - Financing'!J86*Data!$G$26*J$40</f>
        <v>0.59420170829849039</v>
      </c>
      <c r="K86" s="585">
        <f>-'R7 - Financing'!K86*Data!$G$27*K$40</f>
        <v>0.45217863746858622</v>
      </c>
    </row>
    <row r="87" spans="2:11">
      <c r="B87" t="s">
        <v>526</v>
      </c>
      <c r="C87" s="396" t="str">
        <f>'RFPR cover'!$C$14</f>
        <v>£m 12/13</v>
      </c>
      <c r="D87" s="784">
        <f>D86/D$40</f>
        <v>2.9060983342521092</v>
      </c>
      <c r="E87" s="784">
        <f t="shared" ref="E87:K87" si="15">E86/E$40</f>
        <v>1.5705194329271865</v>
      </c>
      <c r="F87" s="784">
        <f t="shared" si="15"/>
        <v>3.1503834352661915E-2</v>
      </c>
      <c r="G87" s="784">
        <f t="shared" si="15"/>
        <v>0.79431863520222135</v>
      </c>
      <c r="H87" s="784">
        <f t="shared" si="15"/>
        <v>1.6016738243253263</v>
      </c>
      <c r="I87" s="784">
        <f t="shared" si="15"/>
        <v>2.7032936142866855</v>
      </c>
      <c r="J87" s="784">
        <f t="shared" si="15"/>
        <v>0.48147150340707928</v>
      </c>
      <c r="K87" s="784">
        <f t="shared" si="15"/>
        <v>0.35546217115940493</v>
      </c>
    </row>
    <row r="88" spans="2:11">
      <c r="B88" t="s">
        <v>527</v>
      </c>
      <c r="C88" s="266" t="s">
        <v>128</v>
      </c>
      <c r="D88" s="585">
        <f>-'R7 - Financing'!D88*Data!$G$20*D$40</f>
        <v>3.2383598524877022</v>
      </c>
      <c r="E88" s="585">
        <f>-'R7 - Financing'!E88*Data!$G$21*E$40</f>
        <v>1.8699164266345218</v>
      </c>
      <c r="F88" s="585">
        <f>-'R7 - Financing'!F88*Data!$G$22*F$40</f>
        <v>0.24207190372737281</v>
      </c>
      <c r="G88" s="585">
        <f>-'R7 - Financing'!G88*Data!$G$23*G$40</f>
        <v>1.2272280747573781</v>
      </c>
      <c r="H88" s="585">
        <f>-'R7 - Financing'!H88*Data!$G$24*H$40</f>
        <v>2.3978051539373046</v>
      </c>
      <c r="I88" s="585">
        <f>-'R7 - Financing'!I88*Data!$G$25*I$40</f>
        <v>3.7673592816678436</v>
      </c>
      <c r="J88" s="585">
        <f>-'R7 - Financing'!J88*Data!$G$26*J$40</f>
        <v>0.69736687011211418</v>
      </c>
      <c r="K88" s="585">
        <f>-'R7 - Financing'!K88*Data!$G$27*K$40</f>
        <v>0.53295613512614459</v>
      </c>
    </row>
    <row r="89" spans="2:11">
      <c r="B89" t="s">
        <v>527</v>
      </c>
      <c r="C89" s="396" t="str">
        <f>'RFPR cover'!$C$14</f>
        <v>£m 12/13</v>
      </c>
      <c r="D89" s="784">
        <f t="shared" ref="D89:K89" si="16">D88/D$40</f>
        <v>3.0541438325403036</v>
      </c>
      <c r="E89" s="784">
        <f t="shared" si="16"/>
        <v>1.7265494871045224</v>
      </c>
      <c r="F89" s="784">
        <f t="shared" si="16"/>
        <v>0.21545005254301419</v>
      </c>
      <c r="G89" s="784">
        <f t="shared" si="16"/>
        <v>1.0598783980376887</v>
      </c>
      <c r="H89" s="784">
        <f t="shared" si="16"/>
        <v>2.0185760352585311</v>
      </c>
      <c r="I89" s="784">
        <f t="shared" si="16"/>
        <v>3.133521544707869</v>
      </c>
      <c r="J89" s="784">
        <f t="shared" si="16"/>
        <v>0.56506447337661081</v>
      </c>
      <c r="K89" s="784">
        <f t="shared" si="16"/>
        <v>0.41896217385507456</v>
      </c>
    </row>
    <row r="90" spans="2:11">
      <c r="B90" t="s">
        <v>530</v>
      </c>
      <c r="C90" s="396" t="str">
        <f>'RFPR cover'!$C$14</f>
        <v>£m 12/13</v>
      </c>
      <c r="D90" s="784">
        <f>D87-D89</f>
        <v>-0.14804549828819447</v>
      </c>
      <c r="E90" s="784">
        <f t="shared" ref="E90:K90" si="17">E87-E89</f>
        <v>-0.15603005417733584</v>
      </c>
      <c r="F90" s="784">
        <f t="shared" si="17"/>
        <v>-0.18394621819035228</v>
      </c>
      <c r="G90" s="784">
        <f t="shared" si="17"/>
        <v>-0.26555976283546734</v>
      </c>
      <c r="H90" s="784">
        <f t="shared" si="17"/>
        <v>-0.41690221093320479</v>
      </c>
      <c r="I90" s="784">
        <f t="shared" si="17"/>
        <v>-0.43022793042118357</v>
      </c>
      <c r="J90" s="784">
        <f t="shared" si="17"/>
        <v>-8.3592969969531528E-2</v>
      </c>
      <c r="K90" s="784">
        <f t="shared" si="17"/>
        <v>-6.3500002695669633E-2</v>
      </c>
    </row>
  </sheetData>
  <conditionalFormatting sqref="D6:K7">
    <cfRule type="expression" dxfId="32" priority="74">
      <formula>AND(D$6="Actuals",E$6="Forecast")</formula>
    </cfRule>
  </conditionalFormatting>
  <conditionalFormatting sqref="D5:K5">
    <cfRule type="expression" dxfId="31" priority="49">
      <formula>AND(D$5="Actuals",E$5="Forecast")</formula>
    </cfRule>
  </conditionalFormatting>
  <conditionalFormatting sqref="D37:F37">
    <cfRule type="expression" dxfId="30" priority="17">
      <formula>AND(D$5="Actuals",E$5="Actuals")</formula>
    </cfRule>
  </conditionalFormatting>
  <conditionalFormatting sqref="I12:K12 D19:K19 I24:K34 I15:K18">
    <cfRule type="expression" dxfId="29" priority="16">
      <formula>NOT(AND(D$5="Actuals"))</formula>
    </cfRule>
  </conditionalFormatting>
  <conditionalFormatting sqref="G37">
    <cfRule type="expression" dxfId="28" priority="182">
      <formula>AND(E$5="Actuals",F$5="Actuals")</formula>
    </cfRule>
  </conditionalFormatting>
  <conditionalFormatting sqref="H37">
    <cfRule type="expression" dxfId="27" priority="5">
      <formula>AND(F$5="Actuals",G$5="Actuals")</formula>
    </cfRule>
  </conditionalFormatting>
  <conditionalFormatting sqref="D12:H12 D15:H18">
    <cfRule type="expression" dxfId="26" priority="4">
      <formula>NOT(AND(D$5="Actuals"))</formula>
    </cfRule>
  </conditionalFormatting>
  <conditionalFormatting sqref="D24:H27">
    <cfRule type="expression" dxfId="25" priority="3">
      <formula>NOT(AND(D$5="Actuals"))</formula>
    </cfRule>
  </conditionalFormatting>
  <conditionalFormatting sqref="D28:H33">
    <cfRule type="expression" dxfId="24" priority="2">
      <formula>NOT(AND(D$5="Actuals"))</formula>
    </cfRule>
  </conditionalFormatting>
  <conditionalFormatting sqref="D34:H34">
    <cfRule type="expression" dxfId="23" priority="1">
      <formula>NOT(AND(D$5="Actuals"))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924" t="s">
        <v>260</v>
      </c>
      <c r="B1" s="935"/>
      <c r="C1" s="120"/>
      <c r="D1" s="120"/>
      <c r="E1" s="120"/>
      <c r="F1" s="120"/>
      <c r="G1" s="120"/>
      <c r="H1" s="120"/>
      <c r="I1" s="126"/>
      <c r="J1" s="126"/>
      <c r="K1" s="127"/>
      <c r="L1" s="128"/>
    </row>
    <row r="2" spans="1:18" s="31" customFormat="1" ht="21">
      <c r="A2" s="909" t="str">
        <f>'RFPR cover'!C5</f>
        <v>WPD-SWALES</v>
      </c>
      <c r="B2" s="901"/>
      <c r="C2" s="29"/>
      <c r="D2" s="29"/>
      <c r="E2" s="29"/>
      <c r="F2" s="29"/>
      <c r="G2" s="29"/>
      <c r="H2" s="29"/>
      <c r="I2" s="27"/>
      <c r="J2" s="27"/>
      <c r="K2" s="27"/>
      <c r="L2" s="123"/>
    </row>
    <row r="3" spans="1:18" s="31" customFormat="1" ht="22.8">
      <c r="A3" s="926">
        <f>'RFPR cover'!C7</f>
        <v>2021</v>
      </c>
      <c r="B3" s="918" t="str">
        <f>'R1 - RoRE'!B3</f>
        <v/>
      </c>
      <c r="C3" s="124"/>
      <c r="D3" s="124"/>
      <c r="E3" s="124"/>
      <c r="F3" s="124"/>
      <c r="G3" s="124"/>
      <c r="H3" s="124"/>
      <c r="I3" s="28"/>
      <c r="J3" s="28"/>
      <c r="K3" s="28"/>
      <c r="L3" s="125"/>
    </row>
    <row r="4" spans="1:18" s="2" customFormat="1" ht="12.75" customHeight="1"/>
    <row r="5" spans="1:18" s="2" customFormat="1">
      <c r="B5" s="3"/>
      <c r="C5" s="3"/>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N/A</v>
      </c>
      <c r="K5" s="391" t="str">
        <f>IF(K6&lt;='RFPR cover'!$C$7,"Actuals","N/A")</f>
        <v>N/A</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4" t="s">
        <v>230</v>
      </c>
      <c r="C8" s="152" t="s">
        <v>128</v>
      </c>
      <c r="D8" s="637">
        <v>43.4</v>
      </c>
      <c r="E8" s="638">
        <v>0</v>
      </c>
      <c r="F8" s="638">
        <v>46.9</v>
      </c>
      <c r="G8" s="638">
        <v>19.399999999999999</v>
      </c>
      <c r="H8" s="638">
        <v>9.3000000000000007</v>
      </c>
      <c r="I8" s="638">
        <v>40</v>
      </c>
      <c r="J8" s="638"/>
      <c r="K8" s="639"/>
    </row>
    <row r="9" spans="1:18">
      <c r="B9" s="15" t="s">
        <v>105</v>
      </c>
      <c r="C9" s="14"/>
      <c r="D9" s="748"/>
      <c r="E9" s="748"/>
      <c r="F9" s="748"/>
      <c r="G9" s="748"/>
      <c r="H9" s="748"/>
      <c r="I9" s="748"/>
      <c r="J9" s="748"/>
      <c r="K9" s="748"/>
    </row>
    <row r="10" spans="1:18">
      <c r="B10" s="430" t="s">
        <v>22</v>
      </c>
      <c r="C10" s="152" t="s">
        <v>128</v>
      </c>
      <c r="D10" s="593">
        <v>2.1560517551929284</v>
      </c>
      <c r="E10" s="594">
        <v>0</v>
      </c>
      <c r="F10" s="594">
        <v>2.9728118676841451</v>
      </c>
      <c r="G10" s="594">
        <v>1.7489514988258785</v>
      </c>
      <c r="H10" s="594">
        <v>0.71406990729232855</v>
      </c>
      <c r="I10" s="594">
        <v>0.89560416050999914</v>
      </c>
      <c r="J10" s="594"/>
      <c r="K10" s="604"/>
    </row>
    <row r="11" spans="1:18">
      <c r="B11" s="430" t="s">
        <v>22</v>
      </c>
      <c r="C11" s="152" t="s">
        <v>128</v>
      </c>
      <c r="D11" s="595">
        <v>0</v>
      </c>
      <c r="E11" s="596">
        <v>0</v>
      </c>
      <c r="F11" s="596">
        <v>0</v>
      </c>
      <c r="G11" s="596">
        <v>0</v>
      </c>
      <c r="H11" s="596">
        <v>0</v>
      </c>
      <c r="I11" s="596">
        <v>0</v>
      </c>
      <c r="J11" s="596"/>
      <c r="K11" s="605"/>
    </row>
    <row r="12" spans="1:18">
      <c r="B12" s="430" t="s">
        <v>20</v>
      </c>
      <c r="C12" s="152" t="s">
        <v>128</v>
      </c>
      <c r="D12" s="606">
        <v>0</v>
      </c>
      <c r="E12" s="607">
        <v>0</v>
      </c>
      <c r="F12" s="607">
        <v>0</v>
      </c>
      <c r="G12" s="607">
        <v>0</v>
      </c>
      <c r="H12" s="607">
        <v>0</v>
      </c>
      <c r="I12" s="607">
        <v>0</v>
      </c>
      <c r="J12" s="607"/>
      <c r="K12" s="608"/>
      <c r="Q12" s="216"/>
    </row>
    <row r="13" spans="1:18">
      <c r="B13" s="14" t="s">
        <v>106</v>
      </c>
      <c r="C13" s="152" t="s">
        <v>128</v>
      </c>
      <c r="D13" s="739">
        <f>D8-SUM(D10:D12)</f>
        <v>41.243948244807072</v>
      </c>
      <c r="E13" s="740">
        <f t="shared" ref="E13:K13" si="1">E8-SUM(E10:E12)</f>
        <v>0</v>
      </c>
      <c r="F13" s="740">
        <f t="shared" si="1"/>
        <v>43.927188132315855</v>
      </c>
      <c r="G13" s="740">
        <f t="shared" si="1"/>
        <v>17.65104850117412</v>
      </c>
      <c r="H13" s="740">
        <f t="shared" si="1"/>
        <v>8.585930092707672</v>
      </c>
      <c r="I13" s="740">
        <f t="shared" si="1"/>
        <v>39.104395839490003</v>
      </c>
      <c r="J13" s="740">
        <f t="shared" si="1"/>
        <v>0</v>
      </c>
      <c r="K13" s="741">
        <f t="shared" si="1"/>
        <v>0</v>
      </c>
      <c r="R13" s="215"/>
    </row>
    <row r="14" spans="1:18">
      <c r="C14" s="14"/>
      <c r="Q14" s="216"/>
    </row>
    <row r="15" spans="1:18">
      <c r="B15" s="14" t="s">
        <v>502</v>
      </c>
      <c r="C15" s="152" t="s">
        <v>128</v>
      </c>
      <c r="D15" s="593">
        <v>0</v>
      </c>
      <c r="E15" s="594">
        <v>0</v>
      </c>
      <c r="F15" s="594">
        <v>0</v>
      </c>
      <c r="G15" s="594">
        <v>0</v>
      </c>
      <c r="H15" s="594">
        <v>0</v>
      </c>
      <c r="I15" s="594">
        <v>0</v>
      </c>
      <c r="J15" s="594"/>
      <c r="K15" s="604"/>
    </row>
  </sheetData>
  <conditionalFormatting sqref="D6:K6">
    <cfRule type="expression" dxfId="22" priority="10">
      <formula>AND(D$5="Actuals",E$5="N/A")</formula>
    </cfRule>
  </conditionalFormatting>
  <conditionalFormatting sqref="D5:K5">
    <cfRule type="expression" dxfId="21" priority="3">
      <formula>AND(D$5="Actuals",E$5="N/A")</formula>
    </cfRule>
  </conditionalFormatting>
  <conditionalFormatting sqref="D8:K8 D5:K6 D10:K13">
    <cfRule type="expression" dxfId="20" priority="2">
      <formula>D$5="N/A"</formula>
    </cfRule>
  </conditionalFormatting>
  <conditionalFormatting sqref="D15:K15">
    <cfRule type="expression" dxfId="19"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920" t="s">
        <v>259</v>
      </c>
      <c r="B1" s="916"/>
      <c r="C1" s="256"/>
      <c r="D1" s="256"/>
      <c r="E1" s="256"/>
      <c r="F1" s="256"/>
      <c r="G1" s="256"/>
      <c r="H1" s="256"/>
      <c r="I1" s="257"/>
      <c r="J1" s="257"/>
      <c r="K1" s="258"/>
      <c r="L1" s="259"/>
    </row>
    <row r="2" spans="1:12" s="31" customFormat="1" ht="21">
      <c r="A2" s="909" t="str">
        <f>'RFPR cover'!C5</f>
        <v>WPD-SWALES</v>
      </c>
      <c r="B2" s="901"/>
      <c r="C2" s="29"/>
      <c r="D2" s="29"/>
      <c r="E2" s="29"/>
      <c r="F2" s="29"/>
      <c r="G2" s="29"/>
      <c r="H2" s="29"/>
      <c r="I2" s="27"/>
      <c r="J2" s="27"/>
      <c r="K2" s="27"/>
      <c r="L2" s="123"/>
    </row>
    <row r="3" spans="1:12" s="31" customFormat="1" ht="21">
      <c r="A3" s="912">
        <f>'RFPR cover'!C7</f>
        <v>2021</v>
      </c>
      <c r="B3" s="919"/>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12" s="2" customFormat="1">
      <c r="A6" s="35"/>
      <c r="B6" s="35"/>
      <c r="C6" s="3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5"/>
      <c r="B7" s="35"/>
      <c r="C7" s="31"/>
      <c r="D7" s="31"/>
      <c r="E7" s="31"/>
      <c r="F7" s="31"/>
      <c r="G7" s="31"/>
      <c r="H7" s="31"/>
      <c r="I7" s="31"/>
      <c r="J7" s="31"/>
      <c r="K7" s="31"/>
      <c r="L7" s="31"/>
    </row>
    <row r="8" spans="1:12">
      <c r="B8" s="14" t="s">
        <v>391</v>
      </c>
      <c r="C8" s="152" t="s">
        <v>128</v>
      </c>
      <c r="D8" s="749">
        <v>34.086201676005537</v>
      </c>
      <c r="E8" s="750">
        <v>69.707374297607302</v>
      </c>
      <c r="F8" s="750">
        <v>0</v>
      </c>
      <c r="G8" s="750">
        <v>33.404017108190544</v>
      </c>
      <c r="H8" s="750">
        <v>32.966619352577247</v>
      </c>
      <c r="I8" s="750">
        <v>30.03475720731285</v>
      </c>
      <c r="J8" s="750"/>
      <c r="K8" s="751"/>
    </row>
    <row r="9" spans="1:12">
      <c r="B9" s="16" t="s">
        <v>24</v>
      </c>
      <c r="D9" s="748"/>
      <c r="E9" s="748"/>
      <c r="F9" s="748"/>
      <c r="G9" s="748"/>
      <c r="H9" s="748"/>
      <c r="I9" s="748"/>
      <c r="J9" s="748"/>
      <c r="K9" s="748"/>
    </row>
    <row r="10" spans="1:12">
      <c r="B10" t="s">
        <v>23</v>
      </c>
      <c r="C10" s="152" t="s">
        <v>128</v>
      </c>
      <c r="D10" s="676">
        <v>27.018399787323251</v>
      </c>
      <c r="E10" s="677">
        <v>55.253497091412314</v>
      </c>
      <c r="F10" s="677">
        <v>0</v>
      </c>
      <c r="G10" s="677">
        <v>26.389292034069662</v>
      </c>
      <c r="H10" s="677">
        <v>26.043746231489052</v>
      </c>
      <c r="I10" s="677">
        <v>25.993931379646664</v>
      </c>
      <c r="J10" s="677"/>
      <c r="K10" s="678"/>
    </row>
    <row r="11" spans="1:12">
      <c r="B11" t="s">
        <v>25</v>
      </c>
      <c r="C11" s="152" t="s">
        <v>128</v>
      </c>
      <c r="D11" s="752">
        <v>0.76781756804892043</v>
      </c>
      <c r="E11" s="753">
        <v>1.5702115218646047</v>
      </c>
      <c r="F11" s="753">
        <v>0</v>
      </c>
      <c r="G11" s="753">
        <v>-5.7506164941511707E-2</v>
      </c>
      <c r="H11" s="753">
        <v>-5.6753169653613295E-2</v>
      </c>
      <c r="I11" s="753">
        <v>-2.0151133505054561</v>
      </c>
      <c r="J11" s="753"/>
      <c r="K11" s="754"/>
    </row>
    <row r="12" spans="1:12">
      <c r="D12" s="748"/>
      <c r="E12" s="748"/>
      <c r="F12" s="748"/>
      <c r="G12" s="748"/>
      <c r="H12" s="748"/>
      <c r="I12" s="748"/>
      <c r="J12" s="748"/>
      <c r="K12" s="748"/>
    </row>
    <row r="13" spans="1:12">
      <c r="D13" s="748"/>
      <c r="E13" s="748"/>
      <c r="F13" s="748"/>
      <c r="G13" s="748"/>
      <c r="H13" s="748"/>
      <c r="I13" s="748"/>
      <c r="J13" s="748"/>
      <c r="K13" s="748"/>
    </row>
    <row r="14" spans="1:12">
      <c r="B14" t="s">
        <v>23</v>
      </c>
      <c r="C14" s="210" t="str">
        <f>'RFPR cover'!$C$14</f>
        <v>£m 12/13</v>
      </c>
      <c r="D14" s="17">
        <f>D10/Data!C$34</f>
        <v>25.481442098589294</v>
      </c>
      <c r="E14" s="17">
        <f>E10/Data!D$34</f>
        <v>51.017198258216496</v>
      </c>
      <c r="F14" s="17">
        <f>F10/Data!E$34</f>
        <v>0</v>
      </c>
      <c r="G14" s="17">
        <f>G10/Data!F$34</f>
        <v>22.790743743332328</v>
      </c>
      <c r="H14" s="17">
        <f>H10/Data!G$34</f>
        <v>21.924751444008724</v>
      </c>
      <c r="I14" s="17">
        <f>I10/Data!H$34</f>
        <v>21.620593609463494</v>
      </c>
      <c r="J14" s="17">
        <f>J10/Data!I$34</f>
        <v>0</v>
      </c>
      <c r="K14" s="17">
        <f>K10/Data!J$34</f>
        <v>0</v>
      </c>
    </row>
    <row r="15" spans="1:12">
      <c r="D15" s="748"/>
      <c r="E15" s="748"/>
      <c r="F15" s="748"/>
      <c r="G15" s="748"/>
      <c r="H15" s="748"/>
      <c r="I15" s="748"/>
      <c r="J15" s="748"/>
      <c r="K15" s="748"/>
    </row>
    <row r="16" spans="1:12">
      <c r="D16" s="748"/>
      <c r="E16" s="748"/>
      <c r="F16" s="748"/>
      <c r="G16" s="748"/>
      <c r="H16" s="748"/>
      <c r="I16" s="748"/>
      <c r="J16" s="748"/>
      <c r="K16" s="748"/>
    </row>
    <row r="17" spans="2:11" s="2" customFormat="1">
      <c r="B17" s="14" t="s">
        <v>313</v>
      </c>
      <c r="C17" s="210" t="str">
        <f>'RFPR cover'!$C$14</f>
        <v>£m 12/13</v>
      </c>
      <c r="D17" s="755">
        <v>25.425543387583833</v>
      </c>
      <c r="E17" s="755">
        <v>25.425543387583833</v>
      </c>
      <c r="F17" s="755">
        <v>25.425543387583833</v>
      </c>
      <c r="G17" s="755">
        <v>25.428685775819954</v>
      </c>
      <c r="H17" s="755">
        <v>25.428685775819954</v>
      </c>
      <c r="I17" s="755">
        <v>25.428685775819954</v>
      </c>
      <c r="J17" s="755">
        <v>13.756563951413312</v>
      </c>
      <c r="K17" s="755">
        <v>13.756563951413312</v>
      </c>
    </row>
    <row r="18" spans="2:11" s="2" customFormat="1">
      <c r="B18" s="200" t="s">
        <v>314</v>
      </c>
      <c r="C18" s="210" t="str">
        <f>'RFPR cover'!$C$14</f>
        <v>£m 12/13</v>
      </c>
      <c r="D18" s="755">
        <v>1.4699695944415692</v>
      </c>
      <c r="E18" s="755">
        <v>1.4699695944415692</v>
      </c>
      <c r="F18" s="755">
        <v>1.4731119826776899</v>
      </c>
      <c r="G18" s="755">
        <v>1.4731119826776899</v>
      </c>
      <c r="H18" s="755">
        <v>1.4731119826776899</v>
      </c>
      <c r="I18" s="755">
        <v>1.4731119826776899</v>
      </c>
      <c r="J18" s="755">
        <v>1.4731119826776899</v>
      </c>
      <c r="K18" s="755">
        <v>6.9131119826776901</v>
      </c>
    </row>
    <row r="19" spans="2:11" s="2" customFormat="1">
      <c r="B19" s="14" t="s">
        <v>315</v>
      </c>
      <c r="C19" s="210" t="str">
        <f>'RFPR cover'!$C$14</f>
        <v>£m 12/13</v>
      </c>
      <c r="D19" s="17">
        <f>D17-D18</f>
        <v>23.955573793142264</v>
      </c>
      <c r="E19" s="17">
        <f t="shared" ref="E19:K19" si="1">E17-E18</f>
        <v>23.955573793142264</v>
      </c>
      <c r="F19" s="17">
        <f t="shared" si="1"/>
        <v>23.952431404906143</v>
      </c>
      <c r="G19" s="17">
        <f t="shared" si="1"/>
        <v>23.955573793142264</v>
      </c>
      <c r="H19" s="17">
        <f t="shared" si="1"/>
        <v>23.955573793142264</v>
      </c>
      <c r="I19" s="17">
        <f t="shared" si="1"/>
        <v>23.955573793142264</v>
      </c>
      <c r="J19" s="17">
        <f t="shared" si="1"/>
        <v>12.283451968735623</v>
      </c>
      <c r="K19" s="17">
        <f t="shared" si="1"/>
        <v>6.8434519687356223</v>
      </c>
    </row>
    <row r="20" spans="2:11" s="2" customFormat="1">
      <c r="B20" s="14"/>
      <c r="C20" s="14"/>
      <c r="D20" s="14"/>
      <c r="E20" s="14"/>
      <c r="F20" s="14"/>
      <c r="G20" s="14"/>
      <c r="H20" s="14"/>
      <c r="I20" s="14"/>
      <c r="J20" s="14"/>
      <c r="K20" s="14"/>
    </row>
    <row r="21" spans="2:11" s="2" customFormat="1">
      <c r="B21" s="14"/>
      <c r="C21" s="14"/>
      <c r="D21" s="1000" t="s">
        <v>118</v>
      </c>
      <c r="E21" s="14"/>
      <c r="F21" s="14"/>
      <c r="G21" s="14"/>
      <c r="H21" s="14"/>
      <c r="I21" s="14"/>
      <c r="J21" s="14"/>
      <c r="K21" s="14"/>
    </row>
    <row r="22" spans="2:11" s="2" customFormat="1" ht="12.75" customHeight="1">
      <c r="B22" s="14"/>
      <c r="C22" s="14"/>
      <c r="D22" s="1001"/>
      <c r="E22" s="14"/>
      <c r="F22" s="14"/>
      <c r="G22" s="14"/>
      <c r="H22" s="14"/>
      <c r="I22" s="14"/>
      <c r="J22" s="14"/>
      <c r="K22" s="14"/>
    </row>
    <row r="23" spans="2:11">
      <c r="C23" s="14"/>
      <c r="D23" s="1002"/>
      <c r="E23" s="14"/>
    </row>
    <row r="24" spans="2:11">
      <c r="B24" s="14" t="s">
        <v>117</v>
      </c>
      <c r="C24" s="14"/>
      <c r="D24" s="950">
        <v>43555</v>
      </c>
    </row>
    <row r="25" spans="2:11">
      <c r="B25" s="14"/>
      <c r="C25" s="14"/>
      <c r="D25" s="40"/>
      <c r="E25" s="41"/>
      <c r="F25" s="41"/>
    </row>
    <row r="26" spans="2:11">
      <c r="B26" s="200" t="s">
        <v>312</v>
      </c>
      <c r="C26" s="14"/>
      <c r="D26" s="951" t="s">
        <v>77</v>
      </c>
      <c r="E26" s="41"/>
      <c r="F26" s="41"/>
    </row>
    <row r="27" spans="2:11">
      <c r="B27" s="200"/>
      <c r="C27" s="14"/>
      <c r="D27" s="40"/>
      <c r="E27" s="41"/>
      <c r="F27" s="41"/>
    </row>
    <row r="28" spans="2:11">
      <c r="B28" s="14"/>
      <c r="D28" s="362" t="s">
        <v>282</v>
      </c>
      <c r="E28" s="41"/>
      <c r="F28" s="41"/>
    </row>
    <row r="29" spans="2:11">
      <c r="B29" t="s">
        <v>26</v>
      </c>
      <c r="D29" s="952">
        <v>389.98603000000003</v>
      </c>
    </row>
    <row r="30" spans="2:11">
      <c r="B30" t="s">
        <v>27</v>
      </c>
      <c r="D30" s="952">
        <v>2304.3139700000002</v>
      </c>
    </row>
    <row r="31" spans="2:11">
      <c r="D31" s="748"/>
    </row>
    <row r="32" spans="2:11">
      <c r="B32" t="s">
        <v>28</v>
      </c>
      <c r="D32" s="952">
        <v>410.80000000000007</v>
      </c>
    </row>
    <row r="33" spans="2:4">
      <c r="B33" t="s">
        <v>29</v>
      </c>
      <c r="D33" s="952">
        <v>2011.8000000000002</v>
      </c>
    </row>
    <row r="34" spans="2:4">
      <c r="D34" s="748"/>
    </row>
    <row r="35" spans="2:4">
      <c r="B35" s="43" t="s">
        <v>31</v>
      </c>
      <c r="D35" s="17">
        <f>D29-D32</f>
        <v>-20.81397000000004</v>
      </c>
    </row>
    <row r="36" spans="2:4">
      <c r="B36" s="43" t="s">
        <v>30</v>
      </c>
      <c r="D36" s="17">
        <f>D30-D33</f>
        <v>292.51396999999997</v>
      </c>
    </row>
    <row r="37" spans="2:4">
      <c r="D37" s="748"/>
    </row>
    <row r="38" spans="2:4">
      <c r="B38" t="s">
        <v>32</v>
      </c>
      <c r="D38" s="952">
        <v>110.09710799659561</v>
      </c>
    </row>
    <row r="39" spans="2:4">
      <c r="B39" t="s">
        <v>33</v>
      </c>
      <c r="D39" s="952">
        <v>-8.0915638312593661</v>
      </c>
    </row>
  </sheetData>
  <mergeCells count="1">
    <mergeCell ref="D21:D23"/>
  </mergeCells>
  <conditionalFormatting sqref="D6:J6">
    <cfRule type="expression" dxfId="18" priority="22">
      <formula>AND(D$4="Actuals",E$4="Forecast")</formula>
    </cfRule>
  </conditionalFormatting>
  <conditionalFormatting sqref="D11:H11 J11:K11">
    <cfRule type="expression" dxfId="17" priority="16">
      <formula>D$5="Forecast"</formula>
    </cfRule>
    <cfRule type="expression" dxfId="16" priority="17">
      <formula>D$5="Actuals"</formula>
    </cfRule>
  </conditionalFormatting>
  <conditionalFormatting sqref="D8:H8 J8:K8">
    <cfRule type="expression" dxfId="15" priority="20">
      <formula>D$5="Forecast"</formula>
    </cfRule>
    <cfRule type="expression" dxfId="14" priority="21">
      <formula>D$5="Actuals"</formula>
    </cfRule>
  </conditionalFormatting>
  <conditionalFormatting sqref="D10:H10 J10:K10">
    <cfRule type="expression" dxfId="13" priority="18">
      <formula>D$5="Forecast"</formula>
    </cfRule>
    <cfRule type="expression" dxfId="12" priority="19">
      <formula>D$5="Actuals"</formula>
    </cfRule>
  </conditionalFormatting>
  <conditionalFormatting sqref="D5:K6">
    <cfRule type="expression" dxfId="11" priority="15">
      <formula>AND(D$5="Actuals",E$5="Forecast")</formula>
    </cfRule>
  </conditionalFormatting>
  <conditionalFormatting sqref="D21">
    <cfRule type="expression" dxfId="10" priority="12">
      <formula>AND(E$4="Actuals",F$4="Forecast")</formula>
    </cfRule>
  </conditionalFormatting>
  <conditionalFormatting sqref="K6">
    <cfRule type="expression" dxfId="9" priority="118">
      <formula>AND(K$4="Actuals",#REF!="Forecast")</formula>
    </cfRule>
  </conditionalFormatting>
  <conditionalFormatting sqref="K5">
    <cfRule type="expression" dxfId="8" priority="120">
      <formula>AND(K$5="Actuals",#REF!="Forecast")</formula>
    </cfRule>
  </conditionalFormatting>
  <conditionalFormatting sqref="I11">
    <cfRule type="expression" dxfId="7" priority="1">
      <formula>I$5="Forecast"</formula>
    </cfRule>
    <cfRule type="expression" dxfId="6" priority="2">
      <formula>I$5="Actuals"</formula>
    </cfRule>
  </conditionalFormatting>
  <conditionalFormatting sqref="I8">
    <cfRule type="expression" dxfId="5" priority="5">
      <formula>I$5="Forecast"</formula>
    </cfRule>
    <cfRule type="expression" dxfId="4" priority="6">
      <formula>I$5="Actuals"</formula>
    </cfRule>
  </conditionalFormatting>
  <conditionalFormatting sqref="I10">
    <cfRule type="expression" dxfId="3" priority="3">
      <formula>I$5="Forecast"</formula>
    </cfRule>
    <cfRule type="expression" dxfId="2" priority="4">
      <formula>I$5="Actuals"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70" zoomScaleNormal="70" workbookViewId="0">
      <pane ySplit="6" topLeftCell="A7" activePane="bottomLeft" state="frozen"/>
      <selection activeCell="B130" sqref="B130"/>
      <selection pane="bottomLeft" activeCell="A3" sqref="A3"/>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906" t="s">
        <v>258</v>
      </c>
      <c r="B1" s="916"/>
      <c r="C1" s="256"/>
      <c r="D1" s="256"/>
      <c r="E1" s="256"/>
      <c r="F1" s="256"/>
      <c r="G1" s="256"/>
      <c r="H1" s="256"/>
      <c r="I1" s="257"/>
      <c r="J1" s="257"/>
      <c r="K1" s="258"/>
      <c r="L1" s="363"/>
      <c r="M1" s="33"/>
      <c r="N1" s="33"/>
      <c r="O1" s="32" t="s">
        <v>84</v>
      </c>
      <c r="P1" s="33"/>
      <c r="Q1" s="33"/>
      <c r="R1" s="33"/>
      <c r="S1" s="33"/>
    </row>
    <row r="2" spans="1:19" s="31" customFormat="1" ht="21">
      <c r="A2" s="909" t="str">
        <f>'RFPR cover'!C5</f>
        <v>WPD-SWALES</v>
      </c>
      <c r="B2" s="901"/>
      <c r="C2" s="29"/>
      <c r="D2" s="29"/>
      <c r="E2" s="29"/>
      <c r="F2" s="29"/>
      <c r="G2" s="29"/>
      <c r="H2" s="29"/>
      <c r="I2" s="27"/>
      <c r="J2" s="27"/>
      <c r="K2" s="27"/>
      <c r="L2" s="123"/>
      <c r="M2" s="33"/>
      <c r="N2" s="33"/>
      <c r="O2" s="32" t="s">
        <v>84</v>
      </c>
      <c r="P2" s="33"/>
      <c r="Q2" s="33"/>
      <c r="R2" s="33"/>
      <c r="S2" s="33"/>
    </row>
    <row r="3" spans="1:19" s="31" customFormat="1" ht="21">
      <c r="A3" s="912">
        <f>'RFPR cover'!C7</f>
        <v>2021</v>
      </c>
      <c r="B3" s="919"/>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M5" s="33"/>
      <c r="N5" s="33"/>
      <c r="O5" s="32" t="s">
        <v>84</v>
      </c>
      <c r="P5" s="33"/>
      <c r="Q5" s="33"/>
      <c r="R5" s="33"/>
      <c r="S5" s="33"/>
    </row>
    <row r="6" spans="1:19" s="2" customFormat="1">
      <c r="C6" s="14"/>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9">
      <c r="D7" s="759"/>
      <c r="E7" s="759"/>
      <c r="F7" s="759"/>
      <c r="G7" s="759"/>
      <c r="H7" s="759"/>
      <c r="I7" s="759"/>
      <c r="J7" s="759"/>
      <c r="K7" s="759"/>
    </row>
    <row r="8" spans="1:19">
      <c r="B8" s="50" t="s">
        <v>465</v>
      </c>
      <c r="C8" s="210" t="str">
        <f>'RFPR cover'!$C$14</f>
        <v>£m 12/13</v>
      </c>
      <c r="D8" s="756">
        <f>(D16+D21)/Data!C34</f>
        <v>4.5269491545021344E-5</v>
      </c>
      <c r="E8" s="756">
        <f>(E16+E21)/Data!D34</f>
        <v>0</v>
      </c>
      <c r="F8" s="756">
        <f>(F16+F21)/Data!E34</f>
        <v>2.162760814527204E-5</v>
      </c>
      <c r="G8" s="756">
        <f>(G16+G21)/Data!F34</f>
        <v>2.0986355838876579E-5</v>
      </c>
      <c r="H8" s="756">
        <f>(H16+H21)/Data!G34</f>
        <v>2.0456790484513596E-5</v>
      </c>
      <c r="I8" s="756">
        <f>(I16+I21)/Data!H34</f>
        <v>3.638098257112457E-3</v>
      </c>
      <c r="J8" s="756">
        <f>(J16+J21)/Data!I34</f>
        <v>6.0710448807148071E-4</v>
      </c>
      <c r="K8" s="756">
        <f>(K16+K21)/Data!J34</f>
        <v>5.889929547140244E-4</v>
      </c>
    </row>
    <row r="9" spans="1:19">
      <c r="D9" s="759"/>
      <c r="E9" s="759"/>
      <c r="F9" s="759"/>
      <c r="G9" s="759"/>
      <c r="H9" s="759"/>
      <c r="I9" s="759"/>
      <c r="J9" s="759"/>
      <c r="K9" s="759"/>
    </row>
    <row r="10" spans="1:19">
      <c r="B10" s="14" t="s">
        <v>449</v>
      </c>
      <c r="D10" s="759"/>
      <c r="E10" s="759"/>
      <c r="F10" s="759"/>
      <c r="G10" s="759"/>
      <c r="H10" s="759"/>
      <c r="I10" s="759"/>
      <c r="J10" s="759"/>
      <c r="K10" s="759"/>
    </row>
    <row r="11" spans="1:19">
      <c r="B11" s="44" t="s">
        <v>36</v>
      </c>
      <c r="C11" s="152" t="s">
        <v>128</v>
      </c>
      <c r="D11" s="637">
        <v>0</v>
      </c>
      <c r="E11" s="638">
        <v>0</v>
      </c>
      <c r="F11" s="638">
        <v>0</v>
      </c>
      <c r="G11" s="638">
        <v>0</v>
      </c>
      <c r="H11" s="638">
        <v>0</v>
      </c>
      <c r="I11" s="638">
        <v>0</v>
      </c>
      <c r="J11" s="638">
        <v>0</v>
      </c>
      <c r="K11" s="639">
        <v>0</v>
      </c>
    </row>
    <row r="12" spans="1:19">
      <c r="B12" s="44" t="s">
        <v>36</v>
      </c>
      <c r="C12" s="152" t="s">
        <v>128</v>
      </c>
      <c r="D12" s="637">
        <v>0</v>
      </c>
      <c r="E12" s="638">
        <v>0</v>
      </c>
      <c r="F12" s="638">
        <v>0</v>
      </c>
      <c r="G12" s="638">
        <v>0</v>
      </c>
      <c r="H12" s="638">
        <v>0</v>
      </c>
      <c r="I12" s="638">
        <v>0</v>
      </c>
      <c r="J12" s="638">
        <v>0</v>
      </c>
      <c r="K12" s="639">
        <v>0</v>
      </c>
    </row>
    <row r="13" spans="1:19">
      <c r="B13" s="44" t="s">
        <v>20</v>
      </c>
      <c r="C13" s="152" t="s">
        <v>128</v>
      </c>
      <c r="D13" s="637">
        <v>0</v>
      </c>
      <c r="E13" s="638">
        <v>0</v>
      </c>
      <c r="F13" s="638">
        <v>0</v>
      </c>
      <c r="G13" s="638">
        <v>0</v>
      </c>
      <c r="H13" s="638">
        <v>0</v>
      </c>
      <c r="I13" s="638">
        <v>0</v>
      </c>
      <c r="J13" s="638">
        <v>0</v>
      </c>
      <c r="K13" s="639">
        <v>0</v>
      </c>
    </row>
    <row r="14" spans="1:19">
      <c r="B14" s="14" t="s">
        <v>462</v>
      </c>
      <c r="C14" s="152" t="s">
        <v>128</v>
      </c>
      <c r="D14" s="756">
        <f>SUM(D11:D13)</f>
        <v>0</v>
      </c>
      <c r="E14" s="757">
        <f t="shared" ref="E14:H14" si="1">SUM(E11:E13)</f>
        <v>0</v>
      </c>
      <c r="F14" s="757">
        <f t="shared" si="1"/>
        <v>0</v>
      </c>
      <c r="G14" s="757">
        <f t="shared" si="1"/>
        <v>0</v>
      </c>
      <c r="H14" s="757">
        <f t="shared" si="1"/>
        <v>0</v>
      </c>
      <c r="I14" s="757">
        <f t="shared" ref="I14:K14" si="2">SUM(I11:I13)</f>
        <v>0</v>
      </c>
      <c r="J14" s="757">
        <f t="shared" si="2"/>
        <v>0</v>
      </c>
      <c r="K14" s="758">
        <f t="shared" si="2"/>
        <v>0</v>
      </c>
    </row>
    <row r="15" spans="1:19">
      <c r="B15" s="35" t="s">
        <v>456</v>
      </c>
      <c r="C15" s="152" t="s">
        <v>128</v>
      </c>
      <c r="D15" s="637">
        <v>0</v>
      </c>
      <c r="E15" s="638">
        <v>0</v>
      </c>
      <c r="F15" s="638">
        <v>0</v>
      </c>
      <c r="G15" s="638">
        <v>0</v>
      </c>
      <c r="H15" s="638">
        <v>0</v>
      </c>
      <c r="I15" s="638">
        <v>0</v>
      </c>
      <c r="J15" s="638">
        <v>0</v>
      </c>
      <c r="K15" s="639">
        <v>0</v>
      </c>
    </row>
    <row r="16" spans="1:19">
      <c r="B16" s="50" t="s">
        <v>463</v>
      </c>
      <c r="C16" s="152" t="s">
        <v>128</v>
      </c>
      <c r="D16" s="756">
        <f>D14-D15</f>
        <v>0</v>
      </c>
      <c r="E16" s="756">
        <f t="shared" ref="E16:K16" si="3">E14-E15</f>
        <v>0</v>
      </c>
      <c r="F16" s="756">
        <f t="shared" si="3"/>
        <v>0</v>
      </c>
      <c r="G16" s="756">
        <f t="shared" si="3"/>
        <v>0</v>
      </c>
      <c r="H16" s="756">
        <f t="shared" si="3"/>
        <v>0</v>
      </c>
      <c r="I16" s="756">
        <f t="shared" si="3"/>
        <v>0</v>
      </c>
      <c r="J16" s="756">
        <f t="shared" si="3"/>
        <v>0</v>
      </c>
      <c r="K16" s="756">
        <f t="shared" si="3"/>
        <v>0</v>
      </c>
    </row>
    <row r="18" spans="2:11">
      <c r="B18" s="14" t="s">
        <v>460</v>
      </c>
      <c r="D18" s="759"/>
      <c r="E18" s="759"/>
      <c r="F18" s="759"/>
      <c r="G18" s="759"/>
      <c r="H18" s="759"/>
      <c r="I18" s="759"/>
      <c r="J18" s="759"/>
      <c r="K18" s="759"/>
    </row>
    <row r="19" spans="2:11">
      <c r="B19" s="842" t="s">
        <v>461</v>
      </c>
      <c r="C19" s="152" t="s">
        <v>128</v>
      </c>
      <c r="D19" s="637">
        <v>5.9999999999997555E-5</v>
      </c>
      <c r="E19" s="638">
        <v>0</v>
      </c>
      <c r="F19" s="638">
        <v>3.0000000000002247E-5</v>
      </c>
      <c r="G19" s="638">
        <v>3.0000000000002247E-5</v>
      </c>
      <c r="H19" s="638">
        <v>3.0000000000000001E-5</v>
      </c>
      <c r="I19" s="638">
        <v>5.4000000000000003E-3</v>
      </c>
      <c r="J19" s="638">
        <f>AVERAGE(D19:I19)</f>
        <v>9.2500000000000037E-4</v>
      </c>
      <c r="K19" s="639">
        <f>+J19</f>
        <v>9.2500000000000037E-4</v>
      </c>
    </row>
    <row r="20" spans="2:11">
      <c r="B20" s="35" t="s">
        <v>456</v>
      </c>
      <c r="C20" s="152" t="s">
        <v>128</v>
      </c>
      <c r="D20" s="637">
        <v>1.1999999999999512E-5</v>
      </c>
      <c r="E20" s="638">
        <v>0</v>
      </c>
      <c r="F20" s="638">
        <v>5.7000000000004274E-6</v>
      </c>
      <c r="G20" s="638">
        <v>5.7000000000004274E-6</v>
      </c>
      <c r="H20" s="638">
        <v>5.7000000000000005E-6</v>
      </c>
      <c r="I20" s="638">
        <f>+I19*Data!$G$25</f>
        <v>1.026E-3</v>
      </c>
      <c r="J20" s="638">
        <f>+J19*Data!$G$26</f>
        <v>1.7575000000000007E-4</v>
      </c>
      <c r="K20" s="638">
        <f>+K19*Data!$G$27</f>
        <v>1.7575000000000007E-4</v>
      </c>
    </row>
    <row r="21" spans="2:11">
      <c r="B21" s="50" t="s">
        <v>464</v>
      </c>
      <c r="C21" s="152" t="s">
        <v>128</v>
      </c>
      <c r="D21" s="756">
        <f>D19-D20</f>
        <v>4.7999999999998043E-5</v>
      </c>
      <c r="E21" s="756">
        <f t="shared" ref="E21:K21" si="4">E19-E20</f>
        <v>0</v>
      </c>
      <c r="F21" s="756">
        <f t="shared" si="4"/>
        <v>2.4300000000001821E-5</v>
      </c>
      <c r="G21" s="756">
        <f t="shared" si="4"/>
        <v>2.4300000000001821E-5</v>
      </c>
      <c r="H21" s="756">
        <f t="shared" si="4"/>
        <v>2.4300000000000001E-5</v>
      </c>
      <c r="I21" s="756">
        <f t="shared" si="4"/>
        <v>4.3740000000000003E-3</v>
      </c>
      <c r="J21" s="756">
        <f t="shared" si="4"/>
        <v>7.4925000000000035E-4</v>
      </c>
      <c r="K21" s="756">
        <f t="shared" si="4"/>
        <v>7.4925000000000035E-4</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70" zoomScaleNormal="70" workbookViewId="0">
      <pane ySplit="4" topLeftCell="A5" activePane="bottomLeft" state="frozen"/>
      <selection activeCell="A3" sqref="A3"/>
      <selection pane="bottomLeft" activeCell="A3" sqref="A3"/>
    </sheetView>
  </sheetViews>
  <sheetFormatPr defaultRowHeight="12.6"/>
  <cols>
    <col min="1" max="1" width="8.36328125" customWidth="1"/>
    <col min="2" max="2" width="35.08984375" customWidth="1"/>
    <col min="8" max="8" width="10.08984375" bestFit="1" customWidth="1"/>
    <col min="14" max="14" width="9" customWidth="1"/>
  </cols>
  <sheetData>
    <row r="1" spans="1:14" ht="21">
      <c r="A1" s="906" t="s">
        <v>373</v>
      </c>
      <c r="B1" s="907"/>
      <c r="C1" s="907"/>
      <c r="D1" s="907"/>
      <c r="E1" s="907"/>
      <c r="F1" s="907"/>
      <c r="G1" s="907"/>
      <c r="H1" s="907"/>
      <c r="I1" s="907"/>
      <c r="J1" s="907"/>
      <c r="K1" s="907"/>
      <c r="L1" s="907"/>
      <c r="M1" s="907"/>
      <c r="N1" s="908"/>
    </row>
    <row r="2" spans="1:14" ht="21">
      <c r="A2" s="909" t="str">
        <f>'RFPR cover'!C5</f>
        <v>WPD-SWALES</v>
      </c>
      <c r="B2" s="910"/>
      <c r="C2" s="910"/>
      <c r="D2" s="910"/>
      <c r="E2" s="910"/>
      <c r="F2" s="910"/>
      <c r="G2" s="910"/>
      <c r="H2" s="910"/>
      <c r="I2" s="910"/>
      <c r="J2" s="910"/>
      <c r="K2" s="910"/>
      <c r="L2" s="910"/>
      <c r="M2" s="910"/>
      <c r="N2" s="911"/>
    </row>
    <row r="3" spans="1:14" ht="21">
      <c r="A3" s="912">
        <f>'RFPR cover'!C7</f>
        <v>2021</v>
      </c>
      <c r="B3" s="913"/>
      <c r="C3" s="913"/>
      <c r="D3" s="913"/>
      <c r="E3" s="913"/>
      <c r="F3" s="913"/>
      <c r="G3" s="913"/>
      <c r="H3" s="913"/>
      <c r="I3" s="913"/>
      <c r="J3" s="913"/>
      <c r="K3" s="913"/>
      <c r="L3" s="913"/>
      <c r="M3" s="913"/>
      <c r="N3" s="914"/>
    </row>
    <row r="6" spans="1:14">
      <c r="A6" s="30"/>
      <c r="B6" s="21">
        <v>2018</v>
      </c>
      <c r="C6" s="20" t="s">
        <v>63</v>
      </c>
      <c r="D6" s="18"/>
      <c r="E6" s="18"/>
      <c r="F6" s="839"/>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0" t="s">
        <v>39</v>
      </c>
      <c r="C13" s="551" t="s">
        <v>40</v>
      </c>
      <c r="D13" s="551" t="s">
        <v>192</v>
      </c>
      <c r="E13" s="551" t="s">
        <v>41</v>
      </c>
      <c r="F13" s="551" t="s">
        <v>42</v>
      </c>
      <c r="G13" s="552" t="s">
        <v>320</v>
      </c>
    </row>
    <row r="14" spans="1:14">
      <c r="A14" s="30"/>
      <c r="B14" s="162" t="s">
        <v>74</v>
      </c>
      <c r="C14" s="169">
        <v>2010</v>
      </c>
      <c r="D14" s="163" t="str">
        <f>IF(VALUE(C14)&lt;='RFPR cover'!$C$7,"Actual","Forecast")</f>
        <v>Actual</v>
      </c>
      <c r="E14" s="373">
        <v>215.767</v>
      </c>
      <c r="F14" s="498">
        <v>221.75</v>
      </c>
      <c r="G14" s="164">
        <v>0.28000000000000003</v>
      </c>
      <c r="H14" s="840"/>
      <c r="J14" s="841"/>
    </row>
    <row r="15" spans="1:14">
      <c r="A15" s="30"/>
      <c r="B15" s="165" t="s">
        <v>75</v>
      </c>
      <c r="C15" s="170">
        <v>2011</v>
      </c>
      <c r="D15" s="166" t="str">
        <f>IF(VALUE(C15)&lt;='RFPR cover'!$C$7,"Actual","Forecast")</f>
        <v>Actual</v>
      </c>
      <c r="E15" s="374">
        <v>226.47499999999999</v>
      </c>
      <c r="F15" s="499">
        <v>233.45</v>
      </c>
      <c r="G15" s="167">
        <v>0.28000000000000003</v>
      </c>
      <c r="H15" s="840"/>
      <c r="J15" s="841"/>
    </row>
    <row r="16" spans="1:14" ht="14.25" customHeight="1">
      <c r="A16" s="30"/>
      <c r="B16" s="165" t="s">
        <v>76</v>
      </c>
      <c r="C16" s="170">
        <v>2012</v>
      </c>
      <c r="D16" s="166" t="str">
        <f>IF(VALUE(C16)&lt;='RFPR cover'!$C$7,"Actual","Forecast")</f>
        <v>Actual</v>
      </c>
      <c r="E16" s="374">
        <v>237.34200000000001</v>
      </c>
      <c r="F16" s="499">
        <v>241.65</v>
      </c>
      <c r="G16" s="167">
        <v>0.26</v>
      </c>
      <c r="H16" s="840"/>
      <c r="J16" s="841"/>
    </row>
    <row r="17" spans="2:10">
      <c r="B17" s="165" t="s">
        <v>77</v>
      </c>
      <c r="C17" s="170">
        <v>2013</v>
      </c>
      <c r="D17" s="166" t="str">
        <f>IF(VALUE(C17)&lt;='RFPR cover'!$C$7,"Actual","Forecast")</f>
        <v>Actual</v>
      </c>
      <c r="E17" s="374">
        <v>244.67500000000001</v>
      </c>
      <c r="F17" s="499">
        <v>249.1</v>
      </c>
      <c r="G17" s="167">
        <v>0.24</v>
      </c>
      <c r="H17" s="840"/>
      <c r="J17" s="841"/>
    </row>
    <row r="18" spans="2:10">
      <c r="B18" s="165" t="s">
        <v>78</v>
      </c>
      <c r="C18" s="170">
        <v>2014</v>
      </c>
      <c r="D18" s="166" t="str">
        <f>IF(VALUE(C18)&lt;='RFPR cover'!$C$7,"Actual","Forecast")</f>
        <v>Actual</v>
      </c>
      <c r="E18" s="374">
        <v>251.733</v>
      </c>
      <c r="F18" s="499">
        <v>255.25</v>
      </c>
      <c r="G18" s="167">
        <v>0.23</v>
      </c>
      <c r="H18" s="840"/>
      <c r="I18" s="517"/>
      <c r="J18" s="841"/>
    </row>
    <row r="19" spans="2:10">
      <c r="B19" s="165" t="s">
        <v>79</v>
      </c>
      <c r="C19" s="170">
        <v>2015</v>
      </c>
      <c r="D19" s="166" t="str">
        <f>IF(VALUE(C19)&lt;='RFPR cover'!$C$7,"Actual","Forecast")</f>
        <v>Actual</v>
      </c>
      <c r="E19" s="374">
        <v>256.66699999999997</v>
      </c>
      <c r="F19" s="499">
        <v>257.55</v>
      </c>
      <c r="G19" s="167">
        <v>0.21</v>
      </c>
      <c r="H19" s="840"/>
      <c r="I19" s="517"/>
      <c r="J19" s="841"/>
    </row>
    <row r="20" spans="2:10">
      <c r="B20" s="165" t="s">
        <v>80</v>
      </c>
      <c r="C20" s="170">
        <v>2016</v>
      </c>
      <c r="D20" s="166" t="str">
        <f>IF(VALUE(C20)&lt;='RFPR cover'!$C$7,"Actual","Forecast")</f>
        <v>Actual</v>
      </c>
      <c r="E20" s="374">
        <v>259.43299999999999</v>
      </c>
      <c r="F20" s="499">
        <v>261.25</v>
      </c>
      <c r="G20" s="167">
        <v>0.2</v>
      </c>
      <c r="H20" s="840"/>
      <c r="I20" s="517"/>
      <c r="J20" s="841"/>
    </row>
    <row r="21" spans="2:10">
      <c r="B21" s="165" t="s">
        <v>81</v>
      </c>
      <c r="C21" s="170">
        <v>2017</v>
      </c>
      <c r="D21" s="166" t="str">
        <f>IF(VALUE(C21)&lt;='RFPR cover'!$C$7,"Actual","Forecast")</f>
        <v>Actual</v>
      </c>
      <c r="E21" s="374">
        <v>264.99200000000002</v>
      </c>
      <c r="F21" s="499">
        <v>269.95000000000005</v>
      </c>
      <c r="G21" s="167">
        <v>0.2</v>
      </c>
      <c r="H21" s="840"/>
      <c r="I21" s="517"/>
      <c r="J21" s="841"/>
    </row>
    <row r="22" spans="2:10">
      <c r="B22" s="165" t="s">
        <v>63</v>
      </c>
      <c r="C22" s="170">
        <v>2018</v>
      </c>
      <c r="D22" s="166" t="str">
        <f>IF(VALUE(C22)&lt;='RFPR cover'!$C$7,"Actual","Forecast")</f>
        <v>Actual</v>
      </c>
      <c r="E22" s="374">
        <v>274.90800000000002</v>
      </c>
      <c r="F22" s="499">
        <v>279</v>
      </c>
      <c r="G22" s="167">
        <v>0.19</v>
      </c>
      <c r="H22" s="840"/>
      <c r="I22" s="517"/>
      <c r="J22" s="841"/>
    </row>
    <row r="23" spans="2:10">
      <c r="B23" s="500" t="s">
        <v>64</v>
      </c>
      <c r="C23" s="501">
        <v>2019</v>
      </c>
      <c r="D23" s="166" t="str">
        <f>IF(VALUE(C23)&lt;='RFPR cover'!$C$7,"Actual","Forecast")</f>
        <v>Actual</v>
      </c>
      <c r="E23" s="374">
        <v>283.30799999999999</v>
      </c>
      <c r="F23" s="499">
        <v>286.64999999999998</v>
      </c>
      <c r="G23" s="167">
        <v>0.19</v>
      </c>
      <c r="H23" s="840"/>
      <c r="J23" s="841"/>
    </row>
    <row r="24" spans="2:10">
      <c r="B24" s="500" t="s">
        <v>65</v>
      </c>
      <c r="C24" s="501">
        <v>2020</v>
      </c>
      <c r="D24" s="166" t="str">
        <f>IF(VALUE(C24)&lt;='RFPR cover'!$C$7,"Actual","Forecast")</f>
        <v>Actual</v>
      </c>
      <c r="E24" s="374">
        <v>290.642</v>
      </c>
      <c r="F24" s="374">
        <v>292.60000000000002</v>
      </c>
      <c r="G24" s="167">
        <v>0.19</v>
      </c>
    </row>
    <row r="25" spans="2:10">
      <c r="B25" s="500" t="s">
        <v>66</v>
      </c>
      <c r="C25" s="501">
        <v>2021</v>
      </c>
      <c r="D25" s="166" t="str">
        <f>IF(VALUE(C25)&lt;='RFPR cover'!$C$7,"Actual","Forecast")</f>
        <v>Actual</v>
      </c>
      <c r="E25" s="374">
        <v>294.16699999999997</v>
      </c>
      <c r="F25" s="374">
        <v>299</v>
      </c>
      <c r="G25" s="167">
        <v>0.19</v>
      </c>
      <c r="J25" s="841"/>
    </row>
    <row r="26" spans="2:10">
      <c r="B26" s="500" t="s">
        <v>67</v>
      </c>
      <c r="C26" s="501">
        <v>2022</v>
      </c>
      <c r="D26" s="166" t="str">
        <f>IF(VALUE(C26)&lt;='RFPR cover'!$C$7,"Actual","Forecast")</f>
        <v>Forecast</v>
      </c>
      <c r="E26" s="949">
        <f t="shared" ref="E26:F27" si="0">E25*(1+INDEX($D$43:$J$43,0,MATCH($C26,$D$42:$J$42,0)))</f>
        <v>301.96242549999994</v>
      </c>
      <c r="F26" s="949">
        <f t="shared" si="0"/>
        <v>306.92349999999999</v>
      </c>
      <c r="G26" s="167">
        <v>0.19</v>
      </c>
      <c r="H26" s="840"/>
      <c r="J26" s="841"/>
    </row>
    <row r="27" spans="2:10">
      <c r="B27" s="500" t="s">
        <v>68</v>
      </c>
      <c r="C27" s="501">
        <v>2023</v>
      </c>
      <c r="D27" s="166" t="str">
        <f>IF(VALUE(C27)&lt;='RFPR cover'!$C$7,"Actual","Forecast")</f>
        <v>Forecast</v>
      </c>
      <c r="E27" s="949">
        <f t="shared" si="0"/>
        <v>311.24777008412497</v>
      </c>
      <c r="F27" s="949">
        <f t="shared" si="0"/>
        <v>316.361397625</v>
      </c>
      <c r="G27" s="167">
        <v>0.19</v>
      </c>
      <c r="H27" s="840"/>
      <c r="J27" s="841"/>
    </row>
    <row r="28" spans="2:10">
      <c r="B28" s="500" t="s">
        <v>205</v>
      </c>
      <c r="C28" s="501">
        <v>2024</v>
      </c>
      <c r="D28" s="166" t="str">
        <f>IF(VALUE(C28)&lt;='RFPR cover'!$C$7,"Actual","Forecast")</f>
        <v>Forecast</v>
      </c>
      <c r="E28" s="376"/>
      <c r="F28" s="376"/>
      <c r="G28" s="167">
        <v>0.19</v>
      </c>
    </row>
    <row r="29" spans="2:10">
      <c r="B29" s="500" t="s">
        <v>206</v>
      </c>
      <c r="C29" s="501">
        <v>2025</v>
      </c>
      <c r="D29" s="166" t="str">
        <f>IF(VALUE(C29)&lt;='RFPR cover'!$C$7,"Actual","Forecast")</f>
        <v>Forecast</v>
      </c>
      <c r="E29" s="376"/>
      <c r="F29" s="376"/>
      <c r="G29" s="167">
        <v>0.19</v>
      </c>
    </row>
    <row r="30" spans="2:10">
      <c r="B30" s="502" t="s">
        <v>207</v>
      </c>
      <c r="C30" s="503">
        <v>2026</v>
      </c>
      <c r="D30" s="168" t="str">
        <f>IF(VALUE(C30)&lt;='RFPR cover'!$C$7,"Actual","Forecast")</f>
        <v>Forecast</v>
      </c>
      <c r="E30" s="375"/>
      <c r="F30" s="375"/>
      <c r="G30" s="167">
        <v>0.19</v>
      </c>
    </row>
    <row r="31" spans="2:10">
      <c r="B31" s="88"/>
      <c r="C31" s="66"/>
      <c r="D31" s="66"/>
      <c r="E31" s="66"/>
      <c r="F31" s="66"/>
    </row>
    <row r="32" spans="2:10">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Forecast</v>
      </c>
      <c r="J32" s="345" t="str">
        <f>IF(J33&lt;='RFPR cover'!$C$7,"Actuals","Forecast")</f>
        <v>Forecast</v>
      </c>
    </row>
    <row r="33" spans="2:13" ht="15.75" customHeight="1">
      <c r="B33" s="289"/>
      <c r="C33" s="90">
        <f>'RFPR cover'!$C$13</f>
        <v>2016</v>
      </c>
      <c r="D33" s="91">
        <f t="shared" ref="D33:J33" si="1">C33+1</f>
        <v>2017</v>
      </c>
      <c r="E33" s="91">
        <f t="shared" si="1"/>
        <v>2018</v>
      </c>
      <c r="F33" s="91">
        <f t="shared" si="1"/>
        <v>2019</v>
      </c>
      <c r="G33" s="91">
        <f t="shared" si="1"/>
        <v>2020</v>
      </c>
      <c r="H33" s="91">
        <f t="shared" si="1"/>
        <v>2021</v>
      </c>
      <c r="I33" s="91">
        <f t="shared" si="1"/>
        <v>2022</v>
      </c>
      <c r="J33" s="316">
        <f t="shared" si="1"/>
        <v>2023</v>
      </c>
    </row>
    <row r="34" spans="2:13" ht="15.75" customHeight="1">
      <c r="B34" s="496" t="s">
        <v>374</v>
      </c>
      <c r="C34" s="494">
        <f>INDEX(Data!$E$14:$E$30,MATCH(C$33,Data!$C$14:$C$30,0),0)/IF('RFPR cover'!$C$6="ED1",Data!$E$17,Data!$E$14)</f>
        <v>1.0603167467048125</v>
      </c>
      <c r="D34" s="491">
        <f>INDEX(Data!$E$14:$E$30,MATCH(D$33,Data!$C$14:$C$30,0),0)/IF('RFPR cover'!$C$6="ED1",Data!$E$17,Data!$E$14)</f>
        <v>1.0830366813119445</v>
      </c>
      <c r="E34" s="491">
        <f>INDEX(Data!$E$14:$E$30,MATCH(E$33,Data!$C$14:$C$30,0),0)/IF('RFPR cover'!$C$6="ED1",Data!$E$17,Data!$E$14)</f>
        <v>1.1235639113109226</v>
      </c>
      <c r="F34" s="491">
        <f>INDEX(Data!$E$14:$E$30,MATCH(F$33,Data!$C$14:$C$30,0),0)/IF('RFPR cover'!$C$6="ED1",Data!$E$17,Data!$E$14)</f>
        <v>1.1578951670583426</v>
      </c>
      <c r="G34" s="491">
        <f>INDEX(Data!$E$14:$E$30,MATCH(G$33,Data!$C$14:$C$30,0),0)/IF('RFPR cover'!$C$6="ED1",Data!$E$17,Data!$E$14)</f>
        <v>1.1878696229692449</v>
      </c>
      <c r="H34" s="491">
        <f>INDEX(Data!$E$14:$E$30,MATCH(H$33,Data!$C$14:$C$30,0),0)/IF('RFPR cover'!$C$6="ED1",Data!$E$17,Data!$E$14)</f>
        <v>1.2022764892203943</v>
      </c>
      <c r="I34" s="492">
        <f>INDEX(Data!$E$14:$E$30,MATCH(I$33,Data!$C$14:$C$30,0),0)/IF('RFPR cover'!$C$6="ED1",Data!$E$17,Data!$E$14)</f>
        <v>1.2341368161847346</v>
      </c>
      <c r="J34" s="493">
        <f>INDEX(Data!$E$14:$E$30,MATCH(J$33,Data!$C$14:$C$30,0),0)/IF('RFPR cover'!$C$6="ED1",Data!$E$17,Data!$E$14)</f>
        <v>1.2720865232824152</v>
      </c>
    </row>
    <row r="35" spans="2:13" ht="15.75" customHeight="1">
      <c r="B35" s="497" t="s">
        <v>42</v>
      </c>
      <c r="C35" s="495">
        <f>INDEX(Data!$F$14:$F$30,MATCH(C$33,Data!$C$14:$C$30,0),0)/IF('RFPR cover'!$C$6="ED1",Data!$E$17,Data!$E$14)</f>
        <v>1.0677429242873198</v>
      </c>
      <c r="D35" s="495">
        <f>INDEX(Data!$F$14:$F$30,MATCH(D$33,Data!$C$14:$C$30,0),0)/IF('RFPR cover'!$C$6="ED1",Data!$E$17,Data!$E$14)</f>
        <v>1.1033002963114336</v>
      </c>
      <c r="E35" s="495">
        <f>INDEX(Data!$F$14:$F$30,MATCH(E$33,Data!$C$14:$C$30,0),0)/IF('RFPR cover'!$C$6="ED1",Data!$E$17,Data!$E$14)</f>
        <v>1.1402881373250229</v>
      </c>
      <c r="F35" s="495">
        <f>INDEX(Data!$F$14:$F$30,MATCH(F$33,Data!$C$14:$C$30,0),0)/IF('RFPR cover'!$C$6="ED1",Data!$E$17,Data!$E$14)</f>
        <v>1.171554102380709</v>
      </c>
      <c r="G35" s="495">
        <f>INDEX(Data!$F$14:$F$30,MATCH(G$33,Data!$C$14:$C$30,0),0)/IF('RFPR cover'!$C$6="ED1",Data!$E$17,Data!$E$14)</f>
        <v>1.1958720752017984</v>
      </c>
      <c r="H35" s="495">
        <f>INDEX(Data!$F$14:$F$30,MATCH(H$33,Data!$C$14:$C$30,0),0)/IF('RFPR cover'!$C$6="ED1",Data!$E$17,Data!$E$14)</f>
        <v>1.2220292224379279</v>
      </c>
      <c r="I35" s="495">
        <f>INDEX(Data!$F$14:$F$30,MATCH(I$33,Data!$C$14:$C$30,0),0)/IF('RFPR cover'!$C$6="ED1",Data!$E$17,Data!$E$14)</f>
        <v>1.2544129968325328</v>
      </c>
      <c r="J35" s="495">
        <f>INDEX(Data!$F$14:$F$30,MATCH(J$33,Data!$C$14:$C$30,0),0)/IF('RFPR cover'!$C$6="ED1",Data!$E$17,Data!$E$14)</f>
        <v>1.2929861964851332</v>
      </c>
    </row>
    <row r="36" spans="2:13">
      <c r="B36" s="497" t="s">
        <v>504</v>
      </c>
      <c r="C36" s="495">
        <f>INDEX(Data!$E$14:$E$30,MATCH(C$33,Data!$C$14:$C$30,0))/INDEX(Data!$E$14:$E$30,MATCH(C$33-1,Data!$C$14:$C$30,0))</f>
        <v>1.0107766093810269</v>
      </c>
      <c r="D36" s="495">
        <f>INDEX(Data!$E$14:$E$30,MATCH(D$33,Data!$C$14:$C$30,0))/INDEX(Data!$E$14:$E$30,MATCH(D$33-1,Data!$C$14:$C$30,0))</f>
        <v>1.0214274976583551</v>
      </c>
      <c r="E36" s="495">
        <f>INDEX(Data!$E$14:$E$30,MATCH(E$33,Data!$C$14:$C$30,0))/INDEX(Data!$E$14:$E$30,MATCH(E$33-1,Data!$C$14:$C$30,0))</f>
        <v>1.0374199975848328</v>
      </c>
      <c r="F36" s="495">
        <f>INDEX(Data!$E$14:$E$30,MATCH(F$33,Data!$C$14:$C$30,0))/INDEX(Data!$E$14:$E$30,MATCH(F$33-1,Data!$C$14:$C$30,0))</f>
        <v>1.0305556768082411</v>
      </c>
      <c r="G36" s="495">
        <f>INDEX(Data!$E$14:$E$30,MATCH(G$33,Data!$C$14:$C$30,0))/INDEX(Data!$E$14:$E$30,MATCH(G$33-1,Data!$C$14:$C$30,0))</f>
        <v>1.0258870204865376</v>
      </c>
      <c r="H36" s="495">
        <f>INDEX(Data!$E$14:$E$30,MATCH(H$33,Data!$C$14:$C$30,0))/INDEX(Data!$E$14:$E$30,MATCH(H$33-1,Data!$C$14:$C$30,0))</f>
        <v>1.0121283228163858</v>
      </c>
      <c r="I36" s="495">
        <f>INDEX(Data!$E$14:$E$30,MATCH(I$33,Data!$C$14:$C$30,0))/INDEX(Data!$E$14:$E$30,MATCH(I$33-1,Data!$C$14:$C$30,0))</f>
        <v>1.0265</v>
      </c>
      <c r="J36" s="495">
        <f>INDEX(Data!$E$14:$E$30,MATCH(J$33,Data!$C$14:$C$30,0))/INDEX(Data!$E$14:$E$30,MATCH(J$33-1,Data!$C$14:$C$30,0))</f>
        <v>1.0307500000000001</v>
      </c>
    </row>
    <row r="37" spans="2:13" ht="15.75" customHeight="1">
      <c r="B37" s="14" t="s">
        <v>275</v>
      </c>
      <c r="F37" s="517"/>
    </row>
    <row r="38" spans="2:13">
      <c r="C38" s="510" t="s">
        <v>276</v>
      </c>
      <c r="D38" s="117">
        <v>2017</v>
      </c>
      <c r="E38" s="118">
        <f t="shared" ref="E38:J38" si="2">D38+1</f>
        <v>2018</v>
      </c>
      <c r="F38" s="118">
        <f t="shared" si="2"/>
        <v>2019</v>
      </c>
      <c r="G38" s="118">
        <f t="shared" si="2"/>
        <v>2020</v>
      </c>
      <c r="H38" s="118">
        <f t="shared" si="2"/>
        <v>2021</v>
      </c>
      <c r="I38" s="118">
        <f t="shared" si="2"/>
        <v>2022</v>
      </c>
      <c r="J38" s="195">
        <f t="shared" si="2"/>
        <v>2023</v>
      </c>
      <c r="K38" s="972" t="s">
        <v>384</v>
      </c>
      <c r="L38" s="972"/>
      <c r="M38" s="972"/>
    </row>
    <row r="39" spans="2:13" ht="13.2" thickBot="1">
      <c r="B39" t="s">
        <v>385</v>
      </c>
      <c r="C39" s="200"/>
      <c r="D39" s="760"/>
      <c r="E39" s="760"/>
      <c r="F39" s="760"/>
      <c r="G39" s="760"/>
      <c r="H39" s="947">
        <v>2.5000000000000001E-2</v>
      </c>
      <c r="I39" s="947">
        <v>3.1E-2</v>
      </c>
      <c r="J39" s="948">
        <v>0.03</v>
      </c>
      <c r="K39" s="973" t="s">
        <v>641</v>
      </c>
      <c r="L39" s="973"/>
      <c r="M39" s="973"/>
    </row>
    <row r="41" spans="2:13">
      <c r="B41" s="14" t="s">
        <v>277</v>
      </c>
    </row>
    <row r="42" spans="2:13">
      <c r="C42" s="509" t="s">
        <v>278</v>
      </c>
      <c r="D42" s="117">
        <v>2017</v>
      </c>
      <c r="E42" s="118">
        <f t="shared" ref="E42:J42" si="3">D42+1</f>
        <v>2018</v>
      </c>
      <c r="F42" s="118">
        <f t="shared" si="3"/>
        <v>2019</v>
      </c>
      <c r="G42" s="118">
        <f t="shared" si="3"/>
        <v>2020</v>
      </c>
      <c r="H42" s="118">
        <f t="shared" si="3"/>
        <v>2021</v>
      </c>
      <c r="I42" s="118">
        <f t="shared" si="3"/>
        <v>2022</v>
      </c>
      <c r="J42" s="195">
        <f t="shared" si="3"/>
        <v>2023</v>
      </c>
    </row>
    <row r="43" spans="2:13">
      <c r="B43" t="s">
        <v>279</v>
      </c>
      <c r="D43" s="569"/>
      <c r="E43" s="570"/>
      <c r="F43" s="570"/>
      <c r="G43" s="570"/>
      <c r="H43" s="570"/>
      <c r="I43" s="761">
        <f>(H39*0.75)+(I39*0.25)</f>
        <v>2.6500000000000003E-2</v>
      </c>
      <c r="J43" s="762">
        <f>(I39*0.75)+(J39*0.25)</f>
        <v>3.075E-2</v>
      </c>
    </row>
    <row r="45" spans="2:13">
      <c r="B45" s="315" t="str">
        <f>"Selected Capitalisation rates for "&amp;'RFPR cover'!C5</f>
        <v>Selected Capitalisation rates for WPD-SWALES</v>
      </c>
      <c r="C45" s="271"/>
      <c r="D45" s="271"/>
      <c r="E45" s="271"/>
      <c r="F45" s="271"/>
      <c r="G45" s="271"/>
      <c r="H45" s="271"/>
      <c r="I45" s="271"/>
      <c r="J45" s="271"/>
      <c r="K45" s="271"/>
      <c r="L45" s="271"/>
      <c r="M45" s="284"/>
    </row>
    <row r="46" spans="2:13">
      <c r="B46" s="201"/>
      <c r="C46" s="42"/>
      <c r="D46" s="42"/>
      <c r="E46" s="42"/>
      <c r="F46" s="42"/>
      <c r="G46" s="42"/>
      <c r="H46" s="42"/>
      <c r="I46" s="42"/>
      <c r="J46" s="42"/>
      <c r="K46" s="42"/>
      <c r="L46" s="42"/>
      <c r="M46" s="202"/>
    </row>
    <row r="47" spans="2:13">
      <c r="B47" s="201"/>
      <c r="C47" s="314" t="s">
        <v>252</v>
      </c>
      <c r="D47" s="42"/>
      <c r="E47" s="42"/>
      <c r="F47" s="42"/>
      <c r="G47" s="42"/>
      <c r="H47" s="42"/>
      <c r="I47" s="42"/>
      <c r="J47" s="42"/>
      <c r="K47" s="42"/>
      <c r="L47" s="42"/>
      <c r="M47" s="202"/>
    </row>
    <row r="48" spans="2:13">
      <c r="B48" s="317" t="str">
        <f>INDEX($G$54:$G$57,MATCH(LEFT('RFPR cover'!$C$6,2),Data!$E$54:$E$57,0),0)</f>
        <v>Totex</v>
      </c>
      <c r="C48" s="313">
        <f>INDEX($F$73:$F$100,MATCH('RFPR cover'!$C$5,Data!$B$73:$B$100,0),0)</f>
        <v>0.8</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f t="shared" ref="D50:J50" si="4">C50+1</f>
        <v>2015</v>
      </c>
      <c r="E50" s="91">
        <f t="shared" si="4"/>
        <v>2016</v>
      </c>
      <c r="F50" s="91">
        <f t="shared" si="4"/>
        <v>2017</v>
      </c>
      <c r="G50" s="91">
        <f t="shared" si="4"/>
        <v>2018</v>
      </c>
      <c r="H50" s="91">
        <f t="shared" si="4"/>
        <v>2019</v>
      </c>
      <c r="I50" s="91">
        <f t="shared" si="4"/>
        <v>2020</v>
      </c>
      <c r="J50" s="91">
        <f t="shared" si="4"/>
        <v>2021</v>
      </c>
      <c r="K50" s="42"/>
      <c r="L50" s="42"/>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172</v>
      </c>
      <c r="F54" s="331" t="s">
        <v>159</v>
      </c>
      <c r="G54" s="977" t="s">
        <v>253</v>
      </c>
      <c r="H54" s="978"/>
      <c r="I54" s="979"/>
      <c r="J54" s="986" t="s">
        <v>255</v>
      </c>
      <c r="K54" s="987"/>
    </row>
    <row r="55" spans="2:20">
      <c r="B55" s="305"/>
      <c r="C55" s="305"/>
      <c r="E55" s="303" t="s">
        <v>174</v>
      </c>
      <c r="F55" s="332" t="s">
        <v>184</v>
      </c>
      <c r="G55" s="980" t="s">
        <v>253</v>
      </c>
      <c r="H55" s="981"/>
      <c r="I55" s="982"/>
      <c r="J55" s="988" t="s">
        <v>255</v>
      </c>
      <c r="K55" s="989"/>
    </row>
    <row r="56" spans="2:20">
      <c r="B56" s="305"/>
      <c r="C56" s="305"/>
      <c r="E56" s="303" t="s">
        <v>173</v>
      </c>
      <c r="F56" s="332" t="s">
        <v>184</v>
      </c>
      <c r="G56" s="980" t="s">
        <v>244</v>
      </c>
      <c r="H56" s="981"/>
      <c r="I56" s="982"/>
      <c r="J56" s="988" t="s">
        <v>245</v>
      </c>
      <c r="K56" s="989"/>
    </row>
    <row r="57" spans="2:20">
      <c r="B57" s="305"/>
      <c r="C57" s="305"/>
      <c r="E57" s="304" t="s">
        <v>175</v>
      </c>
      <c r="F57" s="333" t="s">
        <v>184</v>
      </c>
      <c r="G57" s="983" t="s">
        <v>254</v>
      </c>
      <c r="H57" s="984"/>
      <c r="I57" s="985"/>
      <c r="J57" s="990" t="s">
        <v>256</v>
      </c>
      <c r="K57" s="991"/>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351</v>
      </c>
      <c r="C61" s="43"/>
      <c r="I61" s="66"/>
    </row>
    <row r="62" spans="2:20">
      <c r="C62" s="117">
        <v>2014</v>
      </c>
      <c r="D62" s="118">
        <f t="shared" ref="D62:L62" si="5">C62+1</f>
        <v>2015</v>
      </c>
      <c r="E62" s="118">
        <f t="shared" si="5"/>
        <v>2016</v>
      </c>
      <c r="F62" s="118">
        <f t="shared" si="5"/>
        <v>2017</v>
      </c>
      <c r="G62" s="118">
        <f t="shared" si="5"/>
        <v>2018</v>
      </c>
      <c r="H62" s="118">
        <f t="shared" si="5"/>
        <v>2019</v>
      </c>
      <c r="I62" s="118">
        <f t="shared" si="5"/>
        <v>2020</v>
      </c>
      <c r="J62" s="118">
        <f t="shared" si="5"/>
        <v>2021</v>
      </c>
      <c r="K62" s="118">
        <f t="shared" si="5"/>
        <v>2022</v>
      </c>
      <c r="L62" s="195">
        <f t="shared" si="5"/>
        <v>2023</v>
      </c>
    </row>
    <row r="63" spans="2:20">
      <c r="B63" s="441" t="s">
        <v>349</v>
      </c>
      <c r="C63" s="565"/>
      <c r="D63" s="566"/>
      <c r="E63" s="439">
        <v>2.5499999999999998E-2</v>
      </c>
      <c r="F63" s="439">
        <v>2.3799999999999998E-2</v>
      </c>
      <c r="G63" s="439">
        <v>2.2200000000000001E-2</v>
      </c>
      <c r="H63" s="439">
        <v>1.9099999999999999E-2</v>
      </c>
      <c r="I63" s="439">
        <v>1.5800000000000002E-2</v>
      </c>
      <c r="J63" s="439">
        <v>1.09E-2</v>
      </c>
      <c r="K63" s="439">
        <v>7.6E-3</v>
      </c>
      <c r="L63" s="440">
        <v>4.4000000000000003E-3</v>
      </c>
    </row>
    <row r="64" spans="2:20">
      <c r="B64" s="442" t="s">
        <v>336</v>
      </c>
      <c r="C64" s="553"/>
      <c r="D64" s="554"/>
      <c r="E64" s="401">
        <v>2.5499999999999998E-2</v>
      </c>
      <c r="F64" s="401">
        <v>2.4199999999999999E-2</v>
      </c>
      <c r="G64" s="401">
        <v>2.29E-2</v>
      </c>
      <c r="H64" s="401">
        <v>2.0899999999999998E-2</v>
      </c>
      <c r="I64" s="401">
        <v>1.9400000000000001E-2</v>
      </c>
      <c r="J64" s="401">
        <v>1.78E-2</v>
      </c>
      <c r="K64" s="401">
        <v>1.6199999999999999E-2</v>
      </c>
      <c r="L64" s="404">
        <v>1.47E-2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7.6E-3</v>
      </c>
      <c r="K65" s="567"/>
      <c r="L65" s="568"/>
    </row>
    <row r="66" spans="1:20">
      <c r="B66" s="442" t="s">
        <v>350</v>
      </c>
      <c r="C66" s="437">
        <v>2.92E-2</v>
      </c>
      <c r="D66" s="438">
        <v>2.7199999999999998E-2</v>
      </c>
      <c r="E66" s="438">
        <v>2.5499999999999998E-2</v>
      </c>
      <c r="F66" s="438">
        <v>2.3800000000000002E-2</v>
      </c>
      <c r="G66" s="438">
        <v>2.2200000000000001E-2</v>
      </c>
      <c r="H66" s="438">
        <v>1.9099999999999999E-2</v>
      </c>
      <c r="I66" s="438">
        <v>1.5800000000000002E-2</v>
      </c>
      <c r="J66" s="438">
        <v>1.09E-2</v>
      </c>
      <c r="K66" s="554"/>
      <c r="L66" s="555"/>
    </row>
    <row r="67" spans="1:20">
      <c r="B67" s="442" t="s">
        <v>173</v>
      </c>
      <c r="C67" s="400">
        <v>2.92E-2</v>
      </c>
      <c r="D67" s="401">
        <v>2.7199999999999998E-2</v>
      </c>
      <c r="E67" s="401">
        <v>2.5499999999999998E-2</v>
      </c>
      <c r="F67" s="401">
        <v>2.3800000000000002E-2</v>
      </c>
      <c r="G67" s="401">
        <v>2.2200000000000001E-2</v>
      </c>
      <c r="H67" s="438">
        <v>1.9099999999999999E-2</v>
      </c>
      <c r="I67" s="438">
        <v>1.5800000000000002E-2</v>
      </c>
      <c r="J67" s="438">
        <v>1.09E-2</v>
      </c>
      <c r="K67" s="554"/>
      <c r="L67" s="555"/>
    </row>
    <row r="68" spans="1:20">
      <c r="B68" s="443" t="s">
        <v>175</v>
      </c>
      <c r="C68" s="402">
        <v>2.92E-2</v>
      </c>
      <c r="D68" s="403">
        <v>2.7199999999999998E-2</v>
      </c>
      <c r="E68" s="403">
        <v>2.5499999999999998E-2</v>
      </c>
      <c r="F68" s="403">
        <v>2.3800000000000002E-2</v>
      </c>
      <c r="G68" s="403">
        <v>2.2200000000000001E-2</v>
      </c>
      <c r="H68" s="403">
        <v>1.9099999999999999E-2</v>
      </c>
      <c r="I68" s="403">
        <v>1.5800000000000002E-2</v>
      </c>
      <c r="J68" s="403">
        <v>1.09E-2</v>
      </c>
      <c r="K68" s="556"/>
      <c r="L68" s="557"/>
    </row>
    <row r="69" spans="1:20">
      <c r="I69" s="66"/>
    </row>
    <row r="70" spans="1:20">
      <c r="H70" s="66"/>
      <c r="K70" s="42"/>
      <c r="L70" s="42"/>
      <c r="M70" s="42"/>
      <c r="N70" s="42"/>
      <c r="O70" s="42"/>
      <c r="P70" s="42"/>
      <c r="Q70" s="42"/>
      <c r="R70" s="42"/>
      <c r="S70" s="42"/>
      <c r="T70" s="42"/>
    </row>
    <row r="71" spans="1:20" ht="37.799999999999997">
      <c r="B71" s="22"/>
      <c r="C71" s="73" t="s">
        <v>251</v>
      </c>
      <c r="D71" s="74" t="s">
        <v>212</v>
      </c>
      <c r="E71" s="74" t="s">
        <v>72</v>
      </c>
      <c r="F71" s="74" t="s">
        <v>274</v>
      </c>
      <c r="G71" s="74" t="s">
        <v>116</v>
      </c>
      <c r="H71" s="75" t="s">
        <v>186</v>
      </c>
      <c r="I71" s="330" t="s">
        <v>269</v>
      </c>
      <c r="J71" s="330" t="s">
        <v>481</v>
      </c>
      <c r="K71" s="974" t="s">
        <v>345</v>
      </c>
      <c r="L71" s="975"/>
      <c r="M71" s="975"/>
      <c r="N71" s="975"/>
      <c r="O71" s="975"/>
      <c r="P71" s="975"/>
      <c r="Q71" s="975"/>
      <c r="R71" s="975"/>
      <c r="S71" s="975"/>
      <c r="T71" s="976"/>
    </row>
    <row r="72" spans="1:20">
      <c r="A72" s="334" t="s">
        <v>189</v>
      </c>
      <c r="B72" s="67" t="s">
        <v>69</v>
      </c>
      <c r="C72" s="306"/>
      <c r="D72" s="69"/>
      <c r="E72" s="68"/>
      <c r="F72" s="68"/>
      <c r="G72" s="69"/>
      <c r="H72" s="70"/>
      <c r="I72" s="70"/>
      <c r="J72" s="424"/>
      <c r="K72" s="425">
        <v>2014</v>
      </c>
      <c r="L72" s="426">
        <f t="shared" ref="L72:T72" si="6">K72+1</f>
        <v>2015</v>
      </c>
      <c r="M72" s="426">
        <f t="shared" si="6"/>
        <v>2016</v>
      </c>
      <c r="N72" s="426">
        <f t="shared" si="6"/>
        <v>2017</v>
      </c>
      <c r="O72" s="426">
        <f t="shared" si="6"/>
        <v>2018</v>
      </c>
      <c r="P72" s="426">
        <f t="shared" si="6"/>
        <v>2019</v>
      </c>
      <c r="Q72" s="426">
        <f t="shared" si="6"/>
        <v>2020</v>
      </c>
      <c r="R72" s="426">
        <f t="shared" si="6"/>
        <v>2021</v>
      </c>
      <c r="S72" s="426">
        <f t="shared" si="6"/>
        <v>2022</v>
      </c>
      <c r="T72" s="427">
        <f t="shared" si="6"/>
        <v>2023</v>
      </c>
    </row>
    <row r="73" spans="1:20">
      <c r="A73" s="59" t="s">
        <v>172</v>
      </c>
      <c r="B73" s="71" t="s">
        <v>43</v>
      </c>
      <c r="C73" s="307">
        <v>0.06</v>
      </c>
      <c r="D73" s="308">
        <v>0.58109999999999995</v>
      </c>
      <c r="E73" s="309">
        <v>0.65</v>
      </c>
      <c r="F73" s="309">
        <v>0.68</v>
      </c>
      <c r="G73" s="340">
        <v>2016</v>
      </c>
      <c r="H73" s="341" t="str">
        <f t="shared" ref="H73:H97" si="7">VLOOKUP($A73,$E$54:$F$57,2,FALSE)</f>
        <v>£m 12/13</v>
      </c>
      <c r="I73" s="341" t="s">
        <v>270</v>
      </c>
      <c r="J73" s="424" t="s">
        <v>482</v>
      </c>
      <c r="K73" s="553"/>
      <c r="L73" s="554"/>
      <c r="M73" s="432">
        <f t="shared" ref="M73:M82" si="8">E$64</f>
        <v>2.5499999999999998E-2</v>
      </c>
      <c r="N73" s="432">
        <f t="shared" ref="N73:N82" si="9">F$64</f>
        <v>2.4199999999999999E-2</v>
      </c>
      <c r="O73" s="432">
        <f t="shared" ref="O73:O82" si="10">G$64</f>
        <v>2.29E-2</v>
      </c>
      <c r="P73" s="432">
        <f t="shared" ref="P73:P82" si="11">H$64</f>
        <v>2.0899999999999998E-2</v>
      </c>
      <c r="Q73" s="432">
        <f t="shared" ref="Q73:Q82" si="12">I$64</f>
        <v>1.9400000000000001E-2</v>
      </c>
      <c r="R73" s="432">
        <f t="shared" ref="R73:R82" si="13">J$64</f>
        <v>1.78E-2</v>
      </c>
      <c r="S73" s="432">
        <f t="shared" ref="S73:S82" si="14">K$64</f>
        <v>1.6199999999999999E-2</v>
      </c>
      <c r="T73" s="436">
        <f t="shared" ref="T73:T82" si="15">L$64</f>
        <v>1.47E-2</v>
      </c>
    </row>
    <row r="74" spans="1:20">
      <c r="A74" s="59" t="s">
        <v>172</v>
      </c>
      <c r="B74" s="71" t="s">
        <v>44</v>
      </c>
      <c r="C74" s="307">
        <v>0.06</v>
      </c>
      <c r="D74" s="308">
        <v>0.55843703457782867</v>
      </c>
      <c r="E74" s="309">
        <v>0.65</v>
      </c>
      <c r="F74" s="309">
        <v>0.7</v>
      </c>
      <c r="G74" s="340">
        <v>2016</v>
      </c>
      <c r="H74" s="341" t="str">
        <f t="shared" si="7"/>
        <v>£m 12/13</v>
      </c>
      <c r="I74" s="341" t="s">
        <v>270</v>
      </c>
      <c r="J74" s="424" t="s">
        <v>482</v>
      </c>
      <c r="K74" s="553"/>
      <c r="L74" s="554"/>
      <c r="M74" s="432">
        <f t="shared" si="8"/>
        <v>2.5499999999999998E-2</v>
      </c>
      <c r="N74" s="432">
        <f t="shared" si="9"/>
        <v>2.4199999999999999E-2</v>
      </c>
      <c r="O74" s="432">
        <f t="shared" si="10"/>
        <v>2.29E-2</v>
      </c>
      <c r="P74" s="432">
        <f t="shared" si="11"/>
        <v>2.0899999999999998E-2</v>
      </c>
      <c r="Q74" s="432">
        <f t="shared" si="12"/>
        <v>1.9400000000000001E-2</v>
      </c>
      <c r="R74" s="432">
        <f t="shared" si="13"/>
        <v>1.78E-2</v>
      </c>
      <c r="S74" s="432">
        <f t="shared" si="14"/>
        <v>1.6199999999999999E-2</v>
      </c>
      <c r="T74" s="436">
        <f t="shared" si="15"/>
        <v>1.47E-2</v>
      </c>
    </row>
    <row r="75" spans="1:20">
      <c r="A75" s="59" t="s">
        <v>172</v>
      </c>
      <c r="B75" s="71" t="s">
        <v>73</v>
      </c>
      <c r="C75" s="307">
        <v>0.06</v>
      </c>
      <c r="D75" s="308">
        <v>0.55843703457782867</v>
      </c>
      <c r="E75" s="309">
        <v>0.65</v>
      </c>
      <c r="F75" s="309">
        <v>0.72</v>
      </c>
      <c r="G75" s="340">
        <v>2016</v>
      </c>
      <c r="H75" s="341" t="str">
        <f t="shared" si="7"/>
        <v>£m 12/13</v>
      </c>
      <c r="I75" s="341" t="s">
        <v>270</v>
      </c>
      <c r="J75" s="424" t="s">
        <v>482</v>
      </c>
      <c r="K75" s="553"/>
      <c r="L75" s="554"/>
      <c r="M75" s="432">
        <f t="shared" si="8"/>
        <v>2.5499999999999998E-2</v>
      </c>
      <c r="N75" s="432">
        <f t="shared" si="9"/>
        <v>2.4199999999999999E-2</v>
      </c>
      <c r="O75" s="432">
        <f t="shared" si="10"/>
        <v>2.29E-2</v>
      </c>
      <c r="P75" s="432">
        <f t="shared" si="11"/>
        <v>2.0899999999999998E-2</v>
      </c>
      <c r="Q75" s="432">
        <f t="shared" si="12"/>
        <v>1.9400000000000001E-2</v>
      </c>
      <c r="R75" s="432">
        <f t="shared" si="13"/>
        <v>1.78E-2</v>
      </c>
      <c r="S75" s="432">
        <f t="shared" si="14"/>
        <v>1.6199999999999999E-2</v>
      </c>
      <c r="T75" s="436">
        <f t="shared" si="15"/>
        <v>1.47E-2</v>
      </c>
    </row>
    <row r="76" spans="1:20">
      <c r="A76" s="59" t="s">
        <v>172</v>
      </c>
      <c r="B76" s="71" t="s">
        <v>59</v>
      </c>
      <c r="C76" s="307">
        <v>0.06</v>
      </c>
      <c r="D76" s="308">
        <v>0.53280000000000005</v>
      </c>
      <c r="E76" s="309">
        <v>0.65</v>
      </c>
      <c r="F76" s="309">
        <v>0.68</v>
      </c>
      <c r="G76" s="340">
        <v>2016</v>
      </c>
      <c r="H76" s="341" t="str">
        <f t="shared" si="7"/>
        <v>£m 12/13</v>
      </c>
      <c r="I76" s="341" t="s">
        <v>270</v>
      </c>
      <c r="J76" s="424" t="s">
        <v>482</v>
      </c>
      <c r="K76" s="553"/>
      <c r="L76" s="554"/>
      <c r="M76" s="432">
        <f t="shared" si="8"/>
        <v>2.5499999999999998E-2</v>
      </c>
      <c r="N76" s="432">
        <f t="shared" si="9"/>
        <v>2.4199999999999999E-2</v>
      </c>
      <c r="O76" s="432">
        <f t="shared" si="10"/>
        <v>2.29E-2</v>
      </c>
      <c r="P76" s="432">
        <f t="shared" si="11"/>
        <v>2.0899999999999998E-2</v>
      </c>
      <c r="Q76" s="432">
        <f t="shared" si="12"/>
        <v>1.9400000000000001E-2</v>
      </c>
      <c r="R76" s="432">
        <f t="shared" si="13"/>
        <v>1.78E-2</v>
      </c>
      <c r="S76" s="432">
        <f t="shared" si="14"/>
        <v>1.6199999999999999E-2</v>
      </c>
      <c r="T76" s="436">
        <f t="shared" si="15"/>
        <v>1.47E-2</v>
      </c>
    </row>
    <row r="77" spans="1:20">
      <c r="A77" s="59" t="s">
        <v>172</v>
      </c>
      <c r="B77" s="71" t="s">
        <v>57</v>
      </c>
      <c r="C77" s="307">
        <v>0.06</v>
      </c>
      <c r="D77" s="308">
        <v>0.53280000000000005</v>
      </c>
      <c r="E77" s="309">
        <v>0.65</v>
      </c>
      <c r="F77" s="309">
        <v>0.68</v>
      </c>
      <c r="G77" s="340">
        <v>2016</v>
      </c>
      <c r="H77" s="341" t="str">
        <f t="shared" si="7"/>
        <v>£m 12/13</v>
      </c>
      <c r="I77" s="341" t="s">
        <v>270</v>
      </c>
      <c r="J77" s="424" t="s">
        <v>482</v>
      </c>
      <c r="K77" s="553"/>
      <c r="L77" s="554"/>
      <c r="M77" s="432">
        <f t="shared" si="8"/>
        <v>2.5499999999999998E-2</v>
      </c>
      <c r="N77" s="432">
        <f t="shared" si="9"/>
        <v>2.4199999999999999E-2</v>
      </c>
      <c r="O77" s="432">
        <f t="shared" si="10"/>
        <v>2.29E-2</v>
      </c>
      <c r="P77" s="432">
        <f t="shared" si="11"/>
        <v>2.0899999999999998E-2</v>
      </c>
      <c r="Q77" s="432">
        <f t="shared" si="12"/>
        <v>1.9400000000000001E-2</v>
      </c>
      <c r="R77" s="432">
        <f t="shared" si="13"/>
        <v>1.78E-2</v>
      </c>
      <c r="S77" s="432">
        <f t="shared" si="14"/>
        <v>1.6199999999999999E-2</v>
      </c>
      <c r="T77" s="436">
        <f t="shared" si="15"/>
        <v>1.47E-2</v>
      </c>
    </row>
    <row r="78" spans="1:20">
      <c r="A78" s="59" t="s">
        <v>172</v>
      </c>
      <c r="B78" s="71" t="s">
        <v>58</v>
      </c>
      <c r="C78" s="307">
        <v>0.06</v>
      </c>
      <c r="D78" s="308">
        <v>0.53280000000000005</v>
      </c>
      <c r="E78" s="309">
        <v>0.65</v>
      </c>
      <c r="F78" s="309">
        <v>0.68</v>
      </c>
      <c r="G78" s="340">
        <v>2016</v>
      </c>
      <c r="H78" s="341" t="str">
        <f t="shared" si="7"/>
        <v>£m 12/13</v>
      </c>
      <c r="I78" s="341" t="s">
        <v>270</v>
      </c>
      <c r="J78" s="424" t="s">
        <v>482</v>
      </c>
      <c r="K78" s="553"/>
      <c r="L78" s="554"/>
      <c r="M78" s="432">
        <f t="shared" si="8"/>
        <v>2.5499999999999998E-2</v>
      </c>
      <c r="N78" s="432">
        <f t="shared" si="9"/>
        <v>2.4199999999999999E-2</v>
      </c>
      <c r="O78" s="432">
        <f t="shared" si="10"/>
        <v>2.29E-2</v>
      </c>
      <c r="P78" s="432">
        <f t="shared" si="11"/>
        <v>2.0899999999999998E-2</v>
      </c>
      <c r="Q78" s="432">
        <f t="shared" si="12"/>
        <v>1.9400000000000001E-2</v>
      </c>
      <c r="R78" s="432">
        <f t="shared" si="13"/>
        <v>1.78E-2</v>
      </c>
      <c r="S78" s="432">
        <f t="shared" si="14"/>
        <v>1.6199999999999999E-2</v>
      </c>
      <c r="T78" s="436">
        <f t="shared" si="15"/>
        <v>1.47E-2</v>
      </c>
    </row>
    <row r="79" spans="1:20">
      <c r="A79" s="59" t="s">
        <v>172</v>
      </c>
      <c r="B79" s="71" t="s">
        <v>45</v>
      </c>
      <c r="C79" s="307">
        <v>0.06</v>
      </c>
      <c r="D79" s="308">
        <v>0.53500000000000003</v>
      </c>
      <c r="E79" s="309">
        <v>0.65</v>
      </c>
      <c r="F79" s="309">
        <v>0.8</v>
      </c>
      <c r="G79" s="340">
        <v>2016</v>
      </c>
      <c r="H79" s="341" t="str">
        <f t="shared" si="7"/>
        <v>£m 12/13</v>
      </c>
      <c r="I79" s="341" t="s">
        <v>270</v>
      </c>
      <c r="J79" s="424" t="s">
        <v>482</v>
      </c>
      <c r="K79" s="553"/>
      <c r="L79" s="554"/>
      <c r="M79" s="432">
        <f t="shared" si="8"/>
        <v>2.5499999999999998E-2</v>
      </c>
      <c r="N79" s="432">
        <f t="shared" si="9"/>
        <v>2.4199999999999999E-2</v>
      </c>
      <c r="O79" s="432">
        <f t="shared" si="10"/>
        <v>2.29E-2</v>
      </c>
      <c r="P79" s="432">
        <f t="shared" si="11"/>
        <v>2.0899999999999998E-2</v>
      </c>
      <c r="Q79" s="432">
        <f t="shared" si="12"/>
        <v>1.9400000000000001E-2</v>
      </c>
      <c r="R79" s="432">
        <f t="shared" si="13"/>
        <v>1.78E-2</v>
      </c>
      <c r="S79" s="432">
        <f t="shared" si="14"/>
        <v>1.6199999999999999E-2</v>
      </c>
      <c r="T79" s="436">
        <f t="shared" si="15"/>
        <v>1.47E-2</v>
      </c>
    </row>
    <row r="80" spans="1:20">
      <c r="A80" s="59" t="s">
        <v>172</v>
      </c>
      <c r="B80" s="71" t="s">
        <v>46</v>
      </c>
      <c r="C80" s="307">
        <v>0.06</v>
      </c>
      <c r="D80" s="308">
        <v>0.53500000000000003</v>
      </c>
      <c r="E80" s="309">
        <v>0.65</v>
      </c>
      <c r="F80" s="309">
        <v>0.8</v>
      </c>
      <c r="G80" s="340">
        <v>2016</v>
      </c>
      <c r="H80" s="341" t="str">
        <f t="shared" si="7"/>
        <v>£m 12/13</v>
      </c>
      <c r="I80" s="341" t="s">
        <v>270</v>
      </c>
      <c r="J80" s="424" t="s">
        <v>482</v>
      </c>
      <c r="K80" s="553"/>
      <c r="L80" s="554"/>
      <c r="M80" s="432">
        <f t="shared" si="8"/>
        <v>2.5499999999999998E-2</v>
      </c>
      <c r="N80" s="432">
        <f t="shared" si="9"/>
        <v>2.4199999999999999E-2</v>
      </c>
      <c r="O80" s="432">
        <f t="shared" si="10"/>
        <v>2.29E-2</v>
      </c>
      <c r="P80" s="432">
        <f t="shared" si="11"/>
        <v>2.0899999999999998E-2</v>
      </c>
      <c r="Q80" s="432">
        <f t="shared" si="12"/>
        <v>1.9400000000000001E-2</v>
      </c>
      <c r="R80" s="432">
        <f t="shared" si="13"/>
        <v>1.78E-2</v>
      </c>
      <c r="S80" s="432">
        <f t="shared" si="14"/>
        <v>1.6199999999999999E-2</v>
      </c>
      <c r="T80" s="436">
        <f t="shared" si="15"/>
        <v>1.47E-2</v>
      </c>
    </row>
    <row r="81" spans="1:20">
      <c r="A81" s="59" t="s">
        <v>172</v>
      </c>
      <c r="B81" s="71" t="s">
        <v>47</v>
      </c>
      <c r="C81" s="307">
        <v>0.06</v>
      </c>
      <c r="D81" s="308">
        <v>0.56469999999999998</v>
      </c>
      <c r="E81" s="309">
        <v>0.65</v>
      </c>
      <c r="F81" s="309">
        <v>0.62</v>
      </c>
      <c r="G81" s="340">
        <v>2016</v>
      </c>
      <c r="H81" s="341" t="str">
        <f t="shared" si="7"/>
        <v>£m 12/13</v>
      </c>
      <c r="I81" s="341" t="s">
        <v>270</v>
      </c>
      <c r="J81" s="424" t="s">
        <v>482</v>
      </c>
      <c r="K81" s="553"/>
      <c r="L81" s="554"/>
      <c r="M81" s="432">
        <f t="shared" si="8"/>
        <v>2.5499999999999998E-2</v>
      </c>
      <c r="N81" s="432">
        <f t="shared" si="9"/>
        <v>2.4199999999999999E-2</v>
      </c>
      <c r="O81" s="432">
        <f t="shared" si="10"/>
        <v>2.29E-2</v>
      </c>
      <c r="P81" s="432">
        <f t="shared" si="11"/>
        <v>2.0899999999999998E-2</v>
      </c>
      <c r="Q81" s="432">
        <f t="shared" si="12"/>
        <v>1.9400000000000001E-2</v>
      </c>
      <c r="R81" s="432">
        <f t="shared" si="13"/>
        <v>1.78E-2</v>
      </c>
      <c r="S81" s="432">
        <f t="shared" si="14"/>
        <v>1.6199999999999999E-2</v>
      </c>
      <c r="T81" s="436">
        <f t="shared" si="15"/>
        <v>1.47E-2</v>
      </c>
    </row>
    <row r="82" spans="1:20">
      <c r="A82" s="59" t="s">
        <v>172</v>
      </c>
      <c r="B82" s="71" t="s">
        <v>48</v>
      </c>
      <c r="C82" s="307">
        <v>0.06</v>
      </c>
      <c r="D82" s="308">
        <v>0.56469999999999998</v>
      </c>
      <c r="E82" s="309">
        <v>0.65</v>
      </c>
      <c r="F82" s="309">
        <v>0.7</v>
      </c>
      <c r="G82" s="340">
        <v>2016</v>
      </c>
      <c r="H82" s="341" t="str">
        <f t="shared" si="7"/>
        <v>£m 12/13</v>
      </c>
      <c r="I82" s="341" t="s">
        <v>270</v>
      </c>
      <c r="J82" s="424" t="s">
        <v>482</v>
      </c>
      <c r="K82" s="553"/>
      <c r="L82" s="554"/>
      <c r="M82" s="432">
        <f t="shared" si="8"/>
        <v>2.5499999999999998E-2</v>
      </c>
      <c r="N82" s="432">
        <f t="shared" si="9"/>
        <v>2.4199999999999999E-2</v>
      </c>
      <c r="O82" s="432">
        <f t="shared" si="10"/>
        <v>2.29E-2</v>
      </c>
      <c r="P82" s="432">
        <f t="shared" si="11"/>
        <v>2.0899999999999998E-2</v>
      </c>
      <c r="Q82" s="432">
        <f t="shared" si="12"/>
        <v>1.9400000000000001E-2</v>
      </c>
      <c r="R82" s="432">
        <f t="shared" si="13"/>
        <v>1.78E-2</v>
      </c>
      <c r="S82" s="432">
        <f t="shared" si="14"/>
        <v>1.6199999999999999E-2</v>
      </c>
      <c r="T82" s="436">
        <f t="shared" si="15"/>
        <v>1.47E-2</v>
      </c>
    </row>
    <row r="83" spans="1:20">
      <c r="A83" s="59" t="s">
        <v>172</v>
      </c>
      <c r="B83" s="71" t="s">
        <v>246</v>
      </c>
      <c r="C83" s="307">
        <v>6.4000000000000001E-2</v>
      </c>
      <c r="D83" s="308">
        <v>0.7</v>
      </c>
      <c r="E83" s="309">
        <v>0.65</v>
      </c>
      <c r="F83" s="309">
        <v>0.8</v>
      </c>
      <c r="G83" s="340">
        <v>2016</v>
      </c>
      <c r="H83" s="341" t="str">
        <f t="shared" si="7"/>
        <v>£m 12/13</v>
      </c>
      <c r="I83" s="341" t="s">
        <v>271</v>
      </c>
      <c r="J83" s="424" t="s">
        <v>483</v>
      </c>
      <c r="K83" s="553"/>
      <c r="L83" s="554"/>
      <c r="M83" s="432">
        <f t="shared" ref="M83:T86" si="16">E$63</f>
        <v>2.5499999999999998E-2</v>
      </c>
      <c r="N83" s="432">
        <f t="shared" si="16"/>
        <v>2.3799999999999998E-2</v>
      </c>
      <c r="O83" s="432">
        <f t="shared" si="16"/>
        <v>2.2200000000000001E-2</v>
      </c>
      <c r="P83" s="432">
        <f t="shared" si="16"/>
        <v>1.9099999999999999E-2</v>
      </c>
      <c r="Q83" s="432">
        <f t="shared" si="16"/>
        <v>1.5800000000000002E-2</v>
      </c>
      <c r="R83" s="432">
        <f t="shared" si="16"/>
        <v>1.09E-2</v>
      </c>
      <c r="S83" s="432">
        <f t="shared" si="16"/>
        <v>7.6E-3</v>
      </c>
      <c r="T83" s="436">
        <f t="shared" si="16"/>
        <v>4.4000000000000003E-3</v>
      </c>
    </row>
    <row r="84" spans="1:20">
      <c r="A84" s="59" t="s">
        <v>172</v>
      </c>
      <c r="B84" s="71" t="s">
        <v>247</v>
      </c>
      <c r="C84" s="307">
        <v>6.4000000000000001E-2</v>
      </c>
      <c r="D84" s="308">
        <v>0.7</v>
      </c>
      <c r="E84" s="309">
        <v>0.65</v>
      </c>
      <c r="F84" s="309">
        <v>0.8</v>
      </c>
      <c r="G84" s="340">
        <v>2016</v>
      </c>
      <c r="H84" s="341" t="str">
        <f t="shared" si="7"/>
        <v>£m 12/13</v>
      </c>
      <c r="I84" s="341" t="s">
        <v>271</v>
      </c>
      <c r="J84" s="424" t="s">
        <v>483</v>
      </c>
      <c r="K84" s="553"/>
      <c r="L84" s="554"/>
      <c r="M84" s="432">
        <f t="shared" si="16"/>
        <v>2.5499999999999998E-2</v>
      </c>
      <c r="N84" s="432">
        <f t="shared" si="16"/>
        <v>2.3799999999999998E-2</v>
      </c>
      <c r="O84" s="432">
        <f t="shared" si="16"/>
        <v>2.2200000000000001E-2</v>
      </c>
      <c r="P84" s="432">
        <f t="shared" si="16"/>
        <v>1.9099999999999999E-2</v>
      </c>
      <c r="Q84" s="432">
        <f t="shared" si="16"/>
        <v>1.5800000000000002E-2</v>
      </c>
      <c r="R84" s="432">
        <f t="shared" si="16"/>
        <v>1.09E-2</v>
      </c>
      <c r="S84" s="432">
        <f t="shared" si="16"/>
        <v>7.6E-3</v>
      </c>
      <c r="T84" s="436">
        <f t="shared" si="16"/>
        <v>4.4000000000000003E-3</v>
      </c>
    </row>
    <row r="85" spans="1:20">
      <c r="A85" s="59" t="s">
        <v>172</v>
      </c>
      <c r="B85" s="71" t="s">
        <v>248</v>
      </c>
      <c r="C85" s="307">
        <v>6.4000000000000001E-2</v>
      </c>
      <c r="D85" s="308">
        <v>0.7</v>
      </c>
      <c r="E85" s="309">
        <v>0.65</v>
      </c>
      <c r="F85" s="309">
        <v>0.8</v>
      </c>
      <c r="G85" s="340">
        <v>2016</v>
      </c>
      <c r="H85" s="341" t="str">
        <f t="shared" si="7"/>
        <v>£m 12/13</v>
      </c>
      <c r="I85" s="341" t="s">
        <v>271</v>
      </c>
      <c r="J85" s="424" t="s">
        <v>483</v>
      </c>
      <c r="K85" s="553"/>
      <c r="L85" s="554"/>
      <c r="M85" s="432">
        <f t="shared" si="16"/>
        <v>2.5499999999999998E-2</v>
      </c>
      <c r="N85" s="432">
        <f t="shared" si="16"/>
        <v>2.3799999999999998E-2</v>
      </c>
      <c r="O85" s="432">
        <f t="shared" si="16"/>
        <v>2.2200000000000001E-2</v>
      </c>
      <c r="P85" s="432">
        <f t="shared" si="16"/>
        <v>1.9099999999999999E-2</v>
      </c>
      <c r="Q85" s="432">
        <f t="shared" si="16"/>
        <v>1.5800000000000002E-2</v>
      </c>
      <c r="R85" s="432">
        <f t="shared" si="16"/>
        <v>1.09E-2</v>
      </c>
      <c r="S85" s="432">
        <f t="shared" si="16"/>
        <v>7.6E-3</v>
      </c>
      <c r="T85" s="436">
        <f t="shared" si="16"/>
        <v>4.4000000000000003E-3</v>
      </c>
    </row>
    <row r="86" spans="1:20">
      <c r="A86" s="59" t="s">
        <v>172</v>
      </c>
      <c r="B86" s="71" t="s">
        <v>249</v>
      </c>
      <c r="C86" s="307">
        <v>6.4000000000000001E-2</v>
      </c>
      <c r="D86" s="308">
        <v>0.7</v>
      </c>
      <c r="E86" s="309">
        <v>0.65</v>
      </c>
      <c r="F86" s="309">
        <v>0.8</v>
      </c>
      <c r="G86" s="340">
        <v>2016</v>
      </c>
      <c r="H86" s="341" t="str">
        <f t="shared" si="7"/>
        <v>£m 12/13</v>
      </c>
      <c r="I86" s="341" t="s">
        <v>271</v>
      </c>
      <c r="J86" s="424" t="s">
        <v>483</v>
      </c>
      <c r="K86" s="553"/>
      <c r="L86" s="554"/>
      <c r="M86" s="432">
        <f t="shared" si="16"/>
        <v>2.5499999999999998E-2</v>
      </c>
      <c r="N86" s="432">
        <f t="shared" si="16"/>
        <v>2.3799999999999998E-2</v>
      </c>
      <c r="O86" s="432">
        <f t="shared" si="16"/>
        <v>2.2200000000000001E-2</v>
      </c>
      <c r="P86" s="432">
        <f t="shared" si="16"/>
        <v>1.9099999999999999E-2</v>
      </c>
      <c r="Q86" s="432">
        <f t="shared" si="16"/>
        <v>1.5800000000000002E-2</v>
      </c>
      <c r="R86" s="432">
        <f t="shared" si="16"/>
        <v>1.09E-2</v>
      </c>
      <c r="S86" s="432">
        <f t="shared" si="16"/>
        <v>7.6E-3</v>
      </c>
      <c r="T86" s="436">
        <f t="shared" si="16"/>
        <v>4.4000000000000003E-3</v>
      </c>
    </row>
    <row r="87" spans="1:20">
      <c r="A87" s="59" t="s">
        <v>173</v>
      </c>
      <c r="B87" s="71" t="s">
        <v>53</v>
      </c>
      <c r="C87" s="307">
        <v>6.7000000000000004E-2</v>
      </c>
      <c r="D87" s="308">
        <v>0.63039999999999996</v>
      </c>
      <c r="E87" s="309">
        <v>0.65</v>
      </c>
      <c r="F87" s="309">
        <v>0.26634501855794862</v>
      </c>
      <c r="G87" s="340">
        <v>2014</v>
      </c>
      <c r="H87" s="341" t="str">
        <f t="shared" si="7"/>
        <v>£m 09/10</v>
      </c>
      <c r="I87" s="341" t="s">
        <v>270</v>
      </c>
      <c r="J87" s="424" t="s">
        <v>483</v>
      </c>
      <c r="K87" s="434">
        <f t="shared" ref="K87:R94" si="17">C$67</f>
        <v>2.92E-2</v>
      </c>
      <c r="L87" s="432">
        <f t="shared" si="17"/>
        <v>2.7199999999999998E-2</v>
      </c>
      <c r="M87" s="432">
        <f t="shared" si="17"/>
        <v>2.5499999999999998E-2</v>
      </c>
      <c r="N87" s="432">
        <f t="shared" si="17"/>
        <v>2.3800000000000002E-2</v>
      </c>
      <c r="O87" s="432">
        <f t="shared" si="17"/>
        <v>2.2200000000000001E-2</v>
      </c>
      <c r="P87" s="432">
        <f t="shared" si="17"/>
        <v>1.9099999999999999E-2</v>
      </c>
      <c r="Q87" s="432">
        <f t="shared" si="17"/>
        <v>1.5800000000000002E-2</v>
      </c>
      <c r="R87" s="432">
        <f t="shared" si="17"/>
        <v>1.09E-2</v>
      </c>
      <c r="S87" s="554"/>
      <c r="T87" s="555"/>
    </row>
    <row r="88" spans="1:20">
      <c r="A88" s="59" t="s">
        <v>173</v>
      </c>
      <c r="B88" s="71" t="s">
        <v>54</v>
      </c>
      <c r="C88" s="307">
        <v>6.7000000000000004E-2</v>
      </c>
      <c r="D88" s="308">
        <v>0.63039999999999996</v>
      </c>
      <c r="E88" s="309">
        <v>0.65</v>
      </c>
      <c r="F88" s="309">
        <v>0.23469337831705597</v>
      </c>
      <c r="G88" s="340">
        <v>2014</v>
      </c>
      <c r="H88" s="341" t="str">
        <f t="shared" si="7"/>
        <v>£m 09/10</v>
      </c>
      <c r="I88" s="341" t="s">
        <v>270</v>
      </c>
      <c r="J88" s="424" t="s">
        <v>483</v>
      </c>
      <c r="K88" s="434">
        <f t="shared" si="17"/>
        <v>2.92E-2</v>
      </c>
      <c r="L88" s="432">
        <f t="shared" si="17"/>
        <v>2.7199999999999998E-2</v>
      </c>
      <c r="M88" s="432">
        <f t="shared" si="17"/>
        <v>2.5499999999999998E-2</v>
      </c>
      <c r="N88" s="432">
        <f t="shared" si="17"/>
        <v>2.3800000000000002E-2</v>
      </c>
      <c r="O88" s="432">
        <f t="shared" si="17"/>
        <v>2.2200000000000001E-2</v>
      </c>
      <c r="P88" s="432">
        <f t="shared" si="17"/>
        <v>1.9099999999999999E-2</v>
      </c>
      <c r="Q88" s="432">
        <f t="shared" si="17"/>
        <v>1.5800000000000002E-2</v>
      </c>
      <c r="R88" s="432">
        <f t="shared" si="17"/>
        <v>1.09E-2</v>
      </c>
      <c r="S88" s="554"/>
      <c r="T88" s="555"/>
    </row>
    <row r="89" spans="1:20">
      <c r="A89" s="59" t="s">
        <v>173</v>
      </c>
      <c r="B89" s="71" t="s">
        <v>55</v>
      </c>
      <c r="C89" s="307">
        <v>6.7000000000000004E-2</v>
      </c>
      <c r="D89" s="308">
        <v>0.63039999999999996</v>
      </c>
      <c r="E89" s="309">
        <v>0.65</v>
      </c>
      <c r="F89" s="309">
        <v>0.24946223864843597</v>
      </c>
      <c r="G89" s="340">
        <v>2014</v>
      </c>
      <c r="H89" s="341" t="str">
        <f t="shared" si="7"/>
        <v>£m 09/10</v>
      </c>
      <c r="I89" s="341" t="s">
        <v>270</v>
      </c>
      <c r="J89" s="424" t="s">
        <v>483</v>
      </c>
      <c r="K89" s="434">
        <f t="shared" si="17"/>
        <v>2.92E-2</v>
      </c>
      <c r="L89" s="432">
        <f t="shared" si="17"/>
        <v>2.7199999999999998E-2</v>
      </c>
      <c r="M89" s="432">
        <f t="shared" si="17"/>
        <v>2.5499999999999998E-2</v>
      </c>
      <c r="N89" s="432">
        <f t="shared" si="17"/>
        <v>2.3800000000000002E-2</v>
      </c>
      <c r="O89" s="432">
        <f t="shared" si="17"/>
        <v>2.2200000000000001E-2</v>
      </c>
      <c r="P89" s="432">
        <f t="shared" si="17"/>
        <v>1.9099999999999999E-2</v>
      </c>
      <c r="Q89" s="432">
        <f t="shared" si="17"/>
        <v>1.5800000000000002E-2</v>
      </c>
      <c r="R89" s="432">
        <f t="shared" si="17"/>
        <v>1.09E-2</v>
      </c>
      <c r="S89" s="554"/>
      <c r="T89" s="555"/>
    </row>
    <row r="90" spans="1:20">
      <c r="A90" s="59" t="s">
        <v>173</v>
      </c>
      <c r="B90" s="71" t="s">
        <v>56</v>
      </c>
      <c r="C90" s="307">
        <v>6.7000000000000004E-2</v>
      </c>
      <c r="D90" s="308">
        <v>0.63039999999999996</v>
      </c>
      <c r="E90" s="309">
        <v>0.65</v>
      </c>
      <c r="F90" s="309">
        <v>0.26095352485819256</v>
      </c>
      <c r="G90" s="340">
        <v>2014</v>
      </c>
      <c r="H90" s="341" t="str">
        <f t="shared" si="7"/>
        <v>£m 09/10</v>
      </c>
      <c r="I90" s="341" t="s">
        <v>270</v>
      </c>
      <c r="J90" s="424" t="s">
        <v>483</v>
      </c>
      <c r="K90" s="434">
        <f t="shared" si="17"/>
        <v>2.92E-2</v>
      </c>
      <c r="L90" s="432">
        <f t="shared" si="17"/>
        <v>2.7199999999999998E-2</v>
      </c>
      <c r="M90" s="432">
        <f t="shared" si="17"/>
        <v>2.5499999999999998E-2</v>
      </c>
      <c r="N90" s="432">
        <f t="shared" si="17"/>
        <v>2.3800000000000002E-2</v>
      </c>
      <c r="O90" s="432">
        <f t="shared" si="17"/>
        <v>2.2200000000000001E-2</v>
      </c>
      <c r="P90" s="432">
        <f t="shared" si="17"/>
        <v>1.9099999999999999E-2</v>
      </c>
      <c r="Q90" s="432">
        <f t="shared" si="17"/>
        <v>1.5800000000000002E-2</v>
      </c>
      <c r="R90" s="432">
        <f t="shared" si="17"/>
        <v>1.09E-2</v>
      </c>
      <c r="S90" s="554"/>
      <c r="T90" s="555"/>
    </row>
    <row r="91" spans="1:20">
      <c r="A91" s="59" t="s">
        <v>173</v>
      </c>
      <c r="B91" s="71" t="s">
        <v>50</v>
      </c>
      <c r="C91" s="307">
        <v>6.7000000000000004E-2</v>
      </c>
      <c r="D91" s="308">
        <v>0.63980000000000004</v>
      </c>
      <c r="E91" s="309">
        <v>0.65</v>
      </c>
      <c r="F91" s="309">
        <v>0.34984411379298247</v>
      </c>
      <c r="G91" s="340">
        <v>2014</v>
      </c>
      <c r="H91" s="341" t="str">
        <f t="shared" si="7"/>
        <v>£m 09/10</v>
      </c>
      <c r="I91" s="341" t="s">
        <v>270</v>
      </c>
      <c r="J91" s="424" t="s">
        <v>483</v>
      </c>
      <c r="K91" s="434">
        <f t="shared" si="17"/>
        <v>2.92E-2</v>
      </c>
      <c r="L91" s="432">
        <f t="shared" si="17"/>
        <v>2.7199999999999998E-2</v>
      </c>
      <c r="M91" s="432">
        <f t="shared" si="17"/>
        <v>2.5499999999999998E-2</v>
      </c>
      <c r="N91" s="432">
        <f t="shared" si="17"/>
        <v>2.3800000000000002E-2</v>
      </c>
      <c r="O91" s="432">
        <f t="shared" si="17"/>
        <v>2.2200000000000001E-2</v>
      </c>
      <c r="P91" s="432">
        <f t="shared" si="17"/>
        <v>1.9099999999999999E-2</v>
      </c>
      <c r="Q91" s="432">
        <f t="shared" si="17"/>
        <v>1.5800000000000002E-2</v>
      </c>
      <c r="R91" s="432">
        <f t="shared" si="17"/>
        <v>1.09E-2</v>
      </c>
      <c r="S91" s="554"/>
      <c r="T91" s="555"/>
    </row>
    <row r="92" spans="1:20">
      <c r="A92" s="59" t="s">
        <v>173</v>
      </c>
      <c r="B92" s="71" t="s">
        <v>52</v>
      </c>
      <c r="C92" s="307">
        <v>6.7000000000000004E-2</v>
      </c>
      <c r="D92" s="308">
        <v>0.63729999999999998</v>
      </c>
      <c r="E92" s="309">
        <v>0.65</v>
      </c>
      <c r="F92" s="309">
        <v>0.35129049661183626</v>
      </c>
      <c r="G92" s="340">
        <v>2014</v>
      </c>
      <c r="H92" s="341" t="str">
        <f t="shared" si="7"/>
        <v>£m 09/10</v>
      </c>
      <c r="I92" s="341" t="s">
        <v>270</v>
      </c>
      <c r="J92" s="424" t="s">
        <v>483</v>
      </c>
      <c r="K92" s="434">
        <f t="shared" si="17"/>
        <v>2.92E-2</v>
      </c>
      <c r="L92" s="432">
        <f t="shared" si="17"/>
        <v>2.7199999999999998E-2</v>
      </c>
      <c r="M92" s="432">
        <f t="shared" si="17"/>
        <v>2.5499999999999998E-2</v>
      </c>
      <c r="N92" s="432">
        <f t="shared" si="17"/>
        <v>2.3800000000000002E-2</v>
      </c>
      <c r="O92" s="432">
        <f t="shared" si="17"/>
        <v>2.2200000000000001E-2</v>
      </c>
      <c r="P92" s="432">
        <f t="shared" si="17"/>
        <v>1.9099999999999999E-2</v>
      </c>
      <c r="Q92" s="432">
        <f t="shared" si="17"/>
        <v>1.5800000000000002E-2</v>
      </c>
      <c r="R92" s="432">
        <f t="shared" si="17"/>
        <v>1.09E-2</v>
      </c>
      <c r="S92" s="554"/>
      <c r="T92" s="555"/>
    </row>
    <row r="93" spans="1:20">
      <c r="A93" s="59" t="s">
        <v>173</v>
      </c>
      <c r="B93" s="71" t="s">
        <v>51</v>
      </c>
      <c r="C93" s="307">
        <v>6.7000000000000004E-2</v>
      </c>
      <c r="D93" s="308">
        <v>0.63729999999999998</v>
      </c>
      <c r="E93" s="309">
        <v>0.65</v>
      </c>
      <c r="F93" s="309">
        <v>0.32230855902021693</v>
      </c>
      <c r="G93" s="340">
        <v>2014</v>
      </c>
      <c r="H93" s="341" t="str">
        <f t="shared" si="7"/>
        <v>£m 09/10</v>
      </c>
      <c r="I93" s="341" t="s">
        <v>270</v>
      </c>
      <c r="J93" s="424" t="s">
        <v>483</v>
      </c>
      <c r="K93" s="434">
        <f t="shared" si="17"/>
        <v>2.92E-2</v>
      </c>
      <c r="L93" s="432">
        <f t="shared" si="17"/>
        <v>2.7199999999999998E-2</v>
      </c>
      <c r="M93" s="432">
        <f t="shared" si="17"/>
        <v>2.5499999999999998E-2</v>
      </c>
      <c r="N93" s="432">
        <f t="shared" si="17"/>
        <v>2.3800000000000002E-2</v>
      </c>
      <c r="O93" s="432">
        <f t="shared" si="17"/>
        <v>2.2200000000000001E-2</v>
      </c>
      <c r="P93" s="432">
        <f t="shared" si="17"/>
        <v>1.9099999999999999E-2</v>
      </c>
      <c r="Q93" s="432">
        <f t="shared" si="17"/>
        <v>1.5800000000000002E-2</v>
      </c>
      <c r="R93" s="432">
        <f t="shared" si="17"/>
        <v>1.09E-2</v>
      </c>
      <c r="S93" s="554"/>
      <c r="T93" s="555"/>
    </row>
    <row r="94" spans="1:20">
      <c r="A94" s="59" t="s">
        <v>173</v>
      </c>
      <c r="B94" s="71" t="s">
        <v>49</v>
      </c>
      <c r="C94" s="307">
        <v>6.7000000000000004E-2</v>
      </c>
      <c r="D94" s="308">
        <v>0.63170000000000004</v>
      </c>
      <c r="E94" s="309">
        <v>0.65</v>
      </c>
      <c r="F94" s="309">
        <v>0.35781904469402892</v>
      </c>
      <c r="G94" s="340">
        <v>2014</v>
      </c>
      <c r="H94" s="341" t="str">
        <f t="shared" si="7"/>
        <v>£m 09/10</v>
      </c>
      <c r="I94" s="341" t="s">
        <v>270</v>
      </c>
      <c r="J94" s="424" t="s">
        <v>483</v>
      </c>
      <c r="K94" s="434">
        <f t="shared" si="17"/>
        <v>2.92E-2</v>
      </c>
      <c r="L94" s="432">
        <f t="shared" si="17"/>
        <v>2.7199999999999998E-2</v>
      </c>
      <c r="M94" s="432">
        <f t="shared" si="17"/>
        <v>2.5499999999999998E-2</v>
      </c>
      <c r="N94" s="432">
        <f t="shared" si="17"/>
        <v>2.3800000000000002E-2</v>
      </c>
      <c r="O94" s="432">
        <f t="shared" si="17"/>
        <v>2.2200000000000001E-2</v>
      </c>
      <c r="P94" s="432">
        <f t="shared" si="17"/>
        <v>1.9099999999999999E-2</v>
      </c>
      <c r="Q94" s="432">
        <f t="shared" si="17"/>
        <v>1.5800000000000002E-2</v>
      </c>
      <c r="R94" s="432">
        <f t="shared" si="17"/>
        <v>1.09E-2</v>
      </c>
      <c r="S94" s="554"/>
      <c r="T94" s="555"/>
    </row>
    <row r="95" spans="1:20">
      <c r="A95" s="59" t="s">
        <v>175</v>
      </c>
      <c r="B95" s="71" t="s">
        <v>113</v>
      </c>
      <c r="C95" s="307">
        <v>6.8000000000000005E-2</v>
      </c>
      <c r="D95" s="308">
        <v>0.44359999999999999</v>
      </c>
      <c r="E95" s="309">
        <v>0.625</v>
      </c>
      <c r="F95" s="309">
        <v>0.64400000000000002</v>
      </c>
      <c r="G95" s="340">
        <v>2014</v>
      </c>
      <c r="H95" s="341" t="str">
        <f t="shared" si="7"/>
        <v>£m 09/10</v>
      </c>
      <c r="I95" s="341" t="s">
        <v>270</v>
      </c>
      <c r="J95" s="424" t="s">
        <v>483</v>
      </c>
      <c r="K95" s="434">
        <f t="shared" ref="K95:R96" si="18">C$68</f>
        <v>2.92E-2</v>
      </c>
      <c r="L95" s="432">
        <f t="shared" si="18"/>
        <v>2.7199999999999998E-2</v>
      </c>
      <c r="M95" s="432">
        <f t="shared" si="18"/>
        <v>2.5499999999999998E-2</v>
      </c>
      <c r="N95" s="432">
        <f t="shared" si="18"/>
        <v>2.3800000000000002E-2</v>
      </c>
      <c r="O95" s="432">
        <f t="shared" si="18"/>
        <v>2.2200000000000001E-2</v>
      </c>
      <c r="P95" s="432">
        <f t="shared" si="18"/>
        <v>1.9099999999999999E-2</v>
      </c>
      <c r="Q95" s="432">
        <f t="shared" si="18"/>
        <v>1.5800000000000002E-2</v>
      </c>
      <c r="R95" s="432">
        <f t="shared" si="18"/>
        <v>1.09E-2</v>
      </c>
      <c r="S95" s="554"/>
      <c r="T95" s="555"/>
    </row>
    <row r="96" spans="1:20">
      <c r="A96" s="59" t="s">
        <v>175</v>
      </c>
      <c r="B96" s="71" t="s">
        <v>114</v>
      </c>
      <c r="C96" s="307">
        <v>6.8000000000000005E-2</v>
      </c>
      <c r="D96" s="308">
        <v>0.44359999999999999</v>
      </c>
      <c r="E96" s="309">
        <v>0.625</v>
      </c>
      <c r="F96" s="309">
        <v>0.374</v>
      </c>
      <c r="G96" s="340">
        <v>2014</v>
      </c>
      <c r="H96" s="341" t="str">
        <f t="shared" si="7"/>
        <v>£m 09/10</v>
      </c>
      <c r="I96" s="341" t="s">
        <v>270</v>
      </c>
      <c r="J96" s="424" t="s">
        <v>483</v>
      </c>
      <c r="K96" s="434">
        <f t="shared" si="18"/>
        <v>2.92E-2</v>
      </c>
      <c r="L96" s="432">
        <f t="shared" si="18"/>
        <v>2.7199999999999998E-2</v>
      </c>
      <c r="M96" s="432">
        <f t="shared" si="18"/>
        <v>2.5499999999999998E-2</v>
      </c>
      <c r="N96" s="432">
        <f t="shared" si="18"/>
        <v>2.3800000000000002E-2</v>
      </c>
      <c r="O96" s="432">
        <f t="shared" si="18"/>
        <v>2.2200000000000001E-2</v>
      </c>
      <c r="P96" s="432">
        <f t="shared" si="18"/>
        <v>1.9099999999999999E-2</v>
      </c>
      <c r="Q96" s="432">
        <f t="shared" si="18"/>
        <v>1.5800000000000002E-2</v>
      </c>
      <c r="R96" s="432">
        <f t="shared" si="18"/>
        <v>1.09E-2</v>
      </c>
      <c r="S96" s="554"/>
      <c r="T96" s="555"/>
    </row>
    <row r="97" spans="1:20">
      <c r="A97" s="59" t="s">
        <v>174</v>
      </c>
      <c r="B97" s="71" t="s">
        <v>111</v>
      </c>
      <c r="C97" s="307">
        <v>7.0000000000000007E-2</v>
      </c>
      <c r="D97" s="308">
        <v>0.46889999999999998</v>
      </c>
      <c r="E97" s="309">
        <v>0.6</v>
      </c>
      <c r="F97" s="309">
        <v>0.85</v>
      </c>
      <c r="G97" s="340">
        <v>2014</v>
      </c>
      <c r="H97" s="341" t="str">
        <f t="shared" si="7"/>
        <v>£m 09/10</v>
      </c>
      <c r="I97" s="341" t="s">
        <v>270</v>
      </c>
      <c r="J97" s="424" t="s">
        <v>483</v>
      </c>
      <c r="K97" s="434">
        <f t="shared" ref="K97:R99" si="19">C$66</f>
        <v>2.92E-2</v>
      </c>
      <c r="L97" s="432">
        <f t="shared" si="19"/>
        <v>2.7199999999999998E-2</v>
      </c>
      <c r="M97" s="432">
        <f t="shared" si="19"/>
        <v>2.5499999999999998E-2</v>
      </c>
      <c r="N97" s="432">
        <f t="shared" si="19"/>
        <v>2.3800000000000002E-2</v>
      </c>
      <c r="O97" s="432">
        <f t="shared" si="19"/>
        <v>2.2200000000000001E-2</v>
      </c>
      <c r="P97" s="432">
        <f t="shared" si="19"/>
        <v>1.9099999999999999E-2</v>
      </c>
      <c r="Q97" s="432">
        <f t="shared" si="19"/>
        <v>1.5800000000000002E-2</v>
      </c>
      <c r="R97" s="432">
        <f t="shared" si="19"/>
        <v>1.09E-2</v>
      </c>
      <c r="S97" s="554"/>
      <c r="T97" s="555"/>
    </row>
    <row r="98" spans="1:20">
      <c r="A98" s="59" t="s">
        <v>174</v>
      </c>
      <c r="B98" s="71" t="s">
        <v>579</v>
      </c>
      <c r="C98" s="307">
        <v>7.0000000000000007E-2</v>
      </c>
      <c r="D98" s="308">
        <v>0.46889999999999998</v>
      </c>
      <c r="E98" s="309">
        <v>0.6</v>
      </c>
      <c r="F98" s="309">
        <v>0.27900000000000003</v>
      </c>
      <c r="G98" s="326">
        <v>2014</v>
      </c>
      <c r="H98" s="327" t="str">
        <f>VLOOKUP($A98,$E$54:$F$57,2,FALSE)</f>
        <v>£m 09/10</v>
      </c>
      <c r="I98" s="324" t="s">
        <v>270</v>
      </c>
      <c r="J98" s="424" t="s">
        <v>483</v>
      </c>
      <c r="K98" s="434">
        <f t="shared" si="19"/>
        <v>2.92E-2</v>
      </c>
      <c r="L98" s="432">
        <f t="shared" si="19"/>
        <v>2.7199999999999998E-2</v>
      </c>
      <c r="M98" s="432">
        <f t="shared" si="19"/>
        <v>2.5499999999999998E-2</v>
      </c>
      <c r="N98" s="432">
        <f t="shared" si="19"/>
        <v>2.3800000000000002E-2</v>
      </c>
      <c r="O98" s="432">
        <f t="shared" si="19"/>
        <v>2.2200000000000001E-2</v>
      </c>
      <c r="P98" s="432">
        <f t="shared" si="19"/>
        <v>1.9099999999999999E-2</v>
      </c>
      <c r="Q98" s="432">
        <f t="shared" si="19"/>
        <v>1.5800000000000002E-2</v>
      </c>
      <c r="R98" s="432">
        <f t="shared" si="19"/>
        <v>1.09E-2</v>
      </c>
      <c r="S98" s="554"/>
      <c r="T98" s="555"/>
    </row>
    <row r="99" spans="1:20">
      <c r="A99" s="59" t="s">
        <v>174</v>
      </c>
      <c r="B99" s="71" t="s">
        <v>60</v>
      </c>
      <c r="C99" s="307">
        <v>7.0000000000000007E-2</v>
      </c>
      <c r="D99" s="308">
        <v>0.5</v>
      </c>
      <c r="E99" s="309">
        <v>0.55000000000000004</v>
      </c>
      <c r="F99" s="309">
        <v>0.9</v>
      </c>
      <c r="G99" s="326">
        <v>2014</v>
      </c>
      <c r="H99" s="327" t="str">
        <f>VLOOKUP($A99,$E$54:$F$57,2,FALSE)</f>
        <v>£m 09/10</v>
      </c>
      <c r="I99" s="324" t="s">
        <v>271</v>
      </c>
      <c r="J99" s="424" t="s">
        <v>483</v>
      </c>
      <c r="K99" s="434">
        <f t="shared" si="19"/>
        <v>2.92E-2</v>
      </c>
      <c r="L99" s="432">
        <f t="shared" si="19"/>
        <v>2.7199999999999998E-2</v>
      </c>
      <c r="M99" s="432">
        <f t="shared" si="19"/>
        <v>2.5499999999999998E-2</v>
      </c>
      <c r="N99" s="432">
        <f t="shared" si="19"/>
        <v>2.3800000000000002E-2</v>
      </c>
      <c r="O99" s="432">
        <f t="shared" si="19"/>
        <v>2.2200000000000001E-2</v>
      </c>
      <c r="P99" s="432">
        <f t="shared" si="19"/>
        <v>1.9099999999999999E-2</v>
      </c>
      <c r="Q99" s="432">
        <f t="shared" si="19"/>
        <v>1.5800000000000002E-2</v>
      </c>
      <c r="R99" s="432">
        <f t="shared" si="19"/>
        <v>1.09E-2</v>
      </c>
      <c r="S99" s="554"/>
      <c r="T99" s="555"/>
    </row>
    <row r="100" spans="1:20">
      <c r="A100" s="59" t="s">
        <v>174</v>
      </c>
      <c r="B100" s="72" t="s">
        <v>61</v>
      </c>
      <c r="C100" s="310">
        <v>7.0000000000000007E-2</v>
      </c>
      <c r="D100" s="311">
        <v>0.5</v>
      </c>
      <c r="E100" s="312">
        <v>0.55000000000000004</v>
      </c>
      <c r="F100" s="312">
        <v>0.9</v>
      </c>
      <c r="G100" s="328">
        <v>2014</v>
      </c>
      <c r="H100" s="329" t="str">
        <f>VLOOKUP($A100,$E$54:$F$57,2,FALSE)</f>
        <v>£m 09/10</v>
      </c>
      <c r="I100" s="325" t="s">
        <v>271</v>
      </c>
      <c r="J100" s="424" t="s">
        <v>483</v>
      </c>
      <c r="K100" s="435">
        <f t="shared" ref="K100:R100" si="20">C$65</f>
        <v>2.92E-2</v>
      </c>
      <c r="L100" s="433">
        <f t="shared" si="20"/>
        <v>2.5000000000000001E-2</v>
      </c>
      <c r="M100" s="433">
        <f t="shared" si="20"/>
        <v>2.1499999999999998E-2</v>
      </c>
      <c r="N100" s="433">
        <f t="shared" si="20"/>
        <v>1.7899999999999999E-2</v>
      </c>
      <c r="O100" s="433">
        <f t="shared" si="20"/>
        <v>1.5100000000000001E-2</v>
      </c>
      <c r="P100" s="433">
        <f t="shared" si="20"/>
        <v>1.1599999999999999E-2</v>
      </c>
      <c r="Q100" s="433">
        <f t="shared" si="20"/>
        <v>1.0200000000000001E-2</v>
      </c>
      <c r="R100" s="433">
        <f t="shared" si="20"/>
        <v>7.6E-3</v>
      </c>
      <c r="S100" s="556"/>
      <c r="T100" s="557"/>
    </row>
    <row r="101" spans="1:20">
      <c r="I101" s="66"/>
    </row>
    <row r="102" spans="1:20">
      <c r="I102" s="66"/>
    </row>
    <row r="103" spans="1:20">
      <c r="I103" s="66"/>
    </row>
    <row r="104" spans="1:20">
      <c r="B104" s="14" t="s">
        <v>250</v>
      </c>
      <c r="D104" s="298"/>
      <c r="E104" s="298"/>
      <c r="F104" s="298"/>
      <c r="G104" s="298"/>
      <c r="H104" s="298"/>
      <c r="I104" s="298"/>
      <c r="J104" s="298"/>
    </row>
    <row r="105" spans="1:20">
      <c r="B105" s="14"/>
      <c r="C105" s="117">
        <v>2014</v>
      </c>
      <c r="D105" s="118">
        <f>C105+1</f>
        <v>2015</v>
      </c>
      <c r="E105" s="118">
        <f t="shared" ref="E105:J105" si="21">D105+1</f>
        <v>2016</v>
      </c>
      <c r="F105" s="118">
        <f>E105+1</f>
        <v>2017</v>
      </c>
      <c r="G105" s="118">
        <f t="shared" si="21"/>
        <v>2018</v>
      </c>
      <c r="H105" s="118">
        <f t="shared" si="21"/>
        <v>2019</v>
      </c>
      <c r="I105" s="118">
        <f t="shared" si="21"/>
        <v>2020</v>
      </c>
      <c r="J105" s="118">
        <f t="shared" si="21"/>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61"/>
      <c r="D115" s="561"/>
      <c r="E115" s="561"/>
      <c r="F115" s="561"/>
      <c r="G115" s="561"/>
      <c r="H115" s="561"/>
      <c r="I115" s="561"/>
      <c r="J115" s="561"/>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214</v>
      </c>
      <c r="C118" s="117">
        <v>2014</v>
      </c>
      <c r="D118" s="118">
        <f t="shared" ref="D118:L118" si="22">C118+1</f>
        <v>2015</v>
      </c>
      <c r="E118" s="118">
        <f t="shared" si="22"/>
        <v>2016</v>
      </c>
      <c r="F118" s="118">
        <f t="shared" si="22"/>
        <v>2017</v>
      </c>
      <c r="G118" s="118">
        <f t="shared" si="22"/>
        <v>2018</v>
      </c>
      <c r="H118" s="118">
        <f t="shared" si="22"/>
        <v>2019</v>
      </c>
      <c r="I118" s="118">
        <f t="shared" si="22"/>
        <v>2020</v>
      </c>
      <c r="J118" s="118">
        <f t="shared" si="22"/>
        <v>2021</v>
      </c>
      <c r="K118" s="118">
        <f t="shared" si="22"/>
        <v>2022</v>
      </c>
      <c r="L118" s="195">
        <f t="shared" si="22"/>
        <v>2023</v>
      </c>
      <c r="M118" s="31"/>
      <c r="N118" s="31"/>
      <c r="O118" s="31"/>
    </row>
    <row r="119" spans="2:15">
      <c r="B119" s="459" t="s">
        <v>43</v>
      </c>
      <c r="C119" s="558"/>
      <c r="D119" s="559"/>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60"/>
      <c r="D120" s="561"/>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60"/>
      <c r="D121" s="561"/>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60"/>
      <c r="D122" s="561"/>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60"/>
      <c r="D123" s="561"/>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60"/>
      <c r="D124" s="561"/>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60"/>
      <c r="D125" s="561"/>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60"/>
      <c r="D126" s="561"/>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60"/>
      <c r="D127" s="561"/>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60"/>
      <c r="D128" s="561"/>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246</v>
      </c>
      <c r="C129" s="560"/>
      <c r="D129" s="561"/>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247</v>
      </c>
      <c r="C130" s="560"/>
      <c r="D130" s="561"/>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248</v>
      </c>
      <c r="C131" s="560"/>
      <c r="D131" s="561"/>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249</v>
      </c>
      <c r="C132" s="560"/>
      <c r="D132" s="561"/>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61"/>
      <c r="L133" s="562"/>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61"/>
      <c r="L134" s="562"/>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61"/>
      <c r="L135" s="562"/>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61"/>
      <c r="L136" s="562"/>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61"/>
      <c r="L137" s="562"/>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61"/>
      <c r="L138" s="562"/>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61"/>
      <c r="L139" s="562"/>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61"/>
      <c r="L140" s="562"/>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61"/>
      <c r="L141" s="562"/>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61"/>
      <c r="L142" s="562"/>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61"/>
      <c r="L143" s="562"/>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61"/>
      <c r="L144" s="562"/>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61"/>
      <c r="L145" s="562"/>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3"/>
      <c r="L146" s="564"/>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tr">
        <f>LEFT('RFPR cover'!C6,2)</f>
        <v>ED</v>
      </c>
      <c r="C149" s="420"/>
      <c r="D149" s="420"/>
      <c r="E149" s="420"/>
      <c r="F149" s="420"/>
      <c r="G149" s="420"/>
      <c r="H149" s="420"/>
      <c r="I149" s="420"/>
      <c r="J149" s="420"/>
      <c r="K149" s="420"/>
      <c r="L149" s="421"/>
    </row>
    <row r="150" spans="1:15" ht="14.25" customHeight="1">
      <c r="A150" s="205"/>
      <c r="B150" s="456" t="s">
        <v>404</v>
      </c>
      <c r="C150" s="457"/>
      <c r="D150" s="457"/>
      <c r="E150" s="457"/>
      <c r="F150" s="455"/>
      <c r="G150" s="455"/>
      <c r="H150" s="455"/>
      <c r="I150" s="455"/>
      <c r="J150" s="455"/>
      <c r="K150" s="455"/>
      <c r="L150" s="455"/>
      <c r="M150" s="455"/>
      <c r="N150" s="455"/>
    </row>
    <row r="151" spans="1:15" s="31" customFormat="1" ht="14.25" customHeight="1">
      <c r="A151" s="792"/>
      <c r="B151" s="793"/>
      <c r="C151" s="794"/>
      <c r="D151" s="794"/>
      <c r="E151" s="794"/>
      <c r="F151" s="795"/>
      <c r="G151" s="795"/>
      <c r="H151" s="795"/>
      <c r="I151" s="795"/>
      <c r="J151" s="795"/>
      <c r="K151" s="795"/>
      <c r="L151" s="795"/>
      <c r="M151" s="795"/>
      <c r="N151" s="795"/>
    </row>
    <row r="152" spans="1:15">
      <c r="A152" s="203"/>
      <c r="B152" s="796" t="s">
        <v>410</v>
      </c>
      <c r="C152" s="206"/>
      <c r="D152" s="206"/>
      <c r="E152" s="797" t="b">
        <f>OR((LEFT('RFPR cover'!$C$6,2)=Data!F152),'RFPR cover'!$C$5=Data!F152)</f>
        <v>1</v>
      </c>
      <c r="F152" s="364" t="str">
        <f>B162</f>
        <v>ED</v>
      </c>
      <c r="G152" s="798"/>
    </row>
    <row r="153" spans="1:15">
      <c r="A153" s="203"/>
      <c r="B153" s="813" t="str">
        <f>CHOOSE(MATCH(TRUE,$E$152:$E$159,0),B163,B173,B183,E183,B193,E193,B203,E203)&amp;""</f>
        <v>Broad measure of customer service</v>
      </c>
      <c r="C153" s="206"/>
      <c r="D153" s="206"/>
      <c r="E153" s="799" t="b">
        <f>OR((LEFT('RFPR cover'!$C$6,2)=Data!F153),'RFPR cover'!$C$5=Data!F153)</f>
        <v>0</v>
      </c>
      <c r="F153" s="365" t="str">
        <f>B172</f>
        <v>GD</v>
      </c>
      <c r="G153" s="202"/>
    </row>
    <row r="154" spans="1:15">
      <c r="A154" s="203"/>
      <c r="B154" s="814" t="str">
        <f t="shared" ref="B154:B160" si="23">CHOOSE(MATCH(TRUE,$E$152:$E$159,0),B164,B174,B184,E184,B194,E194,B204,E204)&amp;""</f>
        <v>Interruptions-related quality of service</v>
      </c>
      <c r="C154" s="206"/>
      <c r="D154" s="206"/>
      <c r="E154" s="799" t="b">
        <f>OR((LEFT('RFPR cover'!$C$6,2)=Data!F154),'RFPR cover'!$C$5=Data!F154)</f>
        <v>0</v>
      </c>
      <c r="F154" s="812" t="str">
        <f>B182</f>
        <v>NGGT (TO)</v>
      </c>
      <c r="G154" s="202"/>
    </row>
    <row r="155" spans="1:15">
      <c r="A155" s="203"/>
      <c r="B155" s="814" t="str">
        <f t="shared" si="23"/>
        <v>Incentive on connections engagement</v>
      </c>
      <c r="C155" s="206"/>
      <c r="D155" s="206"/>
      <c r="E155" s="799" t="b">
        <f>OR((LEFT('RFPR cover'!$C$6,2)=Data!F155),'RFPR cover'!$C$5=Data!F155)</f>
        <v>0</v>
      </c>
      <c r="F155" s="800" t="str">
        <f>E182</f>
        <v>NGGT (SO)</v>
      </c>
      <c r="G155" s="202"/>
    </row>
    <row r="156" spans="1:15">
      <c r="A156" s="203"/>
      <c r="B156" s="814" t="str">
        <f t="shared" si="23"/>
        <v>Time to Connect Incentive</v>
      </c>
      <c r="C156" s="206"/>
      <c r="D156" s="206"/>
      <c r="E156" s="799" t="b">
        <f>OR((LEFT('RFPR cover'!$C$6,2)=Data!F156),'RFPR cover'!$C$5=Data!F156)</f>
        <v>0</v>
      </c>
      <c r="F156" s="800" t="str">
        <f>B192</f>
        <v>NGET (TO)</v>
      </c>
      <c r="G156" s="202"/>
    </row>
    <row r="157" spans="1:15">
      <c r="A157" s="203"/>
      <c r="B157" s="815" t="str">
        <f t="shared" si="23"/>
        <v>Losses discretionary reward scheme</v>
      </c>
      <c r="C157" s="206"/>
      <c r="D157" s="206"/>
      <c r="E157" s="799" t="b">
        <f>OR((LEFT('RFPR cover'!$C$6,2)=Data!F157),'RFPR cover'!$C$5=Data!F157)</f>
        <v>0</v>
      </c>
      <c r="F157" s="800" t="str">
        <f>E192</f>
        <v>NGESO</v>
      </c>
      <c r="G157" s="202"/>
    </row>
    <row r="158" spans="1:15">
      <c r="A158" s="203"/>
      <c r="B158" s="815" t="str">
        <f t="shared" si="23"/>
        <v/>
      </c>
      <c r="C158" s="206"/>
      <c r="D158" s="206"/>
      <c r="E158" s="799" t="b">
        <f>OR((LEFT('RFPR cover'!$C$6,2)=Data!F158),'RFPR cover'!$C$5=Data!F158)</f>
        <v>0</v>
      </c>
      <c r="F158" s="800" t="str">
        <f>B202</f>
        <v>SPT</v>
      </c>
      <c r="G158" s="202"/>
    </row>
    <row r="159" spans="1:15">
      <c r="A159" s="203"/>
      <c r="B159" s="815" t="str">
        <f t="shared" si="23"/>
        <v/>
      </c>
      <c r="C159" s="206"/>
      <c r="D159" s="206"/>
      <c r="E159" s="801" t="b">
        <f>OR((LEFT('RFPR cover'!$C$6,2)=Data!F159),'RFPR cover'!$C$5=Data!F159)</f>
        <v>0</v>
      </c>
      <c r="F159" s="802" t="str">
        <f>E202</f>
        <v>SHET</v>
      </c>
      <c r="G159" s="297"/>
    </row>
    <row r="160" spans="1:15">
      <c r="A160" s="203"/>
      <c r="B160" s="206" t="str">
        <f t="shared" si="23"/>
        <v/>
      </c>
      <c r="C160" s="206"/>
      <c r="D160" s="206"/>
      <c r="E160" s="58"/>
      <c r="F160" s="800"/>
      <c r="G160" s="42"/>
    </row>
    <row r="161" spans="1:7">
      <c r="A161" s="203"/>
      <c r="B161" s="206"/>
      <c r="C161" s="206"/>
      <c r="D161" s="206"/>
      <c r="E161" s="58"/>
      <c r="F161" s="800"/>
      <c r="G161" s="42"/>
    </row>
    <row r="162" spans="1:7" ht="12" customHeight="1">
      <c r="A162" s="203"/>
      <c r="B162" s="967" t="s">
        <v>172</v>
      </c>
      <c r="C162" s="963"/>
      <c r="D162" s="206"/>
      <c r="E162" s="206"/>
    </row>
    <row r="163" spans="1:7">
      <c r="A163" s="203"/>
      <c r="B163" s="968" t="s">
        <v>405</v>
      </c>
      <c r="C163" s="969"/>
      <c r="D163" s="206"/>
      <c r="E163" s="206"/>
    </row>
    <row r="164" spans="1:7">
      <c r="A164" s="203"/>
      <c r="B164" s="968" t="s">
        <v>406</v>
      </c>
      <c r="C164" s="969"/>
      <c r="D164" s="206"/>
      <c r="E164" s="206"/>
    </row>
    <row r="165" spans="1:7">
      <c r="A165" s="203"/>
      <c r="B165" s="970" t="s">
        <v>407</v>
      </c>
      <c r="C165" s="971"/>
      <c r="D165" s="206"/>
      <c r="E165" s="206"/>
    </row>
    <row r="166" spans="1:7">
      <c r="A166" s="203"/>
      <c r="B166" s="970" t="s">
        <v>408</v>
      </c>
      <c r="C166" s="971"/>
      <c r="D166" s="206"/>
      <c r="E166" s="206"/>
    </row>
    <row r="167" spans="1:7">
      <c r="A167" s="203"/>
      <c r="B167" s="970" t="s">
        <v>409</v>
      </c>
      <c r="C167" s="971"/>
      <c r="D167" s="206"/>
      <c r="E167" s="206"/>
    </row>
    <row r="168" spans="1:7">
      <c r="A168" s="203"/>
      <c r="B168" s="970"/>
      <c r="C168" s="971"/>
      <c r="D168" s="206"/>
      <c r="E168" s="206"/>
    </row>
    <row r="169" spans="1:7">
      <c r="A169" s="203"/>
      <c r="B169" s="970"/>
      <c r="C169" s="971"/>
      <c r="D169" s="206"/>
      <c r="E169" s="206"/>
    </row>
    <row r="170" spans="1:7">
      <c r="A170" s="203"/>
      <c r="B170" s="206"/>
      <c r="C170" s="206"/>
      <c r="D170" s="206"/>
      <c r="E170" s="206"/>
    </row>
    <row r="171" spans="1:7">
      <c r="A171" s="203"/>
      <c r="B171" s="206"/>
      <c r="C171" s="206"/>
      <c r="D171" s="206"/>
      <c r="E171" s="206"/>
    </row>
    <row r="172" spans="1:7">
      <c r="A172" s="203"/>
      <c r="B172" s="967" t="s">
        <v>173</v>
      </c>
      <c r="C172" s="963"/>
      <c r="D172" s="206"/>
      <c r="E172" s="206"/>
    </row>
    <row r="173" spans="1:7" ht="12.75" customHeight="1">
      <c r="A173" s="203"/>
      <c r="B173" s="964" t="s">
        <v>223</v>
      </c>
      <c r="C173" s="966"/>
      <c r="D173" s="206"/>
      <c r="E173" s="206"/>
    </row>
    <row r="174" spans="1:7" ht="12.75" customHeight="1">
      <c r="A174" s="203"/>
      <c r="B174" s="958" t="s">
        <v>224</v>
      </c>
      <c r="C174" s="960"/>
      <c r="D174" s="206"/>
      <c r="E174" s="206"/>
    </row>
    <row r="175" spans="1:7" ht="12.75" customHeight="1">
      <c r="A175" s="203"/>
      <c r="B175" s="958" t="s">
        <v>225</v>
      </c>
      <c r="C175" s="960"/>
      <c r="D175" s="206"/>
      <c r="E175" s="206"/>
    </row>
    <row r="176" spans="1:7" ht="12.75" customHeight="1">
      <c r="A176" s="203"/>
      <c r="B176" s="958" t="s">
        <v>226</v>
      </c>
      <c r="C176" s="960"/>
      <c r="D176" s="206"/>
      <c r="E176" s="206"/>
    </row>
    <row r="177" spans="1:9" ht="12.75" customHeight="1">
      <c r="A177" s="203"/>
      <c r="B177" s="955" t="s">
        <v>308</v>
      </c>
      <c r="C177" s="957"/>
      <c r="D177" s="206"/>
      <c r="E177" s="206"/>
    </row>
    <row r="178" spans="1:9" ht="12.75" customHeight="1">
      <c r="A178" s="203"/>
      <c r="B178" s="955"/>
      <c r="C178" s="957"/>
      <c r="D178" s="206"/>
      <c r="E178" s="206"/>
    </row>
    <row r="179" spans="1:9" ht="12.75" customHeight="1">
      <c r="A179" s="203"/>
      <c r="B179" s="955"/>
      <c r="C179" s="957"/>
      <c r="D179" s="206"/>
      <c r="E179" s="206"/>
    </row>
    <row r="180" spans="1:9">
      <c r="A180" s="203"/>
      <c r="B180" s="206"/>
      <c r="C180" s="206"/>
      <c r="D180" s="206"/>
      <c r="E180" s="206"/>
    </row>
    <row r="181" spans="1:9">
      <c r="A181" s="203"/>
      <c r="B181" s="206"/>
      <c r="C181" s="206"/>
      <c r="D181" s="206"/>
      <c r="E181" s="206"/>
    </row>
    <row r="182" spans="1:9">
      <c r="A182" s="203"/>
      <c r="B182" s="961" t="str">
        <f>B95</f>
        <v>NGGT (TO)</v>
      </c>
      <c r="C182" s="993"/>
      <c r="D182" s="206"/>
      <c r="E182" s="961" t="str">
        <f>B96</f>
        <v>NGGT (SO)</v>
      </c>
      <c r="F182" s="962"/>
      <c r="G182" s="962"/>
      <c r="H182" s="962"/>
      <c r="I182" s="963"/>
    </row>
    <row r="183" spans="1:9" ht="12.45" customHeight="1">
      <c r="A183" s="203"/>
      <c r="B183" s="964" t="s">
        <v>219</v>
      </c>
      <c r="C183" s="966"/>
      <c r="D183" s="206"/>
      <c r="E183" s="958" t="s">
        <v>557</v>
      </c>
      <c r="F183" s="959" t="s">
        <v>557</v>
      </c>
      <c r="G183" s="959" t="s">
        <v>557</v>
      </c>
      <c r="H183" s="959" t="s">
        <v>557</v>
      </c>
      <c r="I183" s="960" t="s">
        <v>557</v>
      </c>
    </row>
    <row r="184" spans="1:9" ht="12.45" customHeight="1">
      <c r="A184" s="203"/>
      <c r="B184" s="958" t="s">
        <v>227</v>
      </c>
      <c r="C184" s="960"/>
      <c r="D184" s="206"/>
      <c r="E184" s="958" t="s">
        <v>558</v>
      </c>
      <c r="F184" s="959" t="s">
        <v>558</v>
      </c>
      <c r="G184" s="959" t="s">
        <v>558</v>
      </c>
      <c r="H184" s="959" t="s">
        <v>558</v>
      </c>
      <c r="I184" s="960" t="s">
        <v>558</v>
      </c>
    </row>
    <row r="185" spans="1:9" ht="12.45" customHeight="1">
      <c r="A185" s="203"/>
      <c r="B185" s="958"/>
      <c r="C185" s="960"/>
      <c r="D185" s="206"/>
      <c r="E185" s="958" t="s">
        <v>559</v>
      </c>
      <c r="F185" s="959" t="s">
        <v>559</v>
      </c>
      <c r="G185" s="959" t="s">
        <v>559</v>
      </c>
      <c r="H185" s="959" t="s">
        <v>559</v>
      </c>
      <c r="I185" s="960" t="s">
        <v>559</v>
      </c>
    </row>
    <row r="186" spans="1:9" ht="12.45" customHeight="1">
      <c r="A186" s="203"/>
      <c r="B186" s="958"/>
      <c r="C186" s="960"/>
      <c r="D186" s="206"/>
      <c r="E186" s="958" t="s">
        <v>560</v>
      </c>
      <c r="F186" s="959" t="s">
        <v>560</v>
      </c>
      <c r="G186" s="959" t="s">
        <v>560</v>
      </c>
      <c r="H186" s="959" t="s">
        <v>560</v>
      </c>
      <c r="I186" s="960" t="s">
        <v>560</v>
      </c>
    </row>
    <row r="187" spans="1:9" ht="12.45" customHeight="1">
      <c r="A187" s="203"/>
      <c r="B187" s="955"/>
      <c r="C187" s="957"/>
      <c r="D187" s="206"/>
      <c r="E187" s="958" t="s">
        <v>561</v>
      </c>
      <c r="F187" s="959" t="s">
        <v>561</v>
      </c>
      <c r="G187" s="959" t="s">
        <v>561</v>
      </c>
      <c r="H187" s="959" t="s">
        <v>561</v>
      </c>
      <c r="I187" s="960" t="s">
        <v>561</v>
      </c>
    </row>
    <row r="188" spans="1:9" ht="12.45" customHeight="1">
      <c r="A188" s="203"/>
      <c r="B188" s="955"/>
      <c r="C188" s="957"/>
      <c r="D188" s="206"/>
      <c r="E188" s="958" t="s">
        <v>562</v>
      </c>
      <c r="F188" s="959" t="s">
        <v>562</v>
      </c>
      <c r="G188" s="959" t="s">
        <v>562</v>
      </c>
      <c r="H188" s="959" t="s">
        <v>562</v>
      </c>
      <c r="I188" s="960" t="s">
        <v>562</v>
      </c>
    </row>
    <row r="189" spans="1:9" ht="12.45" customHeight="1">
      <c r="A189" s="203"/>
      <c r="B189" s="955"/>
      <c r="C189" s="957"/>
      <c r="D189" s="206"/>
      <c r="E189" s="958" t="s">
        <v>563</v>
      </c>
      <c r="F189" s="959" t="s">
        <v>563</v>
      </c>
      <c r="G189" s="959" t="s">
        <v>563</v>
      </c>
      <c r="H189" s="959" t="s">
        <v>563</v>
      </c>
      <c r="I189" s="960" t="s">
        <v>563</v>
      </c>
    </row>
    <row r="190" spans="1:9">
      <c r="A190" s="203"/>
      <c r="B190" s="206"/>
      <c r="C190" s="206"/>
      <c r="D190" s="206"/>
      <c r="E190" s="206"/>
    </row>
    <row r="191" spans="1:9">
      <c r="A191" s="203"/>
      <c r="B191" s="206"/>
      <c r="C191" s="206"/>
      <c r="D191" s="206"/>
      <c r="E191" s="206"/>
    </row>
    <row r="192" spans="1:9">
      <c r="A192" s="203"/>
      <c r="B192" s="961" t="str">
        <f>B97</f>
        <v>NGET (TO)</v>
      </c>
      <c r="C192" s="993"/>
      <c r="D192" s="206"/>
      <c r="E192" s="961" t="str">
        <f>B98</f>
        <v>NGESO</v>
      </c>
      <c r="F192" s="962"/>
      <c r="G192" s="962"/>
      <c r="H192" s="962"/>
      <c r="I192" s="963"/>
    </row>
    <row r="193" spans="1:9" ht="12.75" customHeight="1">
      <c r="A193" s="203"/>
      <c r="B193" s="964" t="s">
        <v>218</v>
      </c>
      <c r="C193" s="966"/>
      <c r="D193" s="206"/>
      <c r="E193" s="958" t="s">
        <v>564</v>
      </c>
      <c r="F193" s="959" t="s">
        <v>564</v>
      </c>
      <c r="G193" s="959" t="s">
        <v>564</v>
      </c>
      <c r="H193" s="959" t="s">
        <v>564</v>
      </c>
      <c r="I193" s="960" t="s">
        <v>564</v>
      </c>
    </row>
    <row r="194" spans="1:9" ht="12.75" customHeight="1">
      <c r="A194" s="203"/>
      <c r="B194" s="958" t="s">
        <v>219</v>
      </c>
      <c r="C194" s="960"/>
      <c r="D194" s="206"/>
      <c r="E194" s="958" t="s">
        <v>565</v>
      </c>
      <c r="F194" s="959" t="s">
        <v>565</v>
      </c>
      <c r="G194" s="959" t="s">
        <v>565</v>
      </c>
      <c r="H194" s="959" t="s">
        <v>565</v>
      </c>
      <c r="I194" s="960" t="s">
        <v>565</v>
      </c>
    </row>
    <row r="195" spans="1:9" ht="12.75" customHeight="1">
      <c r="A195" s="203"/>
      <c r="B195" s="958" t="s">
        <v>220</v>
      </c>
      <c r="C195" s="960"/>
      <c r="D195" s="206"/>
      <c r="E195" s="958" t="s">
        <v>566</v>
      </c>
      <c r="F195" s="959" t="s">
        <v>566</v>
      </c>
      <c r="G195" s="959" t="s">
        <v>566</v>
      </c>
      <c r="H195" s="959" t="s">
        <v>566</v>
      </c>
      <c r="I195" s="960" t="s">
        <v>566</v>
      </c>
    </row>
    <row r="196" spans="1:9" ht="12.75" customHeight="1">
      <c r="A196" s="203"/>
      <c r="B196" s="958" t="s">
        <v>221</v>
      </c>
      <c r="C196" s="960"/>
      <c r="D196" s="206"/>
      <c r="E196" s="958" t="s">
        <v>580</v>
      </c>
      <c r="F196" s="959"/>
      <c r="G196" s="959"/>
      <c r="H196" s="959"/>
      <c r="I196" s="960"/>
    </row>
    <row r="197" spans="1:9" ht="12.75" customHeight="1">
      <c r="A197" s="203"/>
      <c r="B197" s="955"/>
      <c r="C197" s="957"/>
      <c r="D197" s="206"/>
      <c r="E197" s="955"/>
      <c r="F197" s="956"/>
      <c r="G197" s="956"/>
      <c r="H197" s="956"/>
      <c r="I197" s="957"/>
    </row>
    <row r="198" spans="1:9" ht="12.75" customHeight="1">
      <c r="A198" s="203"/>
      <c r="B198" s="955"/>
      <c r="C198" s="957"/>
      <c r="D198" s="206"/>
      <c r="E198" s="955"/>
      <c r="F198" s="956"/>
      <c r="G198" s="956"/>
      <c r="H198" s="956"/>
      <c r="I198" s="957"/>
    </row>
    <row r="199" spans="1:9" ht="12.75" customHeight="1">
      <c r="A199" s="203"/>
      <c r="B199" s="955"/>
      <c r="C199" s="957"/>
      <c r="D199" s="206"/>
      <c r="E199" s="955"/>
      <c r="F199" s="956"/>
      <c r="G199" s="956"/>
      <c r="H199" s="956"/>
      <c r="I199" s="957"/>
    </row>
    <row r="200" spans="1:9" s="31" customFormat="1" ht="12.75" customHeight="1">
      <c r="A200" s="789"/>
      <c r="B200" s="789"/>
      <c r="C200" s="789"/>
      <c r="D200" s="790"/>
      <c r="E200" s="791"/>
      <c r="F200" s="791"/>
      <c r="G200" s="791"/>
      <c r="H200" s="791"/>
      <c r="I200" s="791"/>
    </row>
    <row r="201" spans="1:9" s="31" customFormat="1" ht="12.75" customHeight="1">
      <c r="A201" s="789"/>
      <c r="B201" s="789"/>
      <c r="C201" s="789"/>
      <c r="D201" s="790"/>
      <c r="E201" s="791"/>
      <c r="F201" s="791"/>
      <c r="G201" s="791"/>
      <c r="H201" s="791"/>
      <c r="I201" s="791"/>
    </row>
    <row r="202" spans="1:9">
      <c r="A202" s="203"/>
      <c r="B202" s="961" t="str">
        <f>B145</f>
        <v>SPT</v>
      </c>
      <c r="C202" s="993"/>
      <c r="D202" s="206"/>
      <c r="E202" s="961" t="str">
        <f>B100</f>
        <v>SHET</v>
      </c>
      <c r="F202" s="962"/>
      <c r="G202" s="962"/>
      <c r="H202" s="962"/>
      <c r="I202" s="963"/>
    </row>
    <row r="203" spans="1:9" ht="12.75" customHeight="1">
      <c r="A203" s="203"/>
      <c r="B203" s="964" t="s">
        <v>218</v>
      </c>
      <c r="C203" s="966"/>
      <c r="D203" s="206"/>
      <c r="E203" s="964" t="s">
        <v>218</v>
      </c>
      <c r="F203" s="965"/>
      <c r="G203" s="965"/>
      <c r="H203" s="965"/>
      <c r="I203" s="966"/>
    </row>
    <row r="204" spans="1:9" ht="12.75" customHeight="1">
      <c r="A204" s="203"/>
      <c r="B204" s="958" t="s">
        <v>219</v>
      </c>
      <c r="C204" s="960"/>
      <c r="D204" s="206"/>
      <c r="E204" s="958" t="s">
        <v>219</v>
      </c>
      <c r="F204" s="959"/>
      <c r="G204" s="959"/>
      <c r="H204" s="959"/>
      <c r="I204" s="960"/>
    </row>
    <row r="205" spans="1:9" ht="12.75" customHeight="1">
      <c r="A205" s="203"/>
      <c r="B205" s="958" t="s">
        <v>220</v>
      </c>
      <c r="C205" s="960"/>
      <c r="D205" s="206"/>
      <c r="E205" s="958" t="s">
        <v>220</v>
      </c>
      <c r="F205" s="959"/>
      <c r="G205" s="959"/>
      <c r="H205" s="959"/>
      <c r="I205" s="960"/>
    </row>
    <row r="206" spans="1:9" ht="12.75" customHeight="1">
      <c r="A206" s="203"/>
      <c r="B206" s="958" t="s">
        <v>221</v>
      </c>
      <c r="C206" s="960"/>
      <c r="D206" s="206"/>
      <c r="E206" s="958" t="s">
        <v>221</v>
      </c>
      <c r="F206" s="959"/>
      <c r="G206" s="959"/>
      <c r="H206" s="959"/>
      <c r="I206" s="960"/>
    </row>
    <row r="207" spans="1:9" ht="12.75" customHeight="1">
      <c r="A207" s="203"/>
      <c r="B207" s="955" t="s">
        <v>222</v>
      </c>
      <c r="C207" s="957"/>
      <c r="D207" s="206"/>
      <c r="E207" s="955" t="s">
        <v>222</v>
      </c>
      <c r="F207" s="956"/>
      <c r="G207" s="956"/>
      <c r="H207" s="956"/>
      <c r="I207" s="957"/>
    </row>
    <row r="208" spans="1:9" ht="12.75" customHeight="1">
      <c r="A208" s="203"/>
      <c r="B208" s="955"/>
      <c r="C208" s="957"/>
      <c r="D208" s="206"/>
      <c r="E208" s="955"/>
      <c r="F208" s="956"/>
      <c r="G208" s="956"/>
      <c r="H208" s="956"/>
      <c r="I208" s="957"/>
    </row>
    <row r="209" spans="1:14" ht="12.75" customHeight="1">
      <c r="A209" s="203"/>
      <c r="B209" s="955"/>
      <c r="C209" s="957"/>
      <c r="D209" s="206"/>
      <c r="E209" s="955"/>
      <c r="F209" s="956"/>
      <c r="G209" s="956"/>
      <c r="H209" s="956"/>
      <c r="I209" s="957"/>
    </row>
    <row r="210" spans="1:14">
      <c r="A210" s="203"/>
      <c r="D210" s="206"/>
      <c r="E210" s="206"/>
    </row>
    <row r="211" spans="1:14">
      <c r="A211" s="203"/>
      <c r="D211" s="206"/>
      <c r="E211" s="206"/>
    </row>
    <row r="212" spans="1:14" ht="12.75" customHeight="1">
      <c r="A212" s="203"/>
      <c r="B212" s="992" t="s">
        <v>240</v>
      </c>
      <c r="C212" s="992"/>
      <c r="D212" s="992"/>
      <c r="E212" s="285"/>
      <c r="F212" s="217"/>
      <c r="G212" s="217"/>
      <c r="H212" s="217"/>
      <c r="I212" s="217"/>
      <c r="J212" s="217"/>
      <c r="K212" s="217"/>
      <c r="L212" s="217"/>
      <c r="M212" s="217"/>
      <c r="N212" s="217"/>
    </row>
    <row r="213" spans="1:14">
      <c r="A213" s="203"/>
      <c r="B213" s="206"/>
      <c r="C213" s="206"/>
      <c r="D213" s="206"/>
      <c r="E213" s="206"/>
    </row>
    <row r="214" spans="1:14" ht="25.2">
      <c r="A214" s="203"/>
      <c r="B214" s="208" t="s">
        <v>129</v>
      </c>
      <c r="C214" s="207" t="s">
        <v>208</v>
      </c>
      <c r="D214" s="206"/>
      <c r="E214" s="206"/>
    </row>
    <row r="215" spans="1:14" ht="25.2">
      <c r="A215" s="203"/>
      <c r="B215" s="209" t="s">
        <v>130</v>
      </c>
      <c r="C215" s="290" t="s">
        <v>209</v>
      </c>
      <c r="D215" s="206"/>
      <c r="E215" s="206"/>
    </row>
    <row r="216" spans="1:14">
      <c r="B216" s="305"/>
      <c r="C216" s="42"/>
      <c r="D216" s="42"/>
      <c r="E216" s="42"/>
      <c r="F216" s="42"/>
      <c r="G216" s="42"/>
      <c r="H216" s="42"/>
      <c r="I216" s="42"/>
      <c r="J216" s="42"/>
    </row>
    <row r="217" spans="1:14">
      <c r="B217" s="204"/>
      <c r="I217" s="66"/>
    </row>
    <row r="218" spans="1:14">
      <c r="B218" s="805" t="s">
        <v>412</v>
      </c>
      <c r="I218" s="66"/>
    </row>
    <row r="219" spans="1:14">
      <c r="B219" s="807" t="s">
        <v>290</v>
      </c>
    </row>
    <row r="220" spans="1:14">
      <c r="B220" s="808" t="s">
        <v>289</v>
      </c>
    </row>
    <row r="221" spans="1:14">
      <c r="B221" s="811" t="s">
        <v>287</v>
      </c>
    </row>
    <row r="222" spans="1:14">
      <c r="B222" s="809"/>
    </row>
    <row r="223" spans="1:14">
      <c r="B223" s="213"/>
    </row>
    <row r="224" spans="1:14">
      <c r="B224" s="806" t="s">
        <v>285</v>
      </c>
    </row>
    <row r="225" spans="2:2">
      <c r="B225" s="810" t="s">
        <v>413</v>
      </c>
    </row>
    <row r="226" spans="2:2">
      <c r="B226" s="808" t="s">
        <v>414</v>
      </c>
    </row>
    <row r="227" spans="2:2">
      <c r="B227" s="808" t="s">
        <v>296</v>
      </c>
    </row>
    <row r="228" spans="2:2">
      <c r="B228" s="808" t="s">
        <v>415</v>
      </c>
    </row>
    <row r="229" spans="2:2">
      <c r="B229" s="808" t="s">
        <v>416</v>
      </c>
    </row>
    <row r="230" spans="2:2">
      <c r="B230" s="808" t="s">
        <v>288</v>
      </c>
    </row>
    <row r="231" spans="2:2">
      <c r="B231" s="808" t="s">
        <v>417</v>
      </c>
    </row>
    <row r="232" spans="2:2">
      <c r="B232" s="808"/>
    </row>
    <row r="233" spans="2:2">
      <c r="B233" s="809"/>
    </row>
    <row r="234" spans="2:2">
      <c r="B234" s="213"/>
    </row>
    <row r="235" spans="2:2">
      <c r="B235" s="806" t="s">
        <v>295</v>
      </c>
    </row>
    <row r="236" spans="2:2">
      <c r="B236" s="810" t="s">
        <v>418</v>
      </c>
    </row>
    <row r="237" spans="2:2">
      <c r="B237" s="808" t="s">
        <v>419</v>
      </c>
    </row>
    <row r="238" spans="2:2">
      <c r="B238" s="808" t="s">
        <v>420</v>
      </c>
    </row>
    <row r="239" spans="2:2">
      <c r="B239" s="808" t="s">
        <v>421</v>
      </c>
    </row>
    <row r="240" spans="2:2">
      <c r="B240" s="808" t="s">
        <v>422</v>
      </c>
    </row>
    <row r="241" spans="2:2">
      <c r="B241" s="809"/>
    </row>
    <row r="242" spans="2:2">
      <c r="B242" s="213"/>
    </row>
    <row r="243" spans="2:2">
      <c r="B243" s="806" t="s">
        <v>423</v>
      </c>
    </row>
    <row r="244" spans="2:2">
      <c r="B244" s="810" t="s">
        <v>424</v>
      </c>
    </row>
    <row r="245" spans="2:2">
      <c r="B245" s="808" t="s">
        <v>425</v>
      </c>
    </row>
    <row r="246" spans="2:2">
      <c r="B246" s="809"/>
    </row>
    <row r="247" spans="2:2">
      <c r="B247" s="213"/>
    </row>
    <row r="248" spans="2:2">
      <c r="B248" s="806" t="s">
        <v>426</v>
      </c>
    </row>
    <row r="249" spans="2:2">
      <c r="B249" s="810" t="s">
        <v>467</v>
      </c>
    </row>
    <row r="250" spans="2:2">
      <c r="B250" s="808" t="s">
        <v>466</v>
      </c>
    </row>
    <row r="251" spans="2:2">
      <c r="B251" s="809" t="s">
        <v>270</v>
      </c>
    </row>
    <row r="252" spans="2:2">
      <c r="B252" s="213"/>
    </row>
    <row r="253" spans="2:2">
      <c r="B253" s="806" t="s">
        <v>286</v>
      </c>
    </row>
    <row r="254" spans="2:2">
      <c r="B254" s="810" t="s">
        <v>427</v>
      </c>
    </row>
    <row r="255" spans="2:2">
      <c r="B255" s="808" t="s">
        <v>471</v>
      </c>
    </row>
    <row r="256" spans="2:2">
      <c r="B256" s="808"/>
    </row>
    <row r="257" spans="2:2">
      <c r="B257" s="809"/>
    </row>
    <row r="258" spans="2:2">
      <c r="B258" s="213"/>
    </row>
    <row r="259" spans="2:2">
      <c r="B259" s="806" t="s">
        <v>291</v>
      </c>
    </row>
    <row r="260" spans="2:2">
      <c r="B260" s="810" t="s">
        <v>292</v>
      </c>
    </row>
    <row r="261" spans="2:2">
      <c r="B261" s="808" t="s">
        <v>297</v>
      </c>
    </row>
    <row r="262" spans="2:2">
      <c r="B262" s="808"/>
    </row>
    <row r="263" spans="2:2">
      <c r="B263" s="809"/>
    </row>
    <row r="264" spans="2:2">
      <c r="B264" s="213"/>
    </row>
    <row r="265" spans="2:2">
      <c r="B265" s="806" t="s">
        <v>428</v>
      </c>
    </row>
    <row r="266" spans="2:2">
      <c r="B266" s="810" t="s">
        <v>290</v>
      </c>
    </row>
    <row r="267" spans="2:2">
      <c r="B267" s="808" t="s">
        <v>289</v>
      </c>
    </row>
    <row r="268" spans="2:2">
      <c r="B268" s="809"/>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101" priority="21">
      <formula>AND(#REF!="Actuals",#REF!="Forecast")</formula>
    </cfRule>
  </conditionalFormatting>
  <conditionalFormatting sqref="C47">
    <cfRule type="expression" dxfId="100" priority="19">
      <formula>AND(#REF!="Actuals",#REF!="Forecast")</formula>
    </cfRule>
  </conditionalFormatting>
  <conditionalFormatting sqref="C50:J50">
    <cfRule type="expression" dxfId="99" priority="18">
      <formula>AND(#REF!="Actuals",#REF!="Forecast")</formula>
    </cfRule>
  </conditionalFormatting>
  <conditionalFormatting sqref="B14:D30">
    <cfRule type="cellIs" dxfId="98" priority="15" operator="equal">
      <formula>"Forecast"</formula>
    </cfRule>
  </conditionalFormatting>
  <conditionalFormatting sqref="B23:C30">
    <cfRule type="expression" dxfId="97" priority="112">
      <formula>$D13="Forecast"</formula>
    </cfRule>
  </conditionalFormatting>
  <conditionalFormatting sqref="K71">
    <cfRule type="expression" dxfId="96" priority="6">
      <formula>AND(#REF!="Actuals",#REF!="Forecast")</formula>
    </cfRule>
  </conditionalFormatting>
  <conditionalFormatting sqref="K72:T72">
    <cfRule type="expression" dxfId="95" priority="5">
      <formula>AND(#REF!="Actuals",#REF!="Forecast")</formula>
    </cfRule>
  </conditionalFormatting>
  <conditionalFormatting sqref="C62:L62">
    <cfRule type="expression" dxfId="94" priority="4">
      <formula>AND(#REF!="Actuals",#REF!="Forecast")</formula>
    </cfRule>
  </conditionalFormatting>
  <conditionalFormatting sqref="C118:L118">
    <cfRule type="expression" dxfId="93" priority="2">
      <formula>AND(#REF!="Actuals",#REF!="Forecast")</formula>
    </cfRule>
  </conditionalFormatting>
  <conditionalFormatting sqref="E26:F27">
    <cfRule type="expression" dxfId="92" priority="1">
      <formula>$D16="Forecast"</formula>
    </cfRule>
  </conditionalFormatting>
  <hyperlinks>
    <hyperlink ref="K39" r:id="rId1" display="August 2018 Publication"/>
    <hyperlink ref="K39:M39" r:id="rId2" display="May 2021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70" zoomScaleNormal="70" workbookViewId="0">
      <pane ySplit="3" topLeftCell="A4" activePane="bottomLeft" state="frozen"/>
      <selection activeCell="A3" sqref="A3"/>
      <selection pane="bottomLeft" activeCell="A3" sqref="A3"/>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901" t="s">
        <v>83</v>
      </c>
      <c r="B1" s="901"/>
      <c r="C1" s="901"/>
      <c r="D1" s="901"/>
      <c r="E1" s="901"/>
      <c r="F1" s="901"/>
      <c r="G1" s="901"/>
      <c r="H1" s="901"/>
      <c r="I1" s="32" t="s">
        <v>84</v>
      </c>
      <c r="J1" s="33"/>
      <c r="K1" s="33"/>
      <c r="L1" s="33"/>
      <c r="M1" s="33"/>
    </row>
    <row r="2" spans="1:14" s="31" customFormat="1" ht="21">
      <c r="A2" s="901" t="str">
        <f>'RFPR cover'!C5</f>
        <v>WPD-SWALES</v>
      </c>
      <c r="B2" s="901"/>
      <c r="C2" s="901"/>
      <c r="D2" s="901"/>
      <c r="E2" s="901"/>
      <c r="F2" s="901"/>
      <c r="G2" s="901"/>
      <c r="H2" s="901"/>
      <c r="I2" s="33"/>
      <c r="J2" s="33"/>
      <c r="K2" s="33"/>
      <c r="L2" s="33"/>
      <c r="M2" s="33"/>
      <c r="N2" s="365"/>
    </row>
    <row r="3" spans="1:14" s="31" customFormat="1" ht="21">
      <c r="A3" s="901">
        <f>'RFPR cover'!C7</f>
        <v>2021</v>
      </c>
      <c r="B3" s="901"/>
      <c r="C3" s="901"/>
      <c r="D3" s="901"/>
      <c r="E3" s="901"/>
      <c r="F3" s="901"/>
      <c r="G3" s="901"/>
      <c r="H3" s="901"/>
      <c r="I3" s="33"/>
      <c r="J3" s="33"/>
      <c r="K3" s="33"/>
      <c r="L3" s="33"/>
      <c r="M3" s="33"/>
      <c r="N3" s="365"/>
    </row>
    <row r="4" spans="1:14">
      <c r="A4" s="24"/>
      <c r="B4" s="24"/>
      <c r="C4" s="24"/>
      <c r="D4" s="24"/>
      <c r="E4" s="24"/>
      <c r="F4" s="24"/>
      <c r="G4" s="24"/>
      <c r="H4" s="24"/>
      <c r="I4" s="546"/>
      <c r="J4" s="546"/>
      <c r="K4" s="546"/>
      <c r="L4" s="546"/>
      <c r="M4" s="546"/>
      <c r="N4" s="42"/>
    </row>
    <row r="5" spans="1:14">
      <c r="A5" s="24"/>
      <c r="B5" s="24"/>
      <c r="C5" s="24"/>
      <c r="D5" s="24"/>
      <c r="E5" s="24"/>
      <c r="F5" s="24"/>
      <c r="G5" s="24"/>
      <c r="H5" s="24"/>
      <c r="I5" s="546"/>
      <c r="J5" s="546"/>
      <c r="K5" s="546"/>
      <c r="L5" s="546"/>
      <c r="M5" s="546"/>
      <c r="N5" s="42"/>
    </row>
    <row r="6" spans="1:14">
      <c r="A6" s="24"/>
      <c r="B6" s="25" t="s">
        <v>85</v>
      </c>
      <c r="C6" s="24"/>
      <c r="D6" s="24"/>
      <c r="E6" s="24"/>
      <c r="F6" s="24"/>
      <c r="G6" s="24"/>
      <c r="H6" s="24"/>
      <c r="I6" s="546"/>
      <c r="J6" s="546"/>
      <c r="K6" s="546"/>
      <c r="L6" s="546"/>
      <c r="M6" s="546"/>
      <c r="N6" s="42"/>
    </row>
    <row r="7" spans="1:14">
      <c r="A7" s="24"/>
      <c r="B7" s="24"/>
      <c r="C7" s="24"/>
      <c r="D7" s="24"/>
      <c r="E7" s="24"/>
      <c r="F7" s="24"/>
      <c r="G7" s="24"/>
      <c r="H7" s="24"/>
      <c r="I7" s="546"/>
      <c r="J7" s="546"/>
      <c r="K7" s="546"/>
      <c r="L7" s="546"/>
      <c r="M7" s="546"/>
      <c r="N7" s="42"/>
    </row>
    <row r="8" spans="1:14">
      <c r="A8" s="24"/>
      <c r="B8" s="46" t="s">
        <v>86</v>
      </c>
      <c r="C8" s="46" t="s">
        <v>87</v>
      </c>
      <c r="D8" s="996" t="s">
        <v>88</v>
      </c>
      <c r="E8" s="997"/>
      <c r="F8" s="997"/>
      <c r="G8" s="997"/>
      <c r="H8" s="997"/>
      <c r="I8" s="546"/>
      <c r="J8" s="546"/>
      <c r="K8" s="546"/>
      <c r="L8" s="546"/>
      <c r="M8" s="546"/>
      <c r="N8" s="42"/>
    </row>
    <row r="9" spans="1:14">
      <c r="A9" s="24"/>
      <c r="B9" s="26" t="s">
        <v>89</v>
      </c>
      <c r="C9" s="954">
        <v>44407</v>
      </c>
      <c r="D9" s="994"/>
      <c r="E9" s="995"/>
      <c r="F9" s="995"/>
      <c r="G9" s="995"/>
      <c r="H9" s="995"/>
      <c r="I9" s="24"/>
      <c r="J9" s="24"/>
      <c r="K9" s="24"/>
      <c r="L9" s="24"/>
      <c r="M9" s="24"/>
    </row>
    <row r="10" spans="1:14">
      <c r="A10" s="24"/>
      <c r="B10" s="26" t="s">
        <v>90</v>
      </c>
      <c r="C10" s="954"/>
      <c r="D10" s="994"/>
      <c r="E10" s="995"/>
      <c r="F10" s="995"/>
      <c r="G10" s="995"/>
      <c r="H10" s="995"/>
      <c r="I10" s="24"/>
      <c r="J10" s="24"/>
      <c r="K10" s="24"/>
      <c r="L10" s="24"/>
      <c r="M10" s="24"/>
    </row>
    <row r="11" spans="1:14">
      <c r="A11" s="24"/>
      <c r="B11" s="26" t="s">
        <v>91</v>
      </c>
      <c r="C11" s="954"/>
      <c r="D11" s="994"/>
      <c r="E11" s="995"/>
      <c r="F11" s="995"/>
      <c r="G11" s="995"/>
      <c r="H11" s="995"/>
      <c r="I11" s="24"/>
      <c r="J11" s="24"/>
      <c r="K11" s="24"/>
      <c r="L11" s="24"/>
      <c r="M11" s="24"/>
    </row>
    <row r="12" spans="1:14">
      <c r="A12" s="24"/>
      <c r="B12" s="26" t="s">
        <v>92</v>
      </c>
      <c r="C12" s="954"/>
      <c r="D12" s="994"/>
      <c r="E12" s="995"/>
      <c r="F12" s="995"/>
      <c r="G12" s="995"/>
      <c r="H12" s="995"/>
      <c r="I12" s="24"/>
      <c r="J12" s="24"/>
      <c r="K12" s="24"/>
      <c r="L12" s="24"/>
      <c r="M12" s="24"/>
    </row>
    <row r="13" spans="1:14">
      <c r="A13" s="24"/>
      <c r="B13" s="26" t="s">
        <v>93</v>
      </c>
      <c r="C13" s="954"/>
      <c r="D13" s="994"/>
      <c r="E13" s="995"/>
      <c r="F13" s="995"/>
      <c r="G13" s="995"/>
      <c r="H13" s="995"/>
      <c r="I13" s="24"/>
      <c r="J13" s="24"/>
      <c r="K13" s="24"/>
      <c r="L13" s="24"/>
      <c r="M13" s="24"/>
    </row>
    <row r="14" spans="1:14">
      <c r="A14" s="24"/>
      <c r="B14" s="26" t="s">
        <v>94</v>
      </c>
      <c r="C14" s="954"/>
      <c r="D14" s="994"/>
      <c r="E14" s="995"/>
      <c r="F14" s="995"/>
      <c r="G14" s="995"/>
      <c r="H14" s="995"/>
      <c r="I14" s="24"/>
      <c r="J14" s="24"/>
      <c r="K14" s="24"/>
      <c r="L14" s="24"/>
      <c r="M14" s="24"/>
    </row>
    <row r="15" spans="1:14">
      <c r="A15" s="24"/>
      <c r="B15" s="26" t="s">
        <v>95</v>
      </c>
      <c r="C15" s="954"/>
      <c r="D15" s="994"/>
      <c r="E15" s="995"/>
      <c r="F15" s="995"/>
      <c r="G15" s="995"/>
      <c r="H15" s="995"/>
      <c r="I15" s="24"/>
      <c r="J15" s="24"/>
      <c r="K15" s="24"/>
      <c r="L15" s="24"/>
      <c r="M15" s="24"/>
    </row>
    <row r="16" spans="1:14">
      <c r="A16" s="24"/>
      <c r="B16" s="26" t="s">
        <v>96</v>
      </c>
      <c r="C16" s="954"/>
      <c r="D16" s="994"/>
      <c r="E16" s="995"/>
      <c r="F16" s="995"/>
      <c r="G16" s="995"/>
      <c r="H16" s="995"/>
      <c r="I16" s="24"/>
      <c r="J16" s="24"/>
      <c r="K16" s="24"/>
      <c r="L16" s="24"/>
      <c r="M16" s="24"/>
    </row>
    <row r="17" spans="1:13">
      <c r="A17" s="24"/>
      <c r="B17" s="26" t="s">
        <v>97</v>
      </c>
      <c r="C17" s="954"/>
      <c r="D17" s="994"/>
      <c r="E17" s="995"/>
      <c r="F17" s="995"/>
      <c r="G17" s="995"/>
      <c r="H17" s="995"/>
      <c r="I17" s="24"/>
      <c r="J17" s="24"/>
      <c r="K17" s="24"/>
      <c r="L17" s="24"/>
      <c r="M17" s="24"/>
    </row>
    <row r="18" spans="1:13">
      <c r="A18" s="24"/>
      <c r="B18" s="26" t="s">
        <v>98</v>
      </c>
      <c r="C18" s="954"/>
      <c r="D18" s="994"/>
      <c r="E18" s="995"/>
      <c r="F18" s="995"/>
      <c r="G18" s="995"/>
      <c r="H18" s="995"/>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263</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264</v>
      </c>
      <c r="C23" s="24"/>
      <c r="D23" s="24"/>
      <c r="E23" s="24"/>
      <c r="F23" s="24"/>
      <c r="G23" s="24"/>
      <c r="H23" s="24"/>
      <c r="I23" s="24"/>
      <c r="J23" s="24"/>
      <c r="K23" s="24"/>
      <c r="L23" s="24"/>
    </row>
    <row r="24" spans="1:13">
      <c r="B24" s="286" t="s">
        <v>99</v>
      </c>
    </row>
    <row r="25" spans="1:13">
      <c r="B25" s="286" t="s">
        <v>262</v>
      </c>
    </row>
    <row r="26" spans="1:13">
      <c r="B26" s="286" t="s">
        <v>100</v>
      </c>
    </row>
    <row r="27" spans="1:13">
      <c r="B27" s="286" t="s">
        <v>265</v>
      </c>
    </row>
    <row r="28" spans="1:13">
      <c r="B28" s="286" t="s">
        <v>281</v>
      </c>
      <c r="C28" t="s">
        <v>654</v>
      </c>
    </row>
    <row r="29" spans="1:13">
      <c r="B29" s="286" t="s">
        <v>237</v>
      </c>
    </row>
    <row r="30" spans="1:13">
      <c r="B30" s="286" t="s">
        <v>284</v>
      </c>
      <c r="C30" t="s">
        <v>654</v>
      </c>
    </row>
    <row r="31" spans="1:13">
      <c r="B31" s="286" t="s">
        <v>101</v>
      </c>
    </row>
    <row r="32" spans="1:13">
      <c r="B32" s="286" t="s">
        <v>261</v>
      </c>
    </row>
    <row r="33" spans="2:2">
      <c r="B33" s="286" t="s">
        <v>266</v>
      </c>
    </row>
    <row r="34" spans="2:2">
      <c r="B34" s="286" t="s">
        <v>259</v>
      </c>
    </row>
    <row r="35" spans="2:2">
      <c r="B35" s="286" t="s">
        <v>267</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70" zoomScaleNormal="70" workbookViewId="0">
      <pane ySplit="5" topLeftCell="A12" activePane="bottomLeft" state="frozen"/>
      <selection activeCell="A3" sqref="A3"/>
      <selection pane="bottomLeft" activeCell="A3" sqref="A3"/>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WPD-SWALES</v>
      </c>
      <c r="B2" s="29"/>
      <c r="C2" s="29"/>
      <c r="D2" s="29"/>
    </row>
    <row r="3" spans="1:4" s="31" customFormat="1" ht="21">
      <c r="A3" s="29">
        <f>'RFPR cover'!C7</f>
        <v>2021</v>
      </c>
      <c r="B3" s="29"/>
      <c r="C3" s="29"/>
      <c r="D3" s="29"/>
    </row>
    <row r="4" spans="1:4" s="31" customFormat="1" ht="21">
      <c r="A4" s="838"/>
      <c r="B4" s="838"/>
      <c r="C4" s="838"/>
      <c r="D4" s="838"/>
    </row>
    <row r="5" spans="1:4" ht="27.6">
      <c r="A5" s="835" t="s">
        <v>450</v>
      </c>
      <c r="B5" s="836" t="s">
        <v>451</v>
      </c>
      <c r="C5" s="837" t="s">
        <v>452</v>
      </c>
    </row>
    <row r="6" spans="1:4">
      <c r="A6" s="335">
        <v>1.1000000000000001</v>
      </c>
      <c r="B6" s="846" t="s">
        <v>534</v>
      </c>
      <c r="C6" s="853" t="s">
        <v>535</v>
      </c>
    </row>
    <row r="7" spans="1:4">
      <c r="A7" s="335">
        <v>1.1000000000000001</v>
      </c>
      <c r="B7" s="846" t="s">
        <v>534</v>
      </c>
      <c r="C7" s="853" t="s">
        <v>536</v>
      </c>
    </row>
    <row r="8" spans="1:4">
      <c r="A8" s="335">
        <v>1.1000000000000001</v>
      </c>
      <c r="B8" s="844" t="s">
        <v>537</v>
      </c>
      <c r="C8" s="852" t="s">
        <v>538</v>
      </c>
    </row>
    <row r="9" spans="1:4" ht="25.2">
      <c r="A9" s="335">
        <v>1.1000000000000001</v>
      </c>
      <c r="B9" s="844" t="s">
        <v>540</v>
      </c>
      <c r="C9" s="852" t="s">
        <v>541</v>
      </c>
    </row>
    <row r="10" spans="1:4">
      <c r="A10" s="335">
        <v>1.1000000000000001</v>
      </c>
      <c r="B10" s="844" t="s">
        <v>540</v>
      </c>
      <c r="C10" s="852" t="s">
        <v>543</v>
      </c>
    </row>
    <row r="11" spans="1:4">
      <c r="A11" s="335">
        <v>1.1000000000000001</v>
      </c>
      <c r="B11" s="844" t="s">
        <v>545</v>
      </c>
      <c r="C11" s="852" t="s">
        <v>544</v>
      </c>
    </row>
    <row r="12" spans="1:4" ht="25.2">
      <c r="A12" s="335">
        <v>1.1000000000000001</v>
      </c>
      <c r="B12" s="844" t="s">
        <v>540</v>
      </c>
      <c r="C12" s="852" t="s">
        <v>546</v>
      </c>
    </row>
    <row r="13" spans="1:4" ht="50.4">
      <c r="A13" s="335">
        <v>1.1000000000000001</v>
      </c>
      <c r="B13" s="844" t="s">
        <v>540</v>
      </c>
      <c r="C13" s="852" t="s">
        <v>547</v>
      </c>
    </row>
    <row r="14" spans="1:4">
      <c r="A14" s="336">
        <v>1.1000000000000001</v>
      </c>
      <c r="B14" s="844" t="s">
        <v>548</v>
      </c>
      <c r="C14" s="852" t="s">
        <v>549</v>
      </c>
    </row>
    <row r="15" spans="1:4">
      <c r="A15" s="336">
        <v>1.1000000000000001</v>
      </c>
      <c r="B15" s="844" t="s">
        <v>537</v>
      </c>
      <c r="C15" s="852" t="s">
        <v>550</v>
      </c>
    </row>
    <row r="16" spans="1:4" ht="37.799999999999997">
      <c r="A16" s="336">
        <v>1.1000000000000001</v>
      </c>
      <c r="B16" s="844" t="s">
        <v>551</v>
      </c>
      <c r="C16" s="852" t="s">
        <v>552</v>
      </c>
    </row>
    <row r="17" spans="1:3">
      <c r="A17" s="336">
        <v>1.1000000000000001</v>
      </c>
      <c r="B17" s="844" t="s">
        <v>545</v>
      </c>
      <c r="C17" s="287" t="s">
        <v>553</v>
      </c>
    </row>
    <row r="18" spans="1:3">
      <c r="A18" s="336">
        <v>1.1000000000000001</v>
      </c>
      <c r="B18" s="844" t="s">
        <v>545</v>
      </c>
      <c r="C18" s="287" t="s">
        <v>554</v>
      </c>
    </row>
    <row r="19" spans="1:3">
      <c r="A19" s="336">
        <v>1.1000000000000001</v>
      </c>
      <c r="B19" s="844" t="s">
        <v>555</v>
      </c>
      <c r="C19" s="287" t="s">
        <v>556</v>
      </c>
    </row>
    <row r="20" spans="1:3" ht="25.2">
      <c r="A20" s="336">
        <v>1.1000000000000001</v>
      </c>
      <c r="B20" s="844" t="s">
        <v>555</v>
      </c>
      <c r="C20" s="287" t="s">
        <v>567</v>
      </c>
    </row>
    <row r="21" spans="1:3">
      <c r="A21" s="336">
        <v>1.1000000000000001</v>
      </c>
      <c r="B21" s="844" t="s">
        <v>568</v>
      </c>
      <c r="C21" s="287" t="s">
        <v>569</v>
      </c>
    </row>
    <row r="22" spans="1:3">
      <c r="A22" s="336">
        <v>1.1000000000000001</v>
      </c>
      <c r="B22" s="336" t="s">
        <v>548</v>
      </c>
      <c r="C22" s="287" t="s">
        <v>570</v>
      </c>
    </row>
    <row r="23" spans="1:3" ht="25.2">
      <c r="A23" s="336">
        <v>1.1000000000000001</v>
      </c>
      <c r="B23" s="844" t="s">
        <v>548</v>
      </c>
      <c r="C23" s="287" t="s">
        <v>571</v>
      </c>
    </row>
    <row r="24" spans="1:3" ht="25.2">
      <c r="A24" s="336">
        <v>1.1000000000000001</v>
      </c>
      <c r="B24" s="844" t="s">
        <v>551</v>
      </c>
      <c r="C24" s="287" t="s">
        <v>572</v>
      </c>
    </row>
    <row r="25" spans="1:3" ht="25.8" thickBot="1">
      <c r="A25" s="939">
        <v>1.1000000000000001</v>
      </c>
      <c r="B25" s="940" t="s">
        <v>555</v>
      </c>
      <c r="C25" s="941" t="s">
        <v>574</v>
      </c>
    </row>
    <row r="26" spans="1:3">
      <c r="A26" s="936">
        <v>1.1000000000000001</v>
      </c>
      <c r="B26" s="937" t="s">
        <v>548</v>
      </c>
      <c r="C26" s="938" t="s">
        <v>575</v>
      </c>
    </row>
    <row r="27" spans="1:3">
      <c r="A27" s="936">
        <v>1.1000000000000001</v>
      </c>
      <c r="B27" s="844" t="s">
        <v>555</v>
      </c>
      <c r="C27" s="287" t="s">
        <v>576</v>
      </c>
    </row>
    <row r="28" spans="1:3" ht="25.2">
      <c r="A28" s="336">
        <v>1.1000000000000001</v>
      </c>
      <c r="B28" s="844" t="s">
        <v>555</v>
      </c>
      <c r="C28" s="287" t="s">
        <v>577</v>
      </c>
    </row>
    <row r="29" spans="1:3">
      <c r="A29" s="942">
        <v>2</v>
      </c>
      <c r="B29" s="844" t="s">
        <v>555</v>
      </c>
      <c r="C29" s="287" t="s">
        <v>581</v>
      </c>
    </row>
    <row r="30" spans="1:3">
      <c r="A30" s="942">
        <v>2</v>
      </c>
      <c r="B30" s="844" t="s">
        <v>555</v>
      </c>
      <c r="C30" s="287" t="s">
        <v>582</v>
      </c>
    </row>
    <row r="31" spans="1:3">
      <c r="A31" s="942">
        <v>2</v>
      </c>
      <c r="B31" s="844" t="s">
        <v>555</v>
      </c>
      <c r="C31" s="287" t="s">
        <v>586</v>
      </c>
    </row>
    <row r="32" spans="1:3" ht="25.2">
      <c r="A32" s="942">
        <v>2</v>
      </c>
      <c r="B32" s="844" t="s">
        <v>265</v>
      </c>
      <c r="C32" s="866" t="s">
        <v>583</v>
      </c>
    </row>
    <row r="33" spans="1:3" ht="27.75" customHeight="1">
      <c r="A33" s="942">
        <v>2</v>
      </c>
      <c r="B33" s="844" t="s">
        <v>584</v>
      </c>
      <c r="C33" s="287" t="s">
        <v>585</v>
      </c>
    </row>
    <row r="34" spans="1:3">
      <c r="A34" s="336">
        <v>2.1</v>
      </c>
      <c r="B34" s="844" t="s">
        <v>261</v>
      </c>
      <c r="C34" s="287" t="s">
        <v>631</v>
      </c>
    </row>
    <row r="35" spans="1:3" ht="25.2">
      <c r="A35" s="336">
        <v>2.1</v>
      </c>
      <c r="B35" s="844" t="s">
        <v>265</v>
      </c>
      <c r="C35" s="287" t="s">
        <v>632</v>
      </c>
    </row>
    <row r="36" spans="1:3" ht="37.799999999999997">
      <c r="A36" s="337"/>
      <c r="B36" s="869" t="s">
        <v>640</v>
      </c>
      <c r="C36" s="287" t="s">
        <v>643</v>
      </c>
    </row>
    <row r="37" spans="1:3" ht="25.2">
      <c r="A37" s="337"/>
      <c r="B37" s="869" t="s">
        <v>540</v>
      </c>
      <c r="C37" s="287" t="s">
        <v>644</v>
      </c>
    </row>
    <row r="38" spans="1:3" ht="25.2">
      <c r="A38" s="337"/>
      <c r="B38" s="869" t="s">
        <v>568</v>
      </c>
      <c r="C38" s="287" t="s">
        <v>645</v>
      </c>
    </row>
    <row r="39" spans="1:3">
      <c r="A39" s="337"/>
      <c r="B39" s="869" t="s">
        <v>545</v>
      </c>
      <c r="C39" s="287" t="s">
        <v>646</v>
      </c>
    </row>
    <row r="40" spans="1:3" ht="75.599999999999994">
      <c r="A40" s="336"/>
      <c r="B40" s="869" t="s">
        <v>555</v>
      </c>
      <c r="C40" s="287" t="s">
        <v>642</v>
      </c>
    </row>
    <row r="41" spans="1:3" ht="37.799999999999997">
      <c r="A41" s="337"/>
      <c r="B41" s="869" t="s">
        <v>648</v>
      </c>
      <c r="C41" s="287" t="s">
        <v>647</v>
      </c>
    </row>
    <row r="42" spans="1:3">
      <c r="A42" s="337"/>
      <c r="B42" s="869"/>
      <c r="C42" s="287"/>
    </row>
    <row r="43" spans="1:3">
      <c r="A43" s="337"/>
      <c r="B43" s="869"/>
      <c r="C43" s="287"/>
    </row>
    <row r="44" spans="1:3">
      <c r="A44" s="337"/>
      <c r="B44" s="844"/>
      <c r="C44" s="287"/>
    </row>
    <row r="45" spans="1:3">
      <c r="A45" s="337"/>
      <c r="B45" s="844"/>
      <c r="C45" s="287"/>
    </row>
    <row r="46" spans="1:3">
      <c r="A46" s="337"/>
      <c r="B46" s="844"/>
      <c r="C46" s="287"/>
    </row>
    <row r="47" spans="1:3">
      <c r="A47" s="337"/>
      <c r="B47" s="844"/>
      <c r="C47" s="287"/>
    </row>
    <row r="48" spans="1:3">
      <c r="A48" s="337"/>
      <c r="B48" s="844"/>
      <c r="C48" s="287"/>
    </row>
    <row r="49" spans="1:3">
      <c r="A49" s="337"/>
      <c r="B49" s="844"/>
      <c r="C49" s="287"/>
    </row>
    <row r="50" spans="1:3">
      <c r="A50" s="337"/>
      <c r="B50" s="844"/>
      <c r="C50" s="287"/>
    </row>
    <row r="51" spans="1:3">
      <c r="A51" s="337"/>
      <c r="B51" s="844"/>
      <c r="C51" s="287"/>
    </row>
    <row r="52" spans="1:3">
      <c r="A52" s="337"/>
      <c r="B52" s="844"/>
      <c r="C52" s="287"/>
    </row>
    <row r="53" spans="1:3">
      <c r="A53" s="337"/>
      <c r="B53" s="844"/>
      <c r="C53" s="287"/>
    </row>
    <row r="54" spans="1:3">
      <c r="A54" s="337"/>
      <c r="B54" s="876"/>
      <c r="C54" s="877"/>
    </row>
    <row r="55" spans="1:3">
      <c r="A55" s="337"/>
      <c r="B55" s="844"/>
      <c r="C55" s="287"/>
    </row>
    <row r="56" spans="1:3">
      <c r="A56" s="337"/>
      <c r="B56" s="844"/>
      <c r="C56" s="287"/>
    </row>
    <row r="57" spans="1:3">
      <c r="A57" s="337"/>
      <c r="B57" s="844"/>
      <c r="C57" s="287"/>
    </row>
    <row r="58" spans="1:3">
      <c r="A58" s="337"/>
      <c r="B58" s="844"/>
      <c r="C58" s="287"/>
    </row>
    <row r="59" spans="1:3">
      <c r="A59" s="337"/>
      <c r="B59" s="844"/>
      <c r="C59" s="866"/>
    </row>
    <row r="60" spans="1:3">
      <c r="A60" s="338"/>
      <c r="B60" s="845"/>
      <c r="C60" s="288"/>
    </row>
    <row r="61" spans="1:3">
      <c r="A61" s="338"/>
      <c r="B61" s="845"/>
      <c r="C61" s="288"/>
    </row>
    <row r="62" spans="1:3">
      <c r="A62" s="338"/>
      <c r="B62" s="845"/>
      <c r="C62" s="288"/>
    </row>
    <row r="63" spans="1:3">
      <c r="A63" s="338"/>
      <c r="B63" s="845"/>
      <c r="C63" s="288"/>
    </row>
    <row r="64" spans="1:3">
      <c r="A64" s="338"/>
      <c r="B64" s="845"/>
      <c r="C64" s="288"/>
    </row>
    <row r="65" spans="1:3">
      <c r="A65" s="338"/>
      <c r="B65" s="845"/>
      <c r="C65" s="288"/>
    </row>
    <row r="66" spans="1:3">
      <c r="A66" s="338"/>
      <c r="B66" s="845"/>
      <c r="C66" s="288"/>
    </row>
    <row r="67" spans="1:3">
      <c r="A67" s="338"/>
      <c r="B67" s="845"/>
      <c r="C67"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O67"/>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63.36328125" style="196" customWidth="1"/>
    <col min="3" max="3" width="13.36328125" style="42" customWidth="1"/>
    <col min="4" max="11" width="9.08984375" customWidth="1"/>
    <col min="12" max="12" width="3.6328125" customWidth="1"/>
    <col min="13" max="14" width="13.7265625" customWidth="1"/>
    <col min="15" max="15" width="5.08984375" customWidth="1"/>
  </cols>
  <sheetData>
    <row r="1" spans="1:41" s="31" customFormat="1" ht="21">
      <c r="A1" s="906" t="s">
        <v>239</v>
      </c>
      <c r="B1" s="915"/>
      <c r="C1" s="916"/>
      <c r="D1" s="916"/>
      <c r="E1" s="916"/>
      <c r="F1" s="916"/>
      <c r="G1" s="256"/>
      <c r="H1" s="256"/>
      <c r="I1" s="257"/>
      <c r="J1" s="257"/>
      <c r="K1" s="258"/>
      <c r="L1" s="258"/>
      <c r="M1" s="258"/>
      <c r="N1" s="258"/>
      <c r="O1" s="366" t="s">
        <v>84</v>
      </c>
    </row>
    <row r="2" spans="1:41" s="31" customFormat="1" ht="21">
      <c r="A2" s="909" t="str">
        <f>'RFPR cover'!C5</f>
        <v>WPD-SWALES</v>
      </c>
      <c r="B2" s="917"/>
      <c r="C2" s="901"/>
      <c r="D2" s="901"/>
      <c r="E2" s="901"/>
      <c r="F2" s="901"/>
      <c r="G2" s="29"/>
      <c r="H2" s="29"/>
      <c r="I2" s="27"/>
      <c r="J2" s="27"/>
      <c r="K2" s="27"/>
      <c r="L2" s="27"/>
      <c r="M2" s="27"/>
      <c r="N2" s="27"/>
      <c r="O2" s="123"/>
    </row>
    <row r="3" spans="1:41" s="31" customFormat="1" ht="22.8">
      <c r="A3" s="912">
        <f>'RFPR cover'!C7</f>
        <v>2021</v>
      </c>
      <c r="B3" s="918" t="str">
        <f>IF('RFPR cover'!C5=Data!B98,"Not required to be completed for System Operator",(IF('RFPR cover'!C5=Data!B96,"Not required to be completed for System Operator","")))</f>
        <v/>
      </c>
      <c r="C3" s="919"/>
      <c r="D3" s="919"/>
      <c r="E3" s="919"/>
      <c r="F3" s="919"/>
      <c r="G3" s="260"/>
      <c r="H3" s="260"/>
      <c r="I3" s="255"/>
      <c r="J3" s="255"/>
      <c r="K3" s="255"/>
      <c r="L3" s="255"/>
      <c r="M3" s="255"/>
      <c r="N3" s="255"/>
      <c r="O3" s="261"/>
    </row>
    <row r="4" spans="1:41" ht="12.75" customHeight="1"/>
    <row r="5" spans="1:4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L5" s="2"/>
      <c r="M5" s="2"/>
    </row>
    <row r="6" spans="1:41"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8"/>
      <c r="M6" s="101" t="str">
        <f>"Cumulative to "&amp;'RFPR cover'!$C$7</f>
        <v>Cumulative to 2021</v>
      </c>
      <c r="N6" s="194" t="s">
        <v>109</v>
      </c>
    </row>
    <row r="7" spans="1:41">
      <c r="C7" s="172"/>
      <c r="D7" s="172"/>
      <c r="E7" s="172"/>
      <c r="F7" s="172"/>
      <c r="G7" s="172"/>
      <c r="H7" s="172"/>
      <c r="I7" s="172"/>
      <c r="J7" s="172"/>
      <c r="K7" s="172"/>
      <c r="L7" s="172"/>
      <c r="M7" s="172"/>
      <c r="N7" s="172"/>
      <c r="O7" s="172"/>
    </row>
    <row r="8" spans="1:41">
      <c r="B8" s="529" t="s">
        <v>108</v>
      </c>
      <c r="C8" s="423"/>
      <c r="D8" s="423"/>
      <c r="E8" s="423"/>
      <c r="F8" s="423"/>
      <c r="G8" s="423"/>
      <c r="H8" s="423"/>
      <c r="I8" s="423"/>
      <c r="J8" s="423"/>
      <c r="K8" s="423"/>
      <c r="L8" s="530"/>
      <c r="M8" s="217"/>
      <c r="N8" s="217"/>
      <c r="O8" s="217"/>
    </row>
    <row r="9" spans="1:41">
      <c r="B9" s="197"/>
      <c r="D9" s="42"/>
      <c r="E9" s="42"/>
      <c r="F9" s="42"/>
      <c r="G9" s="42"/>
      <c r="H9" s="42"/>
      <c r="I9" s="42"/>
      <c r="J9" s="42"/>
      <c r="K9" s="42"/>
      <c r="L9" s="48"/>
    </row>
    <row r="10" spans="1:41">
      <c r="B10" s="252" t="s">
        <v>215</v>
      </c>
      <c r="C10" s="254" t="s">
        <v>7</v>
      </c>
      <c r="D10" s="506">
        <f t="shared" ref="D10:K19" si="1">D48/D$65</f>
        <v>6.4000000000000001E-2</v>
      </c>
      <c r="E10" s="508">
        <f t="shared" si="1"/>
        <v>6.4000000000000001E-2</v>
      </c>
      <c r="F10" s="508">
        <f t="shared" si="1"/>
        <v>6.4000000000000001E-2</v>
      </c>
      <c r="G10" s="508">
        <f t="shared" si="1"/>
        <v>6.4000000000000001E-2</v>
      </c>
      <c r="H10" s="508">
        <f t="shared" si="1"/>
        <v>6.4000000000000001E-2</v>
      </c>
      <c r="I10" s="508">
        <f t="shared" si="1"/>
        <v>6.4000000000000001E-2</v>
      </c>
      <c r="J10" s="508">
        <f t="shared" si="1"/>
        <v>6.4000000000000001E-2</v>
      </c>
      <c r="K10" s="507">
        <f t="shared" si="1"/>
        <v>6.4000000000000001E-2</v>
      </c>
      <c r="L10" s="173"/>
      <c r="M10" s="507">
        <f>AVERAGE(D48:INDEX(D48:K48,0,MATCH('RFPR cover'!$C$7,$D$6:$K$6,0)))/AVERAGE($D$65:INDEX($D$65:$K$65,0,MATCH('RFPR cover'!$C$7,$D$6:$K$6,0)))</f>
        <v>6.4000000000000015E-2</v>
      </c>
      <c r="N10" s="507">
        <f>AVERAGE(D48:K48)/AVERAGE($D$65:$K$65)</f>
        <v>6.4000000000000001E-2</v>
      </c>
      <c r="AB10" s="173"/>
      <c r="AC10" s="173"/>
      <c r="AD10" s="173"/>
      <c r="AE10" s="173"/>
      <c r="AF10" s="173"/>
      <c r="AG10" s="173"/>
      <c r="AH10" s="173"/>
      <c r="AI10" s="173"/>
      <c r="AJ10" s="173"/>
      <c r="AK10" s="173"/>
      <c r="AL10" s="173"/>
      <c r="AM10" s="173"/>
      <c r="AN10" s="173"/>
      <c r="AO10" s="173"/>
    </row>
    <row r="11" spans="1:41">
      <c r="B11" s="252" t="str">
        <f t="shared" ref="B11:B18" si="2">B49</f>
        <v>Totex outperformance</v>
      </c>
      <c r="C11" s="254" t="s">
        <v>7</v>
      </c>
      <c r="D11" s="175">
        <f t="shared" si="1"/>
        <v>3.0981267920505311E-2</v>
      </c>
      <c r="E11" s="176">
        <f t="shared" si="1"/>
        <v>4.2280345175019184E-2</v>
      </c>
      <c r="F11" s="176">
        <f t="shared" si="1"/>
        <v>-5.1971077836323903E-2</v>
      </c>
      <c r="G11" s="176">
        <f t="shared" si="1"/>
        <v>3.4053399776362042E-2</v>
      </c>
      <c r="H11" s="176">
        <f t="shared" si="1"/>
        <v>3.3134960968472967E-2</v>
      </c>
      <c r="I11" s="176">
        <f t="shared" si="1"/>
        <v>-5.773073122844829E-3</v>
      </c>
      <c r="J11" s="176">
        <f t="shared" si="1"/>
        <v>6.1629835128443429E-3</v>
      </c>
      <c r="K11" s="177">
        <f t="shared" si="1"/>
        <v>5.0146656381422757E-3</v>
      </c>
      <c r="L11" s="173"/>
      <c r="M11" s="177">
        <f>AVERAGE(D49:INDEX(D49:K49,0,MATCH('RFPR cover'!$C$7,$D$6:$K$6,0)))/AVERAGE($D$65:INDEX($D$65:$K$65,0,MATCH('RFPR cover'!$C$7,$D$6:$K$6,0)))</f>
        <v>1.3480045629901729E-2</v>
      </c>
      <c r="N11" s="177">
        <f t="shared" ref="N11:N19" si="3">AVERAGE(D49:K49)/AVERAGE($D$65:$K$65)</f>
        <v>1.1312937458091052E-2</v>
      </c>
      <c r="P11" s="173"/>
      <c r="AB11" s="173"/>
      <c r="AC11" s="173"/>
      <c r="AD11" s="173"/>
      <c r="AE11" s="173"/>
      <c r="AF11" s="173"/>
      <c r="AG11" s="173"/>
      <c r="AH11" s="173"/>
      <c r="AI11" s="173"/>
      <c r="AJ11" s="173"/>
      <c r="AK11" s="173"/>
      <c r="AL11" s="173"/>
    </row>
    <row r="12" spans="1:41">
      <c r="B12" s="252" t="str">
        <f t="shared" si="2"/>
        <v>IQI Reward</v>
      </c>
      <c r="C12" s="254" t="s">
        <v>7</v>
      </c>
      <c r="D12" s="175">
        <f t="shared" si="1"/>
        <v>1.0012146124677079E-2</v>
      </c>
      <c r="E12" s="176">
        <f t="shared" si="1"/>
        <v>9.6659427455641038E-3</v>
      </c>
      <c r="F12" s="176">
        <f t="shared" si="1"/>
        <v>9.106668565699038E-3</v>
      </c>
      <c r="G12" s="176">
        <f t="shared" si="1"/>
        <v>9.4603837513823792E-3</v>
      </c>
      <c r="H12" s="176">
        <f t="shared" si="1"/>
        <v>8.3789963079520906E-3</v>
      </c>
      <c r="I12" s="176">
        <f t="shared" si="1"/>
        <v>8.1184548351380652E-3</v>
      </c>
      <c r="J12" s="176">
        <f t="shared" si="1"/>
        <v>7.5837210106139983E-3</v>
      </c>
      <c r="K12" s="177">
        <f t="shared" si="1"/>
        <v>7.4677887838490251E-3</v>
      </c>
      <c r="L12" s="173"/>
      <c r="M12" s="177">
        <f>AVERAGE(D50:INDEX(D50:K50,0,MATCH('RFPR cover'!$C$7,$D$6:$K$6,0)))/AVERAGE($D$65:INDEX($D$65:$K$65,0,MATCH('RFPR cover'!$C$7,$D$6:$K$6,0)))</f>
        <v>9.0917343764353696E-3</v>
      </c>
      <c r="N12" s="177">
        <f t="shared" si="3"/>
        <v>8.6619326265859626E-3</v>
      </c>
      <c r="AB12" s="173"/>
      <c r="AC12" s="173"/>
      <c r="AD12" s="173"/>
      <c r="AE12" s="173"/>
      <c r="AF12" s="173"/>
      <c r="AG12" s="173"/>
      <c r="AH12" s="173"/>
      <c r="AI12" s="173"/>
      <c r="AJ12" s="173"/>
      <c r="AK12" s="173"/>
      <c r="AL12" s="173"/>
    </row>
    <row r="13" spans="1:41">
      <c r="B13" s="252" t="str">
        <f t="shared" si="2"/>
        <v>Broad measure of customer service</v>
      </c>
      <c r="C13" s="254" t="s">
        <v>7</v>
      </c>
      <c r="D13" s="175">
        <f t="shared" si="1"/>
        <v>7.147343068779094E-3</v>
      </c>
      <c r="E13" s="176">
        <f t="shared" si="1"/>
        <v>6.5453106758027761E-3</v>
      </c>
      <c r="F13" s="176">
        <f t="shared" si="1"/>
        <v>7.168550267637493E-3</v>
      </c>
      <c r="G13" s="176">
        <f t="shared" si="1"/>
        <v>6.8145912687311893E-3</v>
      </c>
      <c r="H13" s="176">
        <f t="shared" si="1"/>
        <v>6.6731423453157699E-3</v>
      </c>
      <c r="I13" s="176">
        <f t="shared" si="1"/>
        <v>6.4504255720047934E-3</v>
      </c>
      <c r="J13" s="176">
        <f t="shared" si="1"/>
        <v>6.234961810687863E-3</v>
      </c>
      <c r="K13" s="177">
        <f t="shared" si="1"/>
        <v>6.0338190674313575E-3</v>
      </c>
      <c r="L13" s="173"/>
      <c r="M13" s="177">
        <f>AVERAGE(D51:INDEX(D51:K51,0,MATCH('RFPR cover'!$C$7,$D$6:$K$6,0)))/AVERAGE($D$65:INDEX($D$65:$K$65,0,MATCH('RFPR cover'!$C$7,$D$6:$K$6,0)))</f>
        <v>6.7909515441863235E-3</v>
      </c>
      <c r="N13" s="177">
        <f t="shared" si="3"/>
        <v>6.6104075392633705E-3</v>
      </c>
      <c r="AB13" s="173"/>
      <c r="AC13" s="173"/>
      <c r="AD13" s="173"/>
      <c r="AE13" s="173"/>
      <c r="AF13" s="173"/>
      <c r="AG13" s="173"/>
      <c r="AH13" s="173"/>
      <c r="AI13" s="173"/>
      <c r="AJ13" s="173"/>
      <c r="AK13" s="173"/>
      <c r="AL13" s="173"/>
    </row>
    <row r="14" spans="1:41">
      <c r="B14" s="252" t="str">
        <f t="shared" si="2"/>
        <v>Interruptions-related quality of service</v>
      </c>
      <c r="C14" s="254" t="s">
        <v>7</v>
      </c>
      <c r="D14" s="175">
        <f t="shared" si="1"/>
        <v>1.1899943766775153E-2</v>
      </c>
      <c r="E14" s="176">
        <f t="shared" si="1"/>
        <v>1.2472395153537612E-2</v>
      </c>
      <c r="F14" s="176">
        <f t="shared" si="1"/>
        <v>6.5170107585081558E-3</v>
      </c>
      <c r="G14" s="176">
        <f t="shared" si="1"/>
        <v>1.2318711955412554E-2</v>
      </c>
      <c r="H14" s="176">
        <f t="shared" si="1"/>
        <v>1.1999512111768761E-2</v>
      </c>
      <c r="I14" s="176">
        <f t="shared" si="1"/>
        <v>1.2459046765030509E-2</v>
      </c>
      <c r="J14" s="176">
        <f t="shared" si="1"/>
        <v>1.0148097122867213E-2</v>
      </c>
      <c r="K14" s="177">
        <f t="shared" si="1"/>
        <v>9.6748840011923222E-3</v>
      </c>
      <c r="L14" s="173"/>
      <c r="M14" s="177">
        <f>AVERAGE(D52:INDEX(D52:K52,0,MATCH('RFPR cover'!$C$7,$D$6:$K$6,0)))/AVERAGE($D$65:INDEX($D$65:$K$65,0,MATCH('RFPR cover'!$C$7,$D$6:$K$6,0)))</f>
        <v>1.1297374860152707E-2</v>
      </c>
      <c r="N14" s="177">
        <f t="shared" si="3"/>
        <v>1.0916169058915199E-2</v>
      </c>
      <c r="AB14" s="173"/>
      <c r="AC14" s="173"/>
      <c r="AD14" s="173"/>
      <c r="AE14" s="173"/>
      <c r="AF14" s="173"/>
      <c r="AG14" s="173"/>
      <c r="AH14" s="173"/>
      <c r="AI14" s="173"/>
      <c r="AJ14" s="173"/>
      <c r="AK14" s="173"/>
      <c r="AL14" s="173"/>
    </row>
    <row r="15" spans="1:41">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176">
        <f t="shared" si="1"/>
        <v>0</v>
      </c>
      <c r="K15" s="177">
        <f t="shared" si="1"/>
        <v>0</v>
      </c>
      <c r="L15" s="173"/>
      <c r="M15" s="177">
        <f>AVERAGE(D53:INDEX(D53:K53,0,MATCH('RFPR cover'!$C$7,$D$6:$K$6,0)))/AVERAGE($D$65:INDEX($D$65:$K$65,0,MATCH('RFPR cover'!$C$7,$D$6:$K$6,0)))</f>
        <v>0</v>
      </c>
      <c r="N15" s="177">
        <f t="shared" si="3"/>
        <v>0</v>
      </c>
      <c r="AB15" s="173"/>
      <c r="AC15" s="173"/>
      <c r="AD15" s="173"/>
      <c r="AE15" s="173"/>
      <c r="AF15" s="173"/>
      <c r="AG15" s="173"/>
      <c r="AH15" s="173"/>
      <c r="AI15" s="173"/>
      <c r="AJ15" s="173"/>
      <c r="AK15" s="173"/>
      <c r="AL15" s="173"/>
    </row>
    <row r="16" spans="1:41">
      <c r="B16" s="252" t="str">
        <f t="shared" si="2"/>
        <v>Time to Connect Incentive</v>
      </c>
      <c r="C16" s="254" t="s">
        <v>7</v>
      </c>
      <c r="D16" s="175">
        <f t="shared" si="1"/>
        <v>1.2604361561492762E-3</v>
      </c>
      <c r="E16" s="176">
        <f t="shared" si="1"/>
        <v>1.7789642052346928E-3</v>
      </c>
      <c r="F16" s="176">
        <f t="shared" si="1"/>
        <v>1.930434643760529E-3</v>
      </c>
      <c r="G16" s="176">
        <f t="shared" si="1"/>
        <v>1.9963729918832333E-3</v>
      </c>
      <c r="H16" s="176">
        <f t="shared" si="1"/>
        <v>1.9644945266798957E-3</v>
      </c>
      <c r="I16" s="176">
        <f t="shared" si="1"/>
        <v>1.6233450966592743E-3</v>
      </c>
      <c r="J16" s="176">
        <f t="shared" si="1"/>
        <v>1.8033827219229687E-3</v>
      </c>
      <c r="K16" s="177">
        <f t="shared" si="1"/>
        <v>1.7452047636863728E-3</v>
      </c>
      <c r="L16" s="173"/>
      <c r="M16" s="177">
        <f>AVERAGE(D54:INDEX(D54:K54,0,MATCH('RFPR cover'!$C$7,$D$6:$K$6,0)))/AVERAGE($D$65:INDEX($D$65:$K$65,0,MATCH('RFPR cover'!$C$7,$D$6:$K$6,0)))</f>
        <v>1.76435969801733E-3</v>
      </c>
      <c r="N16" s="177">
        <f t="shared" si="3"/>
        <v>1.7669537487502781E-3</v>
      </c>
      <c r="AB16" s="173"/>
      <c r="AC16" s="173"/>
      <c r="AD16" s="173"/>
      <c r="AE16" s="173"/>
      <c r="AF16" s="173"/>
      <c r="AG16" s="173"/>
      <c r="AH16" s="173"/>
      <c r="AI16" s="173"/>
      <c r="AJ16" s="173"/>
      <c r="AK16" s="173"/>
      <c r="AL16" s="173"/>
    </row>
    <row r="17" spans="2:38">
      <c r="B17" s="252" t="str">
        <f t="shared" si="2"/>
        <v>Losses discretionary reward scheme</v>
      </c>
      <c r="C17" s="254" t="s">
        <v>7</v>
      </c>
      <c r="D17" s="175">
        <f t="shared" si="1"/>
        <v>0</v>
      </c>
      <c r="E17" s="176">
        <f t="shared" si="1"/>
        <v>1.0652741466904467E-4</v>
      </c>
      <c r="F17" s="176">
        <f t="shared" si="1"/>
        <v>0</v>
      </c>
      <c r="G17" s="176">
        <f t="shared" si="1"/>
        <v>0</v>
      </c>
      <c r="H17" s="176">
        <f t="shared" si="1"/>
        <v>0</v>
      </c>
      <c r="I17" s="176">
        <f t="shared" si="1"/>
        <v>0</v>
      </c>
      <c r="J17" s="176">
        <f t="shared" si="1"/>
        <v>0</v>
      </c>
      <c r="K17" s="177">
        <f t="shared" si="1"/>
        <v>0</v>
      </c>
      <c r="L17" s="173"/>
      <c r="M17" s="177">
        <f>AVERAGE(D55:INDEX(D55:K55,0,MATCH('RFPR cover'!$C$7,$D$6:$K$6,0)))/AVERAGE($D$65:INDEX($D$65:$K$65,0,MATCH('RFPR cover'!$C$7,$D$6:$K$6,0)))</f>
        <v>1.7059799014454393E-5</v>
      </c>
      <c r="N17" s="177">
        <f t="shared" si="3"/>
        <v>1.2380373428343635E-5</v>
      </c>
      <c r="AB17" s="173"/>
      <c r="AC17" s="173"/>
      <c r="AD17" s="173"/>
      <c r="AE17" s="173"/>
      <c r="AF17" s="173"/>
      <c r="AG17" s="173"/>
      <c r="AH17" s="173"/>
      <c r="AI17" s="173"/>
      <c r="AJ17" s="173"/>
      <c r="AK17" s="173"/>
      <c r="AL17" s="173"/>
    </row>
    <row r="18" spans="2:38">
      <c r="B18" s="252" t="str">
        <f t="shared" si="2"/>
        <v xml:space="preserve">Network Innovation </v>
      </c>
      <c r="C18" s="254" t="s">
        <v>7</v>
      </c>
      <c r="D18" s="175">
        <f t="shared" si="1"/>
        <v>2.4397350085286497E-3</v>
      </c>
      <c r="E18" s="176">
        <f t="shared" si="1"/>
        <v>-2.5677258931550715E-4</v>
      </c>
      <c r="F18" s="176">
        <f t="shared" si="1"/>
        <v>9.4046712664807273E-4</v>
      </c>
      <c r="G18" s="176">
        <f t="shared" si="1"/>
        <v>-1.9352090732687225E-4</v>
      </c>
      <c r="H18" s="176">
        <f t="shared" si="1"/>
        <v>-2.768013679742604E-4</v>
      </c>
      <c r="I18" s="176">
        <f t="shared" si="1"/>
        <v>-2.0803335249040882E-4</v>
      </c>
      <c r="J18" s="176">
        <f t="shared" si="1"/>
        <v>-2.2969825303897754E-4</v>
      </c>
      <c r="K18" s="177">
        <f t="shared" si="1"/>
        <v>-1.1126756730432009E-4</v>
      </c>
      <c r="L18" s="173"/>
      <c r="M18" s="177">
        <f>AVERAGE(D56:INDEX(D56:K56,0,MATCH('RFPR cover'!$C$7,$D$6:$K$6,0)))/AVERAGE($D$65:INDEX($D$65:$K$65,0,MATCH('RFPR cover'!$C$7,$D$6:$K$6,0)))</f>
        <v>3.7243328898543739E-4</v>
      </c>
      <c r="N18" s="177">
        <f t="shared" si="3"/>
        <v>2.2378012565550654E-4</v>
      </c>
      <c r="AB18" s="173"/>
      <c r="AC18" s="173"/>
      <c r="AD18" s="173"/>
      <c r="AE18" s="173"/>
      <c r="AF18" s="173"/>
      <c r="AG18" s="173"/>
      <c r="AH18" s="173"/>
      <c r="AI18" s="173"/>
      <c r="AJ18" s="173"/>
      <c r="AK18" s="173"/>
      <c r="AL18" s="173"/>
    </row>
    <row r="19" spans="2:38">
      <c r="B19" s="252" t="str">
        <f>B57</f>
        <v>Penalties and fines</v>
      </c>
      <c r="C19" s="254" t="s">
        <v>7</v>
      </c>
      <c r="D19" s="185">
        <f t="shared" si="1"/>
        <v>-1.5410979015273108E-7</v>
      </c>
      <c r="E19" s="186">
        <f t="shared" si="1"/>
        <v>0</v>
      </c>
      <c r="F19" s="186">
        <f t="shared" si="1"/>
        <v>-6.9475743836413576E-8</v>
      </c>
      <c r="G19" s="186">
        <f t="shared" si="1"/>
        <v>-6.5806857655238575E-8</v>
      </c>
      <c r="H19" s="186">
        <f t="shared" si="1"/>
        <v>-6.2017365648556061E-8</v>
      </c>
      <c r="I19" s="186">
        <f t="shared" si="1"/>
        <v>-1.0661252299859966E-5</v>
      </c>
      <c r="J19" s="186">
        <f t="shared" si="1"/>
        <v>-1.7196603169774723E-6</v>
      </c>
      <c r="K19" s="187">
        <f t="shared" si="1"/>
        <v>-1.6145362911791267E-6</v>
      </c>
      <c r="L19" s="173"/>
      <c r="M19" s="187">
        <f>AVERAGE(D57:INDEX(D57:K57,0,MATCH('RFPR cover'!$C$7,$D$6:$K$6,0)))/AVERAGE($D$65:INDEX($D$65:$K$65,0,MATCH('RFPR cover'!$C$7,$D$6:$K$6,0)))</f>
        <v>-1.9726385149180648E-6</v>
      </c>
      <c r="N19" s="187">
        <f t="shared" si="3"/>
        <v>-1.8885938485616607E-6</v>
      </c>
      <c r="AB19" s="173"/>
      <c r="AC19" s="173"/>
      <c r="AD19" s="173"/>
      <c r="AE19" s="173"/>
      <c r="AF19" s="173"/>
      <c r="AG19" s="173"/>
      <c r="AH19" s="173"/>
      <c r="AI19" s="173"/>
      <c r="AJ19" s="173"/>
      <c r="AK19" s="173"/>
      <c r="AL19" s="173"/>
    </row>
    <row r="20" spans="2:38">
      <c r="B20" s="253" t="str">
        <f>B58</f>
        <v>RoRE - Operational performance</v>
      </c>
      <c r="C20" s="254" t="s">
        <v>7</v>
      </c>
      <c r="D20" s="188">
        <f t="shared" ref="D20:K20" si="4">SUM(D10:D19)</f>
        <v>0.12774071793562441</v>
      </c>
      <c r="E20" s="189">
        <f t="shared" si="4"/>
        <v>0.13659271278051191</v>
      </c>
      <c r="F20" s="189">
        <f t="shared" si="4"/>
        <v>3.7691984050185548E-2</v>
      </c>
      <c r="G20" s="189">
        <f t="shared" si="4"/>
        <v>0.12844987302958685</v>
      </c>
      <c r="H20" s="189">
        <f t="shared" si="4"/>
        <v>0.12587424287484958</v>
      </c>
      <c r="I20" s="189">
        <f t="shared" si="4"/>
        <v>8.6659504541197543E-2</v>
      </c>
      <c r="J20" s="189">
        <f t="shared" si="4"/>
        <v>9.5701728265580432E-2</v>
      </c>
      <c r="K20" s="190">
        <f t="shared" si="4"/>
        <v>9.3823480150705865E-2</v>
      </c>
      <c r="L20" s="174"/>
      <c r="M20" s="190">
        <f>SUM(M10:M19)</f>
        <v>0.10681198655817845</v>
      </c>
      <c r="N20" s="190">
        <f>SUM(N10:N19)</f>
        <v>0.10350267233684114</v>
      </c>
      <c r="AB20" s="173"/>
      <c r="AC20" s="173"/>
      <c r="AD20" s="173"/>
      <c r="AE20" s="173"/>
      <c r="AF20" s="173"/>
      <c r="AG20" s="173"/>
      <c r="AH20" s="173"/>
      <c r="AI20" s="173"/>
      <c r="AJ20" s="173"/>
      <c r="AK20" s="173"/>
      <c r="AL20" s="173"/>
    </row>
    <row r="21" spans="2:38">
      <c r="B21" s="252" t="str">
        <f>B59</f>
        <v>Debt performance - at notional gearing</v>
      </c>
      <c r="C21" s="254" t="s">
        <v>7</v>
      </c>
      <c r="D21" s="175">
        <f>(D59)/D$65</f>
        <v>-4.1588579775494107E-2</v>
      </c>
      <c r="E21" s="176">
        <f t="shared" ref="E21:K21" si="5">(E59)/E$65</f>
        <v>-2.2706771994988866E-2</v>
      </c>
      <c r="F21" s="176">
        <f t="shared" si="5"/>
        <v>-2.9505483462025721E-3</v>
      </c>
      <c r="G21" s="176">
        <f t="shared" si="5"/>
        <v>-1.4168425127379864E-2</v>
      </c>
      <c r="H21" s="176">
        <f t="shared" si="5"/>
        <v>-2.6088694558898604E-2</v>
      </c>
      <c r="I21" s="176">
        <f t="shared" si="5"/>
        <v>-3.9146947179415297E-2</v>
      </c>
      <c r="J21" s="176">
        <f t="shared" si="5"/>
        <v>-6.8235228045893902E-3</v>
      </c>
      <c r="K21" s="177">
        <f t="shared" si="5"/>
        <v>-4.8960285733583306E-3</v>
      </c>
      <c r="L21" s="173"/>
      <c r="M21" s="177">
        <f>AVERAGE(D59:INDEX(D59:K59,0,MATCH('RFPR cover'!$C$7,$D$6:$K$6,0)))/AVERAGE($D$65:INDEX($D$65:$K$65,0,MATCH('RFPR cover'!$C$7,$D$6:$K$6,0)))</f>
        <v>-2.4496557834751752E-2</v>
      </c>
      <c r="N21" s="177">
        <f>AVERAGE(D59:K59)/AVERAGE($D$65:$K$65)</f>
        <v>-1.938023896182943E-2</v>
      </c>
      <c r="AB21" s="173"/>
      <c r="AC21" s="173"/>
      <c r="AD21" s="173"/>
      <c r="AE21" s="173"/>
      <c r="AF21" s="173"/>
      <c r="AG21" s="173"/>
      <c r="AH21" s="173"/>
      <c r="AI21" s="173"/>
      <c r="AJ21" s="173"/>
      <c r="AK21" s="173"/>
      <c r="AL21" s="173"/>
    </row>
    <row r="22" spans="2:38">
      <c r="B22" s="252" t="str">
        <f>B61</f>
        <v>Tax performance - at notional gearing</v>
      </c>
      <c r="C22" s="254" t="s">
        <v>7</v>
      </c>
      <c r="D22" s="175">
        <f>(D61)/D$65</f>
        <v>5.0529859636145608E-3</v>
      </c>
      <c r="E22" s="176">
        <f t="shared" ref="E22:K22" si="6">(E61)/E$65</f>
        <v>1.9834585511379489E-2</v>
      </c>
      <c r="F22" s="176">
        <f t="shared" si="6"/>
        <v>1.6954021840119505E-2</v>
      </c>
      <c r="G22" s="176">
        <f t="shared" si="6"/>
        <v>1.3405648772036644E-2</v>
      </c>
      <c r="H22" s="176">
        <f t="shared" si="6"/>
        <v>5.292250447917173E-3</v>
      </c>
      <c r="I22" s="176">
        <f t="shared" si="6"/>
        <v>-1.2202714747129879E-2</v>
      </c>
      <c r="J22" s="176">
        <f t="shared" si="6"/>
        <v>-6.5829766610784541E-3</v>
      </c>
      <c r="K22" s="177">
        <f t="shared" si="6"/>
        <v>-6.5110792372257056E-3</v>
      </c>
      <c r="L22" s="173"/>
      <c r="M22" s="177">
        <f>AVERAGE(D61:INDEX(D61:K61,0,MATCH('RFPR cover'!$C$7,$D$6:$K$6,0)))/AVERAGE($D$65:INDEX($D$65:$K$65,0,MATCH('RFPR cover'!$C$7,$D$6:$K$6,0)))</f>
        <v>7.714512653645614E-3</v>
      </c>
      <c r="N22" s="177">
        <f>AVERAGE(D61:K61)/AVERAGE($D$65:$K$65)</f>
        <v>3.8027983341806255E-3</v>
      </c>
      <c r="AB22" s="173"/>
      <c r="AC22" s="173"/>
      <c r="AD22" s="173"/>
      <c r="AE22" s="173"/>
      <c r="AF22" s="173"/>
      <c r="AG22" s="173"/>
      <c r="AH22" s="173"/>
      <c r="AI22" s="173"/>
      <c r="AJ22" s="173"/>
      <c r="AK22" s="173"/>
      <c r="AL22" s="173"/>
    </row>
    <row r="23" spans="2:38">
      <c r="B23" s="253" t="str">
        <f>B63</f>
        <v>RoRE - including financing and tax</v>
      </c>
      <c r="C23" s="254" t="s">
        <v>7</v>
      </c>
      <c r="D23" s="191">
        <f>SUM(D20:D22)</f>
        <v>9.1205124123744874E-2</v>
      </c>
      <c r="E23" s="192">
        <f t="shared" ref="E23:K23" si="7">SUM(E20:E22)</f>
        <v>0.13372052629690254</v>
      </c>
      <c r="F23" s="192">
        <f t="shared" si="7"/>
        <v>5.1695457544102486E-2</v>
      </c>
      <c r="G23" s="192">
        <f t="shared" si="7"/>
        <v>0.12768709667424363</v>
      </c>
      <c r="H23" s="192">
        <f t="shared" si="7"/>
        <v>0.10507779876386815</v>
      </c>
      <c r="I23" s="192">
        <f t="shared" si="7"/>
        <v>3.5309842614652365E-2</v>
      </c>
      <c r="J23" s="192">
        <f t="shared" si="7"/>
        <v>8.2295228799912579E-2</v>
      </c>
      <c r="K23" s="193">
        <f t="shared" si="7"/>
        <v>8.2416372340121835E-2</v>
      </c>
      <c r="L23" s="174"/>
      <c r="M23" s="193">
        <f>SUM(M20:M22)</f>
        <v>9.0029941377072306E-2</v>
      </c>
      <c r="N23" s="193">
        <f>SUM(N20:N22)</f>
        <v>8.7925231709192336E-2</v>
      </c>
      <c r="AB23" s="173"/>
      <c r="AC23" s="173"/>
      <c r="AD23" s="173"/>
      <c r="AE23" s="173"/>
      <c r="AF23" s="173"/>
      <c r="AG23" s="173"/>
      <c r="AH23" s="173"/>
      <c r="AI23" s="173"/>
      <c r="AJ23" s="173"/>
      <c r="AK23" s="173"/>
      <c r="AL23" s="173"/>
    </row>
    <row r="24" spans="2:38">
      <c r="AB24" s="173"/>
      <c r="AC24" s="173"/>
      <c r="AD24" s="173"/>
      <c r="AE24" s="173"/>
      <c r="AF24" s="173"/>
      <c r="AG24" s="173"/>
      <c r="AH24" s="173"/>
      <c r="AI24" s="173"/>
      <c r="AJ24" s="173"/>
      <c r="AK24" s="173"/>
      <c r="AL24" s="173"/>
    </row>
    <row r="25" spans="2:38">
      <c r="AB25" s="173"/>
      <c r="AC25" s="173"/>
      <c r="AD25" s="173"/>
      <c r="AE25" s="173"/>
      <c r="AF25" s="173"/>
      <c r="AG25" s="173"/>
      <c r="AH25" s="173"/>
      <c r="AI25" s="173"/>
      <c r="AJ25" s="173"/>
      <c r="AK25" s="173"/>
      <c r="AL25" s="173"/>
    </row>
    <row r="26" spans="2:38" s="31" customFormat="1">
      <c r="B26" s="469"/>
      <c r="C26" s="365"/>
      <c r="AB26" s="173"/>
      <c r="AC26" s="173"/>
      <c r="AD26" s="173"/>
      <c r="AE26" s="173"/>
      <c r="AF26" s="173"/>
      <c r="AG26" s="173"/>
      <c r="AH26" s="173"/>
      <c r="AI26" s="173"/>
      <c r="AJ26" s="173"/>
      <c r="AK26" s="173"/>
      <c r="AL26" s="173"/>
    </row>
    <row r="27" spans="2:38">
      <c r="B27" s="529" t="s">
        <v>216</v>
      </c>
      <c r="C27" s="423"/>
      <c r="D27" s="217"/>
      <c r="E27" s="217"/>
      <c r="F27" s="217"/>
      <c r="G27" s="217"/>
      <c r="H27" s="217"/>
      <c r="I27" s="217"/>
      <c r="J27" s="217"/>
      <c r="K27" s="217"/>
      <c r="L27" s="530"/>
      <c r="M27" s="217"/>
      <c r="N27" s="217"/>
      <c r="O27" s="217"/>
      <c r="AB27" s="173"/>
      <c r="AC27" s="173"/>
      <c r="AD27" s="173"/>
      <c r="AE27" s="173"/>
      <c r="AF27" s="173"/>
      <c r="AG27" s="173"/>
      <c r="AH27" s="173"/>
      <c r="AI27" s="173"/>
      <c r="AJ27" s="173"/>
      <c r="AK27" s="173"/>
      <c r="AL27" s="173"/>
    </row>
    <row r="28" spans="2:38">
      <c r="B28" s="197"/>
      <c r="L28" s="48"/>
      <c r="AB28" s="173"/>
      <c r="AC28" s="173"/>
      <c r="AD28" s="173"/>
      <c r="AE28" s="173"/>
      <c r="AF28" s="173"/>
      <c r="AG28" s="173"/>
      <c r="AH28" s="173"/>
      <c r="AI28" s="173"/>
      <c r="AJ28" s="173"/>
      <c r="AK28" s="173"/>
      <c r="AL28" s="173"/>
    </row>
    <row r="29" spans="2:38">
      <c r="B29" s="252" t="s">
        <v>215</v>
      </c>
      <c r="C29" s="254" t="s">
        <v>7</v>
      </c>
      <c r="D29" s="175">
        <f t="shared" ref="D29:K38" si="8">D48/D$66</f>
        <v>6.1120700978856544E-2</v>
      </c>
      <c r="E29" s="176">
        <f t="shared" si="8"/>
        <v>6.0058370488884252E-2</v>
      </c>
      <c r="F29" s="176">
        <f t="shared" si="8"/>
        <v>5.6701495387782193E-2</v>
      </c>
      <c r="G29" s="176">
        <f t="shared" si="8"/>
        <v>5.5474729515406399E-2</v>
      </c>
      <c r="H29" s="176">
        <f t="shared" si="8"/>
        <v>5.3301863281777426E-2</v>
      </c>
      <c r="I29" s="176">
        <f t="shared" si="8"/>
        <v>5.4250575644528107E-2</v>
      </c>
      <c r="J29" s="176">
        <f t="shared" si="8"/>
        <v>5.8040012605981212E-2</v>
      </c>
      <c r="K29" s="177">
        <f t="shared" si="8"/>
        <v>5.7159090244990038E-2</v>
      </c>
      <c r="L29" s="173"/>
      <c r="M29" s="507">
        <f>AVERAGE(D48:INDEX(D48:K48,0,MATCH('RFPR cover'!$C$7,$D$6:$K$6,0)))/AVERAGE($D$66:INDEX($D$66:$K$66,0,MATCH('RFPR cover'!$C$7,$D$6:$K$6,0)))</f>
        <v>5.6544630102567335E-2</v>
      </c>
      <c r="N29" s="507">
        <f>AVERAGE(D48:K48)/AVERAGE($D$66:$K$66)</f>
        <v>5.6827297342717048E-2</v>
      </c>
      <c r="P29" s="322"/>
      <c r="AB29" s="173"/>
      <c r="AC29" s="173"/>
      <c r="AD29" s="173"/>
      <c r="AE29" s="173"/>
      <c r="AF29" s="173"/>
      <c r="AG29" s="173"/>
      <c r="AH29" s="173"/>
      <c r="AI29" s="173"/>
      <c r="AJ29" s="173"/>
      <c r="AK29" s="173"/>
      <c r="AL29" s="173"/>
    </row>
    <row r="30" spans="2:38">
      <c r="B30" s="252" t="str">
        <f t="shared" ref="B30:B37" si="9">B49</f>
        <v>Totex outperformance</v>
      </c>
      <c r="C30" s="254" t="s">
        <v>7</v>
      </c>
      <c r="D30" s="175">
        <f t="shared" si="8"/>
        <v>2.958745019554759E-2</v>
      </c>
      <c r="E30" s="176">
        <f t="shared" si="8"/>
        <v>3.9676384920612685E-2</v>
      </c>
      <c r="F30" s="176">
        <f t="shared" si="8"/>
        <v>-4.6044341097412331E-2</v>
      </c>
      <c r="G30" s="176">
        <f t="shared" si="8"/>
        <v>2.9517236588651331E-2</v>
      </c>
      <c r="H30" s="176">
        <f t="shared" si="8"/>
        <v>2.7596174365446518E-2</v>
      </c>
      <c r="I30" s="176">
        <f t="shared" si="8"/>
        <v>-4.8936334398794606E-3</v>
      </c>
      <c r="J30" s="176">
        <f t="shared" si="8"/>
        <v>5.5890568871240628E-3</v>
      </c>
      <c r="K30" s="177">
        <f t="shared" si="8"/>
        <v>4.4786519649847633E-3</v>
      </c>
      <c r="L30" s="173"/>
      <c r="M30" s="177">
        <f>AVERAGE(D49:INDEX(D49:K49,0,MATCH('RFPR cover'!$C$7,$D$6:$K$6,0)))/AVERAGE($D$66:INDEX($D$66:$K$66,0,MATCH('RFPR cover'!$C$7,$D$6:$K$6,0)))</f>
        <v>1.1909753029820662E-2</v>
      </c>
      <c r="N30" s="177">
        <f t="shared" ref="N30:N38" si="10">AVERAGE(D49:K49)/AVERAGE($D$66:$K$66)</f>
        <v>1.004505719922659E-2</v>
      </c>
      <c r="AB30" s="173"/>
      <c r="AC30" s="173"/>
      <c r="AD30" s="173"/>
      <c r="AE30" s="173"/>
      <c r="AF30" s="173"/>
      <c r="AG30" s="173"/>
      <c r="AH30" s="173"/>
      <c r="AI30" s="173"/>
      <c r="AJ30" s="173"/>
      <c r="AK30" s="173"/>
      <c r="AL30" s="173"/>
    </row>
    <row r="31" spans="2:38">
      <c r="B31" s="252" t="str">
        <f t="shared" si="9"/>
        <v>IQI Reward</v>
      </c>
      <c r="C31" s="254" t="s">
        <v>7</v>
      </c>
      <c r="D31" s="175">
        <f t="shared" si="8"/>
        <v>9.5617092100469536E-3</v>
      </c>
      <c r="E31" s="176">
        <f t="shared" si="8"/>
        <v>9.0706370396473751E-3</v>
      </c>
      <c r="F31" s="176">
        <f t="shared" si="8"/>
        <v>8.068151963688203E-3</v>
      </c>
      <c r="G31" s="176">
        <f t="shared" si="8"/>
        <v>8.2001910893731746E-3</v>
      </c>
      <c r="H31" s="176">
        <f t="shared" si="8"/>
        <v>6.978376806952815E-3</v>
      </c>
      <c r="I31" s="176">
        <f t="shared" si="8"/>
        <v>6.8817320023491016E-3</v>
      </c>
      <c r="J31" s="176">
        <f t="shared" si="8"/>
        <v>6.8774884852543915E-3</v>
      </c>
      <c r="K31" s="177">
        <f t="shared" si="8"/>
        <v>6.6695627035398561E-3</v>
      </c>
      <c r="L31" s="173"/>
      <c r="M31" s="177">
        <f>AVERAGE(D50:INDEX(D50:K50,0,MATCH('RFPR cover'!$C$7,$D$6:$K$6,0)))/AVERAGE($D$66:INDEX($D$66:$K$66,0,MATCH('RFPR cover'!$C$7,$D$6:$K$6,0)))</f>
        <v>8.0326368329114613E-3</v>
      </c>
      <c r="N31" s="177">
        <f t="shared" si="10"/>
        <v>7.6911597020872264E-3</v>
      </c>
      <c r="AB31" s="173"/>
      <c r="AC31" s="173"/>
      <c r="AD31" s="173"/>
      <c r="AE31" s="173"/>
      <c r="AF31" s="173"/>
      <c r="AG31" s="173"/>
      <c r="AH31" s="173"/>
      <c r="AI31" s="173"/>
      <c r="AJ31" s="173"/>
      <c r="AK31" s="173"/>
      <c r="AL31" s="173"/>
    </row>
    <row r="32" spans="2:38">
      <c r="B32" s="252" t="str">
        <f t="shared" si="9"/>
        <v>Broad measure of customer service</v>
      </c>
      <c r="C32" s="254" t="s">
        <v>7</v>
      </c>
      <c r="D32" s="175">
        <f t="shared" si="8"/>
        <v>6.825790914064842E-3</v>
      </c>
      <c r="E32" s="176">
        <f t="shared" si="8"/>
        <v>6.1421983364408211E-3</v>
      </c>
      <c r="F32" s="176">
        <f t="shared" si="8"/>
        <v>6.3510549990239392E-3</v>
      </c>
      <c r="G32" s="176">
        <f t="shared" si="8"/>
        <v>5.9068376154830134E-3</v>
      </c>
      <c r="H32" s="176">
        <f t="shared" si="8"/>
        <v>5.5576706398415736E-3</v>
      </c>
      <c r="I32" s="176">
        <f t="shared" si="8"/>
        <v>5.4678015692725705E-3</v>
      </c>
      <c r="J32" s="176">
        <f t="shared" si="8"/>
        <v>5.6543322201583601E-3</v>
      </c>
      <c r="K32" s="177">
        <f t="shared" si="8"/>
        <v>5.3888688843320405E-3</v>
      </c>
      <c r="L32" s="173"/>
      <c r="M32" s="177">
        <f>AVERAGE(D51:INDEX(D51:K51,0,MATCH('RFPR cover'!$C$7,$D$6:$K$6,0)))/AVERAGE($D$66:INDEX($D$66:$K$66,0,MATCH('RFPR cover'!$C$7,$D$6:$K$6,0)))</f>
        <v>5.9998725486011565E-3</v>
      </c>
      <c r="N32" s="177">
        <f t="shared" si="10"/>
        <v>5.8695561685977822E-3</v>
      </c>
      <c r="AB32" s="173"/>
      <c r="AC32" s="173"/>
      <c r="AD32" s="173"/>
      <c r="AE32" s="173"/>
      <c r="AF32" s="173"/>
      <c r="AG32" s="173"/>
      <c r="AH32" s="173"/>
      <c r="AI32" s="173"/>
      <c r="AJ32" s="173"/>
      <c r="AK32" s="173"/>
      <c r="AL32" s="173"/>
    </row>
    <row r="33" spans="2:38">
      <c r="B33" s="252" t="str">
        <f t="shared" si="9"/>
        <v>Interruptions-related quality of service</v>
      </c>
      <c r="C33" s="254" t="s">
        <v>7</v>
      </c>
      <c r="D33" s="175">
        <f t="shared" si="8"/>
        <v>1.1364576634910499E-2</v>
      </c>
      <c r="E33" s="176">
        <f t="shared" si="8"/>
        <v>1.1704245765858223E-2</v>
      </c>
      <c r="F33" s="176">
        <f t="shared" si="8"/>
        <v>5.7738164916512052E-3</v>
      </c>
      <c r="G33" s="176">
        <f t="shared" si="8"/>
        <v>1.0677768964136164E-2</v>
      </c>
      <c r="H33" s="176">
        <f t="shared" si="8"/>
        <v>9.9936930317114179E-3</v>
      </c>
      <c r="I33" s="176">
        <f t="shared" si="8"/>
        <v>1.0561100921640637E-2</v>
      </c>
      <c r="J33" s="176">
        <f t="shared" si="8"/>
        <v>9.2030575771552305E-3</v>
      </c>
      <c r="K33" s="177">
        <f t="shared" si="8"/>
        <v>8.6407432458431594E-3</v>
      </c>
      <c r="L33" s="173"/>
      <c r="M33" s="177">
        <f>AVERAGE(D52:INDEX(D52:K52,0,MATCH('RFPR cover'!$C$7,$D$6:$K$6,0)))/AVERAGE($D$66:INDEX($D$66:$K$66,0,MATCH('RFPR cover'!$C$7,$D$6:$K$6,0)))</f>
        <v>9.9813419155840317E-3</v>
      </c>
      <c r="N33" s="177">
        <f t="shared" si="10"/>
        <v>9.6927560149115896E-3</v>
      </c>
      <c r="AB33" s="173"/>
      <c r="AC33" s="173"/>
      <c r="AD33" s="173"/>
      <c r="AE33" s="173"/>
      <c r="AF33" s="173"/>
      <c r="AG33" s="173"/>
      <c r="AH33" s="173"/>
      <c r="AI33" s="173"/>
      <c r="AJ33" s="173"/>
      <c r="AK33" s="173"/>
      <c r="AL33" s="173"/>
    </row>
    <row r="34" spans="2:38">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AB34" s="173"/>
      <c r="AC34" s="173"/>
      <c r="AD34" s="173"/>
      <c r="AE34" s="173"/>
      <c r="AF34" s="173"/>
      <c r="AG34" s="173"/>
      <c r="AH34" s="173"/>
      <c r="AI34" s="173"/>
      <c r="AJ34" s="173"/>
      <c r="AK34" s="173"/>
      <c r="AL34" s="173"/>
    </row>
    <row r="35" spans="2:38">
      <c r="B35" s="252" t="str">
        <f t="shared" si="9"/>
        <v>Time to Connect Incentive</v>
      </c>
      <c r="C35" s="254" t="s">
        <v>7</v>
      </c>
      <c r="D35" s="175">
        <f t="shared" si="8"/>
        <v>1.2037303344209257E-3</v>
      </c>
      <c r="E35" s="176">
        <f t="shared" si="8"/>
        <v>1.669401426944511E-3</v>
      </c>
      <c r="F35" s="176">
        <f t="shared" si="8"/>
        <v>1.7102895476500404E-3</v>
      </c>
      <c r="G35" s="176">
        <f t="shared" si="8"/>
        <v>1.7304414333841403E-3</v>
      </c>
      <c r="H35" s="176">
        <f t="shared" si="8"/>
        <v>1.6361127918576852E-3</v>
      </c>
      <c r="I35" s="176">
        <f t="shared" si="8"/>
        <v>1.3760532181794959E-3</v>
      </c>
      <c r="J35" s="176">
        <f t="shared" si="8"/>
        <v>1.6354430611534034E-3</v>
      </c>
      <c r="K35" s="177">
        <f t="shared" si="8"/>
        <v>1.5586611966177482E-3</v>
      </c>
      <c r="L35" s="173"/>
      <c r="M35" s="177">
        <f>AVERAGE(D54:INDEX(D54:K54,0,MATCH('RFPR cover'!$C$7,$D$6:$K$6,0)))/AVERAGE($D$66:INDEX($D$66:$K$66,0,MATCH('RFPR cover'!$C$7,$D$6:$K$6,0)))</f>
        <v>1.5588291639416767E-3</v>
      </c>
      <c r="N35" s="177">
        <f t="shared" si="10"/>
        <v>1.5689250948603219E-3</v>
      </c>
      <c r="AB35" s="173"/>
      <c r="AC35" s="173"/>
      <c r="AD35" s="173"/>
      <c r="AE35" s="173"/>
      <c r="AF35" s="173"/>
      <c r="AG35" s="173"/>
      <c r="AH35" s="173"/>
      <c r="AI35" s="173"/>
      <c r="AJ35" s="173"/>
      <c r="AK35" s="173"/>
      <c r="AL35" s="173"/>
    </row>
    <row r="36" spans="2:38">
      <c r="B36" s="252" t="str">
        <f t="shared" si="9"/>
        <v>Losses discretionary reward scheme</v>
      </c>
      <c r="C36" s="254" t="s">
        <v>7</v>
      </c>
      <c r="D36" s="175">
        <f t="shared" si="8"/>
        <v>0</v>
      </c>
      <c r="E36" s="176">
        <f t="shared" si="8"/>
        <v>9.9966608397132625E-5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1.5072500389007284E-5</v>
      </c>
      <c r="N36" s="177">
        <f t="shared" si="10"/>
        <v>1.0992861906661828E-5</v>
      </c>
      <c r="AB36" s="173"/>
      <c r="AC36" s="173"/>
      <c r="AD36" s="173"/>
      <c r="AE36" s="173"/>
      <c r="AF36" s="173"/>
      <c r="AG36" s="173"/>
      <c r="AH36" s="173"/>
      <c r="AI36" s="173"/>
      <c r="AJ36" s="173"/>
      <c r="AK36" s="173"/>
      <c r="AL36" s="173"/>
    </row>
    <row r="37" spans="2:38">
      <c r="B37" s="252" t="str">
        <f t="shared" si="9"/>
        <v xml:space="preserve">Network Innovation </v>
      </c>
      <c r="C37" s="254" t="s">
        <v>7</v>
      </c>
      <c r="D37" s="175">
        <f t="shared" si="8"/>
        <v>2.3299736550613692E-3</v>
      </c>
      <c r="E37" s="176">
        <f t="shared" si="8"/>
        <v>-2.4095848907032582E-4</v>
      </c>
      <c r="F37" s="176">
        <f t="shared" si="8"/>
        <v>8.3321706943744476E-4</v>
      </c>
      <c r="G37" s="176">
        <f t="shared" si="8"/>
        <v>-1.6774249983647291E-4</v>
      </c>
      <c r="H37" s="176">
        <f t="shared" si="8"/>
        <v>-2.30531697999578E-4</v>
      </c>
      <c r="I37" s="176">
        <f t="shared" si="8"/>
        <v>-1.7634264259165159E-4</v>
      </c>
      <c r="J37" s="176">
        <f t="shared" si="8"/>
        <v>-2.0830764846803309E-4</v>
      </c>
      <c r="K37" s="177">
        <f t="shared" si="8"/>
        <v>-9.9374264388877098E-5</v>
      </c>
      <c r="L37" s="173"/>
      <c r="M37" s="177">
        <f>AVERAGE(D56:INDEX(D56:K56,0,MATCH('RFPR cover'!$C$7,$D$6:$K$6,0)))/AVERAGE($D$66:INDEX($D$66:$K$66,0,MATCH('RFPR cover'!$C$7,$D$6:$K$6,0)))</f>
        <v>3.2904847755568935E-4</v>
      </c>
      <c r="N37" s="177">
        <f t="shared" si="10"/>
        <v>1.9870030843775082E-4</v>
      </c>
      <c r="AB37" s="173"/>
      <c r="AC37" s="173"/>
      <c r="AD37" s="173"/>
      <c r="AE37" s="173"/>
      <c r="AF37" s="173"/>
      <c r="AG37" s="173"/>
      <c r="AH37" s="173"/>
      <c r="AI37" s="173"/>
      <c r="AJ37" s="173"/>
      <c r="AK37" s="173"/>
      <c r="AL37" s="173"/>
    </row>
    <row r="38" spans="2:38">
      <c r="B38" s="252" t="str">
        <f>B57</f>
        <v>Penalties and fines</v>
      </c>
      <c r="C38" s="254" t="s">
        <v>7</v>
      </c>
      <c r="D38" s="185">
        <f t="shared" si="8"/>
        <v>-1.4717653752874074E-7</v>
      </c>
      <c r="E38" s="186">
        <f t="shared" si="8"/>
        <v>0</v>
      </c>
      <c r="F38" s="186">
        <f t="shared" si="8"/>
        <v>-6.1552790135986588E-8</v>
      </c>
      <c r="G38" s="186">
        <f t="shared" si="8"/>
        <v>-5.7040900448175167E-8</v>
      </c>
      <c r="H38" s="186">
        <f t="shared" si="8"/>
        <v>-5.1650642888989608E-8</v>
      </c>
      <c r="I38" s="186">
        <f t="shared" si="8"/>
        <v>-9.0371730368586302E-6</v>
      </c>
      <c r="J38" s="186">
        <f t="shared" si="8"/>
        <v>-1.5595172886777834E-6</v>
      </c>
      <c r="K38" s="187">
        <f t="shared" si="8"/>
        <v>-1.4419597745518628E-6</v>
      </c>
      <c r="L38" s="173"/>
      <c r="M38" s="187">
        <f>AVERAGE(D57:INDEX(D57:K57,0,MATCH('RFPR cover'!$C$7,$D$6:$K$6,0)))/AVERAGE($D$66:INDEX($D$66:$K$66,0,MATCH('RFPR cover'!$C$7,$D$6:$K$6,0)))</f>
        <v>-1.7428455492518706E-6</v>
      </c>
      <c r="N38" s="187">
        <f t="shared" si="10"/>
        <v>-1.676932565497497E-6</v>
      </c>
      <c r="AB38" s="173"/>
      <c r="AC38" s="173"/>
      <c r="AD38" s="173"/>
      <c r="AE38" s="173"/>
      <c r="AF38" s="173"/>
      <c r="AG38" s="173"/>
      <c r="AH38" s="173"/>
      <c r="AI38" s="173"/>
      <c r="AJ38" s="173"/>
      <c r="AK38" s="173"/>
      <c r="AL38" s="173"/>
    </row>
    <row r="39" spans="2:38">
      <c r="B39" s="253" t="str">
        <f>B58</f>
        <v>RoRE - Operational performance</v>
      </c>
      <c r="C39" s="254" t="s">
        <v>7</v>
      </c>
      <c r="D39" s="188">
        <f t="shared" ref="D39:K39" si="11">SUM(D29:D38)</f>
        <v>0.12199378474637118</v>
      </c>
      <c r="E39" s="189">
        <f t="shared" si="11"/>
        <v>0.1281802460977147</v>
      </c>
      <c r="F39" s="189">
        <f t="shared" si="11"/>
        <v>3.3393622809030556E-2</v>
      </c>
      <c r="G39" s="189">
        <f t="shared" si="11"/>
        <v>0.11133940566569731</v>
      </c>
      <c r="H39" s="189">
        <f t="shared" si="11"/>
        <v>0.10483330756894498</v>
      </c>
      <c r="I39" s="189">
        <f t="shared" si="11"/>
        <v>7.3458250100461933E-2</v>
      </c>
      <c r="J39" s="189">
        <f t="shared" si="11"/>
        <v>8.6789523671069943E-2</v>
      </c>
      <c r="K39" s="190">
        <f t="shared" si="11"/>
        <v>8.3794762016144192E-2</v>
      </c>
      <c r="L39" s="174"/>
      <c r="M39" s="190">
        <f>SUM(M29:M38)</f>
        <v>9.4369441725821762E-2</v>
      </c>
      <c r="N39" s="190">
        <f>SUM(N29:N38)</f>
        <v>9.1902767760179485E-2</v>
      </c>
      <c r="AB39" s="173"/>
      <c r="AC39" s="173"/>
      <c r="AD39" s="173"/>
      <c r="AE39" s="173"/>
      <c r="AF39" s="173"/>
      <c r="AG39" s="173"/>
      <c r="AH39" s="173"/>
      <c r="AI39" s="173"/>
      <c r="AJ39" s="173"/>
      <c r="AK39" s="173"/>
      <c r="AL39" s="173"/>
    </row>
    <row r="40" spans="2:38">
      <c r="B40" s="252" t="s">
        <v>457</v>
      </c>
      <c r="C40" s="254" t="s">
        <v>7</v>
      </c>
      <c r="D40" s="175">
        <f>(D59+D60)/D$66</f>
        <v>-3.7792294629852556E-2</v>
      </c>
      <c r="E40" s="176">
        <f t="shared" ref="E40:K40" si="12">(E59+E60)/E$66</f>
        <v>-1.9382654460681333E-2</v>
      </c>
      <c r="F40" s="176">
        <f t="shared" si="12"/>
        <v>-3.8223819782958352E-4</v>
      </c>
      <c r="G40" s="176">
        <f t="shared" si="12"/>
        <v>-9.2039766818204499E-3</v>
      </c>
      <c r="H40" s="176">
        <f t="shared" si="12"/>
        <v>-1.7240256791857134E-2</v>
      </c>
      <c r="I40" s="176">
        <f t="shared" si="12"/>
        <v>-2.8627459577594071E-2</v>
      </c>
      <c r="J40" s="176">
        <f t="shared" si="12"/>
        <v>-5.2726477214985407E-3</v>
      </c>
      <c r="K40" s="177">
        <f t="shared" si="12"/>
        <v>-3.709948256849904E-3</v>
      </c>
      <c r="L40" s="173"/>
      <c r="M40" s="177">
        <f>(AVERAGE(D59:INDEX(D59:K59,0,MATCH('RFPR cover'!$C$7,$D$6:$K$6,0)))+AVERAGE(D60:INDEX(D60:K60,0,MATCH('RFPR cover'!$C$7,$D$6:$K$6,0))))/AVERAGE($D$66:INDEX($D$66:$K$66,0,MATCH('RFPR cover'!$C$7,$D$6:$K$6,0)))</f>
        <v>-1.8505605936741932E-2</v>
      </c>
      <c r="N40" s="177">
        <f>(AVERAGE(D59:K59)+AVERAGE(D60:K60))/AVERAGE($D$66:$K$66)</f>
        <v>-1.4707302096813377E-2</v>
      </c>
      <c r="AB40" s="173"/>
      <c r="AC40" s="173"/>
      <c r="AD40" s="173"/>
      <c r="AE40" s="173"/>
      <c r="AF40" s="173"/>
      <c r="AG40" s="173"/>
      <c r="AH40" s="173"/>
      <c r="AI40" s="173"/>
      <c r="AJ40" s="173"/>
      <c r="AK40" s="173"/>
      <c r="AL40" s="173"/>
    </row>
    <row r="41" spans="2:38">
      <c r="B41" s="252" t="s">
        <v>458</v>
      </c>
      <c r="C41" s="254" t="s">
        <v>7</v>
      </c>
      <c r="D41" s="175">
        <f>(D61+D62)/D$66</f>
        <v>4.8256569395694502E-3</v>
      </c>
      <c r="E41" s="176">
        <f t="shared" ref="E41:K41" si="13">(E61+E62)/E$66</f>
        <v>1.8613013830248205E-2</v>
      </c>
      <c r="F41" s="176">
        <f t="shared" si="13"/>
        <v>1.5020599862060854E-2</v>
      </c>
      <c r="G41" s="176">
        <f t="shared" si="13"/>
        <v>1.1619917806363638E-2</v>
      </c>
      <c r="H41" s="176">
        <f t="shared" si="13"/>
        <v>4.4076064035594763E-3</v>
      </c>
      <c r="I41" s="176">
        <f t="shared" si="13"/>
        <v>-1.0343817179027623E-2</v>
      </c>
      <c r="J41" s="176">
        <f t="shared" si="13"/>
        <v>-5.9699382561542724E-3</v>
      </c>
      <c r="K41" s="177">
        <f t="shared" si="13"/>
        <v>-5.815115089263515E-3</v>
      </c>
      <c r="L41" s="173"/>
      <c r="M41" s="177">
        <f>(AVERAGE(D61:INDEX(D61:K61,0,MATCH('RFPR cover'!$C$7,$D$6:$K$6,0)))+AVERAGE(D62:INDEX(D62:K62,0,MATCH('RFPR cover'!$C$7,$D$6:$K$6,0))))/AVERAGE($D$66:INDEX($D$66:$K$66,0,MATCH('RFPR cover'!$C$7,$D$6:$K$6,0)))</f>
        <v>6.8158478815932228E-3</v>
      </c>
      <c r="N41" s="177">
        <f>(AVERAGE(D61:K61)+AVERAGE(D62:K62))/AVERAGE($D$66:$K$66)</f>
        <v>3.3766054948573669E-3</v>
      </c>
      <c r="AB41" s="173"/>
      <c r="AC41" s="173"/>
      <c r="AD41" s="173"/>
      <c r="AE41" s="173"/>
      <c r="AF41" s="173"/>
      <c r="AG41" s="173"/>
      <c r="AH41" s="173"/>
      <c r="AI41" s="173"/>
      <c r="AJ41" s="173"/>
      <c r="AK41" s="173"/>
      <c r="AL41" s="173"/>
    </row>
    <row r="42" spans="2:38">
      <c r="B42" s="253" t="str">
        <f>B63</f>
        <v>RoRE - including financing and tax</v>
      </c>
      <c r="C42" s="254" t="s">
        <v>7</v>
      </c>
      <c r="D42" s="191">
        <f>SUM(D39:D41)</f>
        <v>8.9027147056088066E-2</v>
      </c>
      <c r="E42" s="192">
        <f t="shared" ref="E42:K42" si="14">SUM(E39:E41)</f>
        <v>0.12741060546728158</v>
      </c>
      <c r="F42" s="192">
        <f t="shared" si="14"/>
        <v>4.8031984473261825E-2</v>
      </c>
      <c r="G42" s="192">
        <f t="shared" si="14"/>
        <v>0.11375534679024049</v>
      </c>
      <c r="H42" s="192">
        <f t="shared" si="14"/>
        <v>9.2000657180647316E-2</v>
      </c>
      <c r="I42" s="192">
        <f t="shared" si="14"/>
        <v>3.4486973343840238E-2</v>
      </c>
      <c r="J42" s="192">
        <f t="shared" si="14"/>
        <v>7.5546937693417124E-2</v>
      </c>
      <c r="K42" s="193">
        <f t="shared" si="14"/>
        <v>7.4269698670030776E-2</v>
      </c>
      <c r="L42" s="174"/>
      <c r="M42" s="193">
        <f>SUM(M39:M41)</f>
        <v>8.2679683670673063E-2</v>
      </c>
      <c r="N42" s="193">
        <f>SUM(N39:N41)</f>
        <v>8.0572071158223471E-2</v>
      </c>
      <c r="AB42" s="173"/>
      <c r="AC42" s="173"/>
      <c r="AD42" s="173"/>
      <c r="AE42" s="173"/>
      <c r="AF42" s="173"/>
      <c r="AG42" s="173"/>
      <c r="AH42" s="173"/>
      <c r="AI42" s="173"/>
      <c r="AJ42" s="173"/>
      <c r="AK42" s="173"/>
      <c r="AL42" s="173"/>
    </row>
    <row r="43" spans="2:38" s="31" customFormat="1">
      <c r="B43" s="470"/>
      <c r="C43" s="471"/>
      <c r="D43" s="472"/>
      <c r="E43" s="472"/>
      <c r="F43" s="472"/>
      <c r="G43" s="472"/>
      <c r="H43" s="472"/>
      <c r="I43" s="472"/>
      <c r="J43" s="472"/>
      <c r="K43" s="472"/>
      <c r="L43" s="473"/>
      <c r="M43" s="472"/>
      <c r="N43" s="472"/>
      <c r="AB43" s="517"/>
      <c r="AC43" s="517"/>
      <c r="AD43" s="517"/>
      <c r="AE43" s="517"/>
      <c r="AF43" s="517"/>
      <c r="AG43" s="517"/>
      <c r="AH43" s="517"/>
      <c r="AI43" s="517"/>
      <c r="AJ43" s="517"/>
      <c r="AK43" s="517"/>
      <c r="AL43" s="517"/>
    </row>
    <row r="44" spans="2:38" s="31" customFormat="1">
      <c r="B44" s="470"/>
      <c r="C44" s="471"/>
      <c r="D44" s="472"/>
      <c r="E44" s="472"/>
      <c r="F44" s="472"/>
      <c r="G44" s="472"/>
      <c r="H44" s="472"/>
      <c r="I44" s="472"/>
      <c r="J44" s="472"/>
      <c r="K44" s="472"/>
      <c r="L44" s="473"/>
      <c r="M44" s="472"/>
      <c r="N44" s="472"/>
      <c r="AB44" s="517"/>
      <c r="AC44" s="517"/>
      <c r="AD44" s="517"/>
      <c r="AE44" s="517"/>
      <c r="AF44" s="517"/>
      <c r="AG44" s="517"/>
      <c r="AH44" s="517"/>
      <c r="AI44" s="517"/>
      <c r="AJ44" s="517"/>
      <c r="AK44" s="517"/>
      <c r="AL44" s="517"/>
    </row>
    <row r="45" spans="2:38" s="31" customFormat="1">
      <c r="B45" s="523" t="s">
        <v>393</v>
      </c>
      <c r="C45" s="524"/>
      <c r="D45" s="525"/>
      <c r="E45" s="525"/>
      <c r="F45" s="525"/>
      <c r="G45" s="525"/>
      <c r="H45" s="525"/>
      <c r="I45" s="525"/>
      <c r="J45" s="525"/>
      <c r="K45" s="525"/>
      <c r="L45" s="526"/>
      <c r="M45" s="525"/>
      <c r="N45" s="525"/>
      <c r="O45" s="217"/>
      <c r="AB45" s="517"/>
      <c r="AC45" s="517"/>
      <c r="AD45" s="517"/>
      <c r="AE45" s="517"/>
      <c r="AF45" s="517"/>
      <c r="AG45" s="517"/>
      <c r="AH45" s="517"/>
      <c r="AI45" s="517"/>
      <c r="AJ45" s="517"/>
      <c r="AK45" s="517"/>
      <c r="AL45" s="517"/>
    </row>
    <row r="46" spans="2:38" s="31" customFormat="1">
      <c r="B46" s="528" t="str">
        <f>"Input values provided in "&amp;'RFPR cover'!C14&amp;" prices"</f>
        <v>Input values provided in £m 12/13 prices</v>
      </c>
      <c r="C46" s="527"/>
      <c r="D46" s="527"/>
      <c r="E46" s="527"/>
      <c r="F46" s="527"/>
      <c r="G46" s="527"/>
      <c r="H46" s="527"/>
      <c r="I46" s="527"/>
      <c r="J46" s="527"/>
      <c r="K46" s="527"/>
      <c r="L46" s="527"/>
      <c r="M46" s="527"/>
      <c r="N46" s="527"/>
      <c r="O46" s="527"/>
      <c r="AB46" s="517"/>
      <c r="AC46" s="517"/>
      <c r="AD46" s="517"/>
      <c r="AE46" s="517"/>
      <c r="AF46" s="517"/>
      <c r="AG46" s="517"/>
      <c r="AH46" s="517"/>
      <c r="AI46" s="517"/>
      <c r="AJ46" s="517"/>
      <c r="AK46" s="517"/>
      <c r="AL46" s="517"/>
    </row>
    <row r="47" spans="2:38">
      <c r="AB47" s="517"/>
      <c r="AC47" s="517"/>
      <c r="AD47" s="517"/>
      <c r="AE47" s="517"/>
      <c r="AF47" s="517"/>
      <c r="AG47" s="517"/>
      <c r="AH47" s="517"/>
      <c r="AI47" s="517"/>
      <c r="AJ47" s="517"/>
      <c r="AK47" s="517"/>
      <c r="AL47" s="517"/>
    </row>
    <row r="48" spans="2:38">
      <c r="B48" s="247" t="s">
        <v>228</v>
      </c>
      <c r="C48" s="342" t="str">
        <f>'RFPR cover'!$C$14</f>
        <v>£m 12/13</v>
      </c>
      <c r="D48" s="178">
        <f>'R9 - RAV'!D50</f>
        <v>18.799892310605564</v>
      </c>
      <c r="E48" s="179">
        <f>'R9 - RAV'!E50</f>
        <v>19.465411851420427</v>
      </c>
      <c r="F48" s="179">
        <f>'R9 - RAV'!F50</f>
        <v>19.923024135683196</v>
      </c>
      <c r="G48" s="179">
        <f>'R9 - RAV'!G50</f>
        <v>20.410133860588328</v>
      </c>
      <c r="H48" s="179">
        <f>'R9 - RAV'!H50</f>
        <v>21.11077401171994</v>
      </c>
      <c r="I48" s="179">
        <f>'R9 - RAV'!I50</f>
        <v>21.839675293891652</v>
      </c>
      <c r="J48" s="179">
        <f>'R9 - RAV'!J50</f>
        <v>22.59439661017878</v>
      </c>
      <c r="K48" s="180">
        <f>'R9 - RAV'!K50</f>
        <v>23.34760098465658</v>
      </c>
      <c r="M48" s="95">
        <f>SUM(D48:INDEX(D48:K48,0,MATCH('RFPR cover'!$C$7,$D$6:$K$6,0)))</f>
        <v>121.54891146390912</v>
      </c>
      <c r="N48" s="95">
        <f>SUM(D48:K48)</f>
        <v>167.49090905874448</v>
      </c>
      <c r="AB48" s="517"/>
      <c r="AC48" s="517"/>
      <c r="AD48" s="517"/>
      <c r="AE48" s="517"/>
      <c r="AF48" s="517"/>
      <c r="AG48" s="517"/>
      <c r="AH48" s="517"/>
      <c r="AI48" s="517"/>
      <c r="AJ48" s="517"/>
      <c r="AK48" s="517"/>
      <c r="AL48" s="517"/>
    </row>
    <row r="49" spans="2:38">
      <c r="B49" s="247" t="s">
        <v>102</v>
      </c>
      <c r="C49" s="342" t="str">
        <f>'RFPR cover'!$C$14</f>
        <v>£m 12/13</v>
      </c>
      <c r="D49" s="251">
        <f>'R4 - Totex'!D35+'R4 - Totex'!D63</f>
        <v>9.1006953211174775</v>
      </c>
      <c r="E49" s="251">
        <f>'R4 - Totex'!E35+'R4 - Totex'!E63</f>
        <v>12.859442688311951</v>
      </c>
      <c r="F49" s="251">
        <f>'R4 - Totex'!F35+'R4 - Totex'!F63</f>
        <v>-16.17845372016486</v>
      </c>
      <c r="G49" s="251">
        <f>'R4 - Totex'!G35+'R4 - Totex'!G63</f>
        <v>10.859913247557468</v>
      </c>
      <c r="H49" s="251">
        <f>'R4 - Totex'!H35+'R4 - Totex'!H63</f>
        <v>10.929760513946775</v>
      </c>
      <c r="I49" s="251">
        <f>'R4 - Totex'!I35+'R4 - Totex'!I63</f>
        <v>-1.9700319132941271</v>
      </c>
      <c r="J49" s="251">
        <f>'R4 - Totex'!J35+'R4 - Totex'!J63</f>
        <v>2.1757639654874676</v>
      </c>
      <c r="K49" s="251">
        <f>'R4 - Totex'!K35+'R4 - Totex'!K63</f>
        <v>1.8293814436064704</v>
      </c>
      <c r="M49" s="95">
        <f>SUM(D49:INDEX(D49:K49,0,MATCH('RFPR cover'!$C$7,$D$6:$K$6,0)))</f>
        <v>25.601326137474686</v>
      </c>
      <c r="N49" s="95">
        <f>SUM(D49:K49)</f>
        <v>29.606471546568628</v>
      </c>
      <c r="AB49" s="517"/>
      <c r="AC49" s="517"/>
      <c r="AD49" s="517"/>
      <c r="AE49" s="517"/>
      <c r="AF49" s="517"/>
      <c r="AG49" s="517"/>
      <c r="AH49" s="517"/>
      <c r="AI49" s="517"/>
      <c r="AJ49" s="517"/>
      <c r="AK49" s="517"/>
      <c r="AL49" s="517"/>
    </row>
    <row r="50" spans="2:38">
      <c r="B50" s="249" t="s">
        <v>110</v>
      </c>
      <c r="C50" s="342" t="str">
        <f>'RFPR cover'!$C$14</f>
        <v>£m 12/13</v>
      </c>
      <c r="D50" s="242">
        <f>'R4 - Totex'!D79</f>
        <v>2.9410510772183733</v>
      </c>
      <c r="E50" s="181">
        <f>'R4 - Totex'!E79</f>
        <v>2.9398680699164812</v>
      </c>
      <c r="F50" s="181">
        <f>'R4 - Totex'!F79</f>
        <v>2.8348809004701465</v>
      </c>
      <c r="G50" s="181">
        <f>'R4 - Totex'!G79</f>
        <v>3.0169952927851424</v>
      </c>
      <c r="H50" s="181">
        <f>'R4 - Totex'!H79</f>
        <v>2.7638608984720676</v>
      </c>
      <c r="I50" s="181">
        <f>'R4 - Totex'!I79</f>
        <v>2.7703815232428126</v>
      </c>
      <c r="J50" s="181">
        <f>'R4 - Totex'!J79</f>
        <v>2.6773375046056018</v>
      </c>
      <c r="K50" s="182">
        <f>'R4 - Totex'!K79</f>
        <v>2.7242961369218883</v>
      </c>
      <c r="M50" s="95">
        <f>SUM(D50:INDEX(D50:K50,0,MATCH('RFPR cover'!$C$7,$D$6:$K$6,0)))</f>
        <v>17.267037762105023</v>
      </c>
      <c r="N50" s="95">
        <f t="shared" ref="N50:N57" si="15">SUM(D50:K50)</f>
        <v>22.668671403632516</v>
      </c>
      <c r="AB50" s="517"/>
      <c r="AC50" s="517"/>
      <c r="AD50" s="517"/>
      <c r="AE50" s="517"/>
      <c r="AF50" s="517"/>
      <c r="AG50" s="517"/>
      <c r="AH50" s="517"/>
      <c r="AI50" s="517"/>
      <c r="AJ50" s="517"/>
      <c r="AK50" s="517"/>
      <c r="AL50" s="517"/>
    </row>
    <row r="51" spans="2:38">
      <c r="B51" s="250" t="str">
        <f>'R5 - Output Incentives'!B39</f>
        <v>Broad measure of customer service</v>
      </c>
      <c r="C51" s="342" t="str">
        <f>'RFPR cover'!$C$14</f>
        <v>£m 12/13</v>
      </c>
      <c r="D51" s="242">
        <f>'R5 - Output Incentives'!D39</f>
        <v>2.0995200000000009</v>
      </c>
      <c r="E51" s="181">
        <f>'R5 - Output Incentives'!E39</f>
        <v>1.9907370000000002</v>
      </c>
      <c r="F51" s="181">
        <f>'R5 - Output Incentives'!F39</f>
        <v>2.2315499999999999</v>
      </c>
      <c r="G51" s="181">
        <f>'R5 - Output Incentives'!G39</f>
        <v>2.1732300000000002</v>
      </c>
      <c r="H51" s="181">
        <f>'R5 - Output Incentives'!H39</f>
        <v>2.2011750000000001</v>
      </c>
      <c r="I51" s="181">
        <f>'R5 - Output Incentives'!I39</f>
        <v>2.2011750000000001</v>
      </c>
      <c r="J51" s="181">
        <f>'R5 - Output Incentives'!J39</f>
        <v>2.2011750000000001</v>
      </c>
      <c r="K51" s="182">
        <f>'R5 - Output Incentives'!K39</f>
        <v>2.2011750000000001</v>
      </c>
      <c r="M51" s="95">
        <f>SUM(D51:INDEX(D51:K51,0,MATCH('RFPR cover'!$C$7,$D$6:$K$6,0)))</f>
        <v>12.897387000000002</v>
      </c>
      <c r="N51" s="95">
        <f t="shared" si="15"/>
        <v>17.299737</v>
      </c>
      <c r="AB51" s="517"/>
      <c r="AC51" s="517"/>
      <c r="AD51" s="517"/>
      <c r="AE51" s="517"/>
      <c r="AF51" s="517"/>
      <c r="AG51" s="517"/>
      <c r="AH51" s="517"/>
      <c r="AI51" s="517"/>
      <c r="AJ51" s="517"/>
      <c r="AK51" s="517"/>
      <c r="AL51" s="517"/>
    </row>
    <row r="52" spans="2:38">
      <c r="B52" s="250" t="str">
        <f>'R5 - Output Incentives'!B40</f>
        <v>Interruptions-related quality of service</v>
      </c>
      <c r="C52" s="342" t="str">
        <f>'RFPR cover'!$C$14</f>
        <v>£m 12/13</v>
      </c>
      <c r="D52" s="242">
        <f>'R5 - Output Incentives'!D40</f>
        <v>3.4955884580880436</v>
      </c>
      <c r="E52" s="181">
        <f>'R5 - Output Incentives'!E40</f>
        <v>3.7934423193323394</v>
      </c>
      <c r="F52" s="181">
        <f>'R5 - Output Incentives'!F40</f>
        <v>2.0287275411603911</v>
      </c>
      <c r="G52" s="181">
        <f>'R5 - Output Incentives'!G40</f>
        <v>3.9285400000000004</v>
      </c>
      <c r="H52" s="181">
        <f>'R5 - Output Incentives'!H40</f>
        <v>3.9581091944132281</v>
      </c>
      <c r="I52" s="181">
        <f>'R5 - Output Incentives'!I40</f>
        <v>4.2515864971824611</v>
      </c>
      <c r="J52" s="181">
        <f>'R5 - Output Incentives'!J40</f>
        <v>3.5826583005105626</v>
      </c>
      <c r="K52" s="182">
        <f>'R5 - Output Incentives'!K40</f>
        <v>3.5294583005105631</v>
      </c>
      <c r="M52" s="95">
        <f>SUM(D52:INDEX(D52:K52,0,MATCH('RFPR cover'!$C$7,$D$6:$K$6,0)))</f>
        <v>21.455994010176465</v>
      </c>
      <c r="N52" s="95">
        <f t="shared" si="15"/>
        <v>28.568110611197589</v>
      </c>
      <c r="AB52" s="517"/>
      <c r="AC52" s="517"/>
      <c r="AD52" s="517"/>
      <c r="AE52" s="517"/>
      <c r="AF52" s="517"/>
      <c r="AG52" s="517"/>
      <c r="AH52" s="517"/>
      <c r="AI52" s="517"/>
      <c r="AJ52" s="517"/>
      <c r="AK52" s="517"/>
      <c r="AL52" s="517"/>
    </row>
    <row r="53" spans="2:38">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AB53" s="517"/>
      <c r="AC53" s="517"/>
      <c r="AD53" s="517"/>
      <c r="AE53" s="517"/>
      <c r="AF53" s="517"/>
      <c r="AG53" s="517"/>
      <c r="AH53" s="517"/>
      <c r="AI53" s="517"/>
      <c r="AJ53" s="517"/>
      <c r="AK53" s="517"/>
      <c r="AL53" s="517"/>
    </row>
    <row r="54" spans="2:38">
      <c r="B54" s="250" t="str">
        <f>'R5 - Output Incentives'!B42</f>
        <v>Time to Connect Incentive</v>
      </c>
      <c r="C54" s="342" t="str">
        <f>'RFPR cover'!$C$14</f>
        <v>£m 12/13</v>
      </c>
      <c r="D54" s="242">
        <f>'R5 - Output Incentives'!D42</f>
        <v>0.37025100000000016</v>
      </c>
      <c r="E54" s="181">
        <f>'R5 - Output Incentives'!E42</f>
        <v>0.54106673318481424</v>
      </c>
      <c r="F54" s="181">
        <f>'R5 - Output Incentives'!F42</f>
        <v>0.60093900000000011</v>
      </c>
      <c r="G54" s="181">
        <f>'R5 - Output Incentives'!G42</f>
        <v>0.63666000000000011</v>
      </c>
      <c r="H54" s="181">
        <f>'R5 - Output Incentives'!H42</f>
        <v>0.64800000000000013</v>
      </c>
      <c r="I54" s="181">
        <f>'R5 - Output Incentives'!I42</f>
        <v>0.55395827814015164</v>
      </c>
      <c r="J54" s="181">
        <f>'R5 - Output Incentives'!J42</f>
        <v>0.63666163217298921</v>
      </c>
      <c r="K54" s="182">
        <f>'R5 - Output Incentives'!K42</f>
        <v>0.63666163217298921</v>
      </c>
      <c r="M54" s="95">
        <f>SUM(D54:INDEX(D54:K54,0,MATCH('RFPR cover'!$C$7,$D$6:$K$6,0)))</f>
        <v>3.3508750113249661</v>
      </c>
      <c r="N54" s="95">
        <f t="shared" si="15"/>
        <v>4.6241982756709445</v>
      </c>
      <c r="AB54" s="517"/>
      <c r="AC54" s="517"/>
      <c r="AD54" s="517"/>
      <c r="AE54" s="517"/>
      <c r="AF54" s="517"/>
      <c r="AG54" s="517"/>
      <c r="AH54" s="517"/>
      <c r="AI54" s="517"/>
      <c r="AJ54" s="517"/>
      <c r="AK54" s="517"/>
      <c r="AL54" s="517"/>
    </row>
    <row r="55" spans="2:38">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AB55" s="517"/>
      <c r="AC55" s="517"/>
      <c r="AD55" s="517"/>
      <c r="AE55" s="517"/>
      <c r="AF55" s="517"/>
      <c r="AG55" s="517"/>
      <c r="AH55" s="517"/>
      <c r="AI55" s="517"/>
      <c r="AJ55" s="517"/>
      <c r="AK55" s="517"/>
      <c r="AL55" s="517"/>
    </row>
    <row r="56" spans="2:38">
      <c r="B56" s="247" t="s">
        <v>499</v>
      </c>
      <c r="C56" s="342" t="str">
        <f>'RFPR cover'!$C$14</f>
        <v>£m 12/13</v>
      </c>
      <c r="D56" s="242">
        <f>-'R6 - Innovation'!D28</f>
        <v>0.71666805354301499</v>
      </c>
      <c r="E56" s="181">
        <f>-'R6 - Innovation'!E28</f>
        <v>-7.8096628174718491E-2</v>
      </c>
      <c r="F56" s="181">
        <f>-'R6 - Innovation'!F28</f>
        <v>0.292764832234784</v>
      </c>
      <c r="G56" s="181">
        <f>-'R6 - Innovation'!G28</f>
        <v>-6.1715431615062051E-2</v>
      </c>
      <c r="H56" s="181">
        <f>-'R6 - Innovation'!H28</f>
        <v>-9.130454883499288E-2</v>
      </c>
      <c r="I56" s="181">
        <f>-'R6 - Innovation'!I28</f>
        <v>-7.0990326073284912E-2</v>
      </c>
      <c r="J56" s="181">
        <f>-'R6 - Innovation'!J28</f>
        <v>-8.1092084841060341E-2</v>
      </c>
      <c r="K56" s="182">
        <f>-'R6 - Innovation'!K28</f>
        <v>-4.0591105686791966E-2</v>
      </c>
      <c r="M56" s="95">
        <f>SUM(D56:INDEX(D56:K56,0,MATCH('RFPR cover'!$C$7,$D$6:$K$6,0)))</f>
        <v>0.70732595107974061</v>
      </c>
      <c r="N56" s="95">
        <f t="shared" si="15"/>
        <v>0.58564276055188835</v>
      </c>
      <c r="AB56" s="517"/>
      <c r="AC56" s="517"/>
      <c r="AD56" s="517"/>
      <c r="AE56" s="517"/>
      <c r="AF56" s="517"/>
      <c r="AG56" s="517"/>
      <c r="AH56" s="517"/>
      <c r="AI56" s="517"/>
      <c r="AJ56" s="517"/>
      <c r="AK56" s="517"/>
      <c r="AL56" s="517"/>
    </row>
    <row r="57" spans="2:38">
      <c r="B57" s="247" t="s">
        <v>35</v>
      </c>
      <c r="C57" s="342" t="str">
        <f>'RFPR cover'!$C$14</f>
        <v>£m 12/13</v>
      </c>
      <c r="D57" s="243">
        <f>-'R13 - Other Activities '!D8</f>
        <v>-4.5269491545021344E-5</v>
      </c>
      <c r="E57" s="243">
        <f>-'R13 - Other Activities '!E8</f>
        <v>0</v>
      </c>
      <c r="F57" s="243">
        <f>-'R13 - Other Activities '!F8</f>
        <v>-2.162760814527204E-5</v>
      </c>
      <c r="G57" s="243">
        <f>-'R13 - Other Activities '!G8</f>
        <v>-2.0986355838876579E-5</v>
      </c>
      <c r="H57" s="243">
        <f>-'R13 - Other Activities '!H8</f>
        <v>-2.0456790484513596E-5</v>
      </c>
      <c r="I57" s="243">
        <f>-'R13 - Other Activities '!I8</f>
        <v>-3.638098257112457E-3</v>
      </c>
      <c r="J57" s="243">
        <f>-'R13 - Other Activities '!J8</f>
        <v>-6.0710448807148071E-4</v>
      </c>
      <c r="K57" s="243">
        <f>-'R13 - Other Activities '!K8</f>
        <v>-5.889929547140244E-4</v>
      </c>
      <c r="M57" s="95">
        <f>SUM(D57:INDEX(D57:K57,0,MATCH('RFPR cover'!$C$7,$D$6:$K$6,0)))</f>
        <v>-3.7464385031261405E-3</v>
      </c>
      <c r="N57" s="95">
        <f t="shared" si="15"/>
        <v>-4.9425359459116455E-3</v>
      </c>
      <c r="AB57" s="517"/>
      <c r="AC57" s="517"/>
      <c r="AD57" s="517"/>
      <c r="AE57" s="517"/>
      <c r="AF57" s="517"/>
      <c r="AG57" s="517"/>
      <c r="AH57" s="517"/>
      <c r="AI57" s="517"/>
      <c r="AJ57" s="517"/>
      <c r="AK57" s="517"/>
      <c r="AL57" s="517"/>
    </row>
    <row r="58" spans="2:38">
      <c r="B58" s="248" t="s">
        <v>103</v>
      </c>
      <c r="C58" s="342" t="str">
        <f>'RFPR cover'!$C$14</f>
        <v>£m 12/13</v>
      </c>
      <c r="D58" s="244">
        <f t="shared" ref="D58:K58" si="16">SUM(D48:D57)</f>
        <v>37.523620951080936</v>
      </c>
      <c r="E58" s="143">
        <f t="shared" si="16"/>
        <v>41.544272033991298</v>
      </c>
      <c r="F58" s="143">
        <f t="shared" si="16"/>
        <v>11.733411061775513</v>
      </c>
      <c r="G58" s="143">
        <f t="shared" si="16"/>
        <v>40.963735982960031</v>
      </c>
      <c r="H58" s="143">
        <f t="shared" si="16"/>
        <v>41.520354612926532</v>
      </c>
      <c r="I58" s="143">
        <f t="shared" si="16"/>
        <v>29.572116254832547</v>
      </c>
      <c r="J58" s="143">
        <f t="shared" si="16"/>
        <v>33.786293823626266</v>
      </c>
      <c r="K58" s="144">
        <f t="shared" si="16"/>
        <v>34.22739339922699</v>
      </c>
      <c r="M58" s="142">
        <f>SUM(M48:M57)</f>
        <v>202.8575108975669</v>
      </c>
      <c r="N58" s="144">
        <f>SUM(N48:N57)</f>
        <v>270.8711981204201</v>
      </c>
      <c r="AB58" s="517"/>
      <c r="AC58" s="517"/>
      <c r="AD58" s="517"/>
      <c r="AE58" s="517"/>
      <c r="AF58" s="517"/>
      <c r="AG58" s="517"/>
      <c r="AH58" s="517"/>
      <c r="AI58" s="517"/>
      <c r="AJ58" s="517"/>
      <c r="AK58" s="517"/>
      <c r="AL58" s="517"/>
    </row>
    <row r="59" spans="2:38">
      <c r="B59" s="247" t="s">
        <v>438</v>
      </c>
      <c r="C59" s="342" t="str">
        <f>'RFPR cover'!$C$14</f>
        <v>£m 12/13</v>
      </c>
      <c r="D59" s="242">
        <f>'R7 - Financing'!D88+'R10 - Tax'!D89</f>
        <v>-12.216575330161215</v>
      </c>
      <c r="E59" s="242">
        <f>'R7 - Financing'!E88+'R10 - Tax'!E89</f>
        <v>-6.9061979484180895</v>
      </c>
      <c r="F59" s="242">
        <f>'R7 - Financing'!F88+'R10 - Tax'!F89</f>
        <v>-0.91849759242021844</v>
      </c>
      <c r="G59" s="242">
        <f>'R7 - Financing'!G88+'R10 - Tax'!G89</f>
        <v>-4.5184289600554104</v>
      </c>
      <c r="H59" s="242">
        <f>'R7 - Financing'!H88+'R10 - Tax'!H89</f>
        <v>-8.6055083608389999</v>
      </c>
      <c r="I59" s="242">
        <f>'R7 - Financing'!I88+'R10 - Tax'!I89</f>
        <v>-13.358697111649338</v>
      </c>
      <c r="J59" s="242">
        <f>'R7 - Financing'!J88+'R10 - Tax'!J89</f>
        <v>-2.4089590707108144</v>
      </c>
      <c r="K59" s="242">
        <f>'R7 - Financing'!K88+'R10 - Tax'!K89</f>
        <v>-1.7861018990663704</v>
      </c>
      <c r="M59" s="95">
        <f>SUM(D59:INDEX(D59:K59,0,MATCH('RFPR cover'!$C$7,$D$6:$K$6,0)))</f>
        <v>-46.523905303543273</v>
      </c>
      <c r="N59" s="95">
        <f>SUM(D59:K59)</f>
        <v>-50.718966273320461</v>
      </c>
      <c r="AB59" s="517"/>
      <c r="AC59" s="517"/>
      <c r="AD59" s="517"/>
      <c r="AE59" s="517"/>
      <c r="AF59" s="517"/>
      <c r="AG59" s="517"/>
      <c r="AH59" s="517"/>
      <c r="AI59" s="517"/>
      <c r="AJ59" s="517"/>
      <c r="AK59" s="517"/>
      <c r="AL59" s="517"/>
    </row>
    <row r="60" spans="2:38">
      <c r="B60" s="247" t="s">
        <v>433</v>
      </c>
      <c r="C60" s="342" t="str">
        <f>'RFPR cover'!$C$14</f>
        <v>£m 12/13</v>
      </c>
      <c r="D60" s="242">
        <f>'R7 - Financing'!D90+'R10 - Tax'!D90</f>
        <v>0.59218199315277786</v>
      </c>
      <c r="E60" s="242">
        <f>'R7 - Financing'!E90+'R10 - Tax'!E90</f>
        <v>0.62412021670934426</v>
      </c>
      <c r="F60" s="242">
        <f>'R7 - Financing'!F90+'R10 - Tax'!F90</f>
        <v>0.78419177228518611</v>
      </c>
      <c r="G60" s="242">
        <f>'R7 - Financing'!G90+'R10 - Tax'!G90</f>
        <v>1.1321231994564664</v>
      </c>
      <c r="H60" s="242">
        <f>'R7 - Financing'!H90+'R10 - Tax'!H90</f>
        <v>1.777319951873136</v>
      </c>
      <c r="I60" s="242">
        <f>'R7 - Financing'!I90+'R10 - Tax'!I90</f>
        <v>1.8341295981113626</v>
      </c>
      <c r="J60" s="242">
        <f>'R7 - Financing'!J90+'R10 - Tax'!J90</f>
        <v>0.35637002987010796</v>
      </c>
      <c r="K60" s="242">
        <f>'R7 - Financing'!K90+'R10 - Tax'!K90</f>
        <v>0.27071053780785487</v>
      </c>
      <c r="M60" s="95">
        <f>SUM(D60:INDEX(D60:K60,0,MATCH('RFPR cover'!$C$7,$D$6:$K$6,0)))</f>
        <v>6.7440667315882727</v>
      </c>
      <c r="N60" s="95">
        <f>SUM(D60:K60)</f>
        <v>7.3711472992662355</v>
      </c>
      <c r="AB60" s="517"/>
      <c r="AC60" s="517"/>
      <c r="AD60" s="517"/>
      <c r="AE60" s="517"/>
      <c r="AF60" s="517"/>
      <c r="AG60" s="517"/>
      <c r="AH60" s="517"/>
      <c r="AI60" s="517"/>
      <c r="AJ60" s="517"/>
      <c r="AK60" s="517"/>
      <c r="AL60" s="517"/>
    </row>
    <row r="61" spans="2:38">
      <c r="B61" s="247" t="s">
        <v>439</v>
      </c>
      <c r="C61" s="342" t="str">
        <f>'RFPR cover'!$C$14</f>
        <v>£m 12/13</v>
      </c>
      <c r="D61" s="242">
        <f>'R10 - Tax'!D82-'R10 - Tax'!D89</f>
        <v>1.4843061244211753</v>
      </c>
      <c r="E61" s="242">
        <f>'R10 - Tax'!E82-'R10 - Tax'!E89</f>
        <v>6.0326308731440346</v>
      </c>
      <c r="F61" s="242">
        <f>'R10 - Tax'!F82-'R10 - Tax'!F89</f>
        <v>5.2777404112125144</v>
      </c>
      <c r="G61" s="242">
        <f>'R10 - Tax'!G82-'R10 - Tax'!G89</f>
        <v>4.2751732175828039</v>
      </c>
      <c r="H61" s="242">
        <f>'R10 - Tax'!H82-'R10 - Tax'!H89</f>
        <v>1.7456797378031728</v>
      </c>
      <c r="I61" s="242">
        <f>'R10 - Tax'!I82-'R10 - Tax'!I89</f>
        <v>-4.1641144965828083</v>
      </c>
      <c r="J61" s="242">
        <f>'R10 - Tax'!J82-'R10 - Tax'!J89</f>
        <v>-2.3240372743118289</v>
      </c>
      <c r="K61" s="242">
        <f>'R10 - Tax'!K82-'R10 - Tax'!K89</f>
        <v>-2.3752825001598108</v>
      </c>
      <c r="M61" s="95">
        <f>SUM(D61:INDEX(D61:K61,0,MATCH('RFPR cover'!$C$7,$D$6:$K$6,0)))</f>
        <v>14.651415867580891</v>
      </c>
      <c r="N61" s="95">
        <f>SUM(D61:K61)</f>
        <v>9.952096093109251</v>
      </c>
      <c r="AB61" s="517"/>
      <c r="AC61" s="517"/>
      <c r="AD61" s="517"/>
      <c r="AE61" s="517"/>
      <c r="AF61" s="517"/>
      <c r="AG61" s="517"/>
      <c r="AH61" s="517"/>
      <c r="AI61" s="517"/>
      <c r="AJ61" s="517"/>
      <c r="AK61" s="517"/>
      <c r="AL61" s="517"/>
    </row>
    <row r="62" spans="2:38">
      <c r="B62" s="247" t="s">
        <v>434</v>
      </c>
      <c r="C62" s="342" t="str">
        <f>'RFPR cover'!$C$14</f>
        <v>£m 12/13</v>
      </c>
      <c r="D62" s="242">
        <f>'R10 - Tax'!D84-'R10 - Tax'!D90</f>
        <v>0</v>
      </c>
      <c r="E62" s="242">
        <f>'R10 - Tax'!E84-'R10 - Tax'!E90</f>
        <v>0</v>
      </c>
      <c r="F62" s="242">
        <f>'R10 - Tax'!F84-'R10 - Tax'!F90</f>
        <v>-3.3306690738754696E-16</v>
      </c>
      <c r="G62" s="242">
        <f>'R10 - Tax'!G84-'R10 - Tax'!G90</f>
        <v>0</v>
      </c>
      <c r="H62" s="242">
        <f>'R10 - Tax'!H84-'R10 - Tax'!H90</f>
        <v>0</v>
      </c>
      <c r="I62" s="242">
        <f>'R10 - Tax'!I84-'R10 - Tax'!I90</f>
        <v>1.3322676295501878E-15</v>
      </c>
      <c r="J62" s="242">
        <f>'R10 - Tax'!J84-'R10 - Tax'!J90</f>
        <v>7.2164496600635175E-16</v>
      </c>
      <c r="K62" s="242">
        <f>'R10 - Tax'!K84-'R10 - Tax'!K90</f>
        <v>0</v>
      </c>
      <c r="M62" s="95">
        <f>SUM(D62:INDEX(D62:K62,0,MATCH('RFPR cover'!$C$7,$D$6:$K$6,0)))</f>
        <v>9.9920072216264089E-16</v>
      </c>
      <c r="N62" s="95">
        <f>SUM(D62:K62)</f>
        <v>1.7208456881689926E-15</v>
      </c>
      <c r="AB62" s="517"/>
      <c r="AC62" s="517"/>
      <c r="AD62" s="517"/>
      <c r="AE62" s="517"/>
      <c r="AF62" s="517"/>
      <c r="AG62" s="517"/>
      <c r="AH62" s="517"/>
      <c r="AI62" s="517"/>
      <c r="AJ62" s="517"/>
      <c r="AK62" s="517"/>
      <c r="AL62" s="517"/>
    </row>
    <row r="63" spans="2:38">
      <c r="B63" s="248" t="s">
        <v>104</v>
      </c>
      <c r="C63" s="342" t="str">
        <f>'RFPR cover'!$C$14</f>
        <v>£m 12/13</v>
      </c>
      <c r="D63" s="245">
        <f>SUM(D58:D62)</f>
        <v>27.383533738493675</v>
      </c>
      <c r="E63" s="146">
        <f t="shared" ref="E63:K63" si="17">SUM(E58:E62)</f>
        <v>41.294825175426588</v>
      </c>
      <c r="F63" s="146">
        <f t="shared" si="17"/>
        <v>16.876845652852996</v>
      </c>
      <c r="G63" s="146">
        <f t="shared" si="17"/>
        <v>41.852603439943891</v>
      </c>
      <c r="H63" s="146">
        <f t="shared" si="17"/>
        <v>36.43784594176384</v>
      </c>
      <c r="I63" s="146">
        <f t="shared" si="17"/>
        <v>13.883434244711767</v>
      </c>
      <c r="J63" s="146">
        <f t="shared" si="17"/>
        <v>29.409667508473731</v>
      </c>
      <c r="K63" s="147">
        <f t="shared" si="17"/>
        <v>30.336719537808662</v>
      </c>
      <c r="M63" s="145">
        <f>SUM(M58:M62)</f>
        <v>177.72908819319278</v>
      </c>
      <c r="N63" s="147">
        <f>SUM(N58:N62)</f>
        <v>237.47547523947512</v>
      </c>
      <c r="AB63" s="517"/>
      <c r="AC63" s="517"/>
      <c r="AD63" s="517"/>
      <c r="AE63" s="517"/>
      <c r="AF63" s="517"/>
      <c r="AG63" s="517"/>
      <c r="AH63" s="517"/>
      <c r="AI63" s="517"/>
      <c r="AJ63" s="517"/>
      <c r="AK63" s="517"/>
      <c r="AL63" s="517"/>
    </row>
    <row r="64" spans="2:38">
      <c r="B64" s="247"/>
      <c r="D64" s="420"/>
      <c r="AB64" s="517"/>
      <c r="AC64" s="517"/>
      <c r="AD64" s="517"/>
      <c r="AE64" s="517"/>
      <c r="AF64" s="517"/>
      <c r="AG64" s="517"/>
      <c r="AH64" s="517"/>
      <c r="AI64" s="517"/>
      <c r="AJ64" s="517"/>
      <c r="AK64" s="517"/>
      <c r="AL64" s="517"/>
    </row>
    <row r="65" spans="2:38">
      <c r="B65" s="247" t="s">
        <v>232</v>
      </c>
      <c r="C65" s="342" t="str">
        <f>'RFPR cover'!$C$14</f>
        <v>£m 12/13</v>
      </c>
      <c r="D65" s="241">
        <f>'R9 - RAV'!D46</f>
        <v>293.74831735321192</v>
      </c>
      <c r="E65" s="179">
        <f>'R9 - RAV'!E46</f>
        <v>304.14706017844418</v>
      </c>
      <c r="F65" s="179">
        <f>'R9 - RAV'!F46</f>
        <v>311.2972521200499</v>
      </c>
      <c r="G65" s="179">
        <f>'R9 - RAV'!G46</f>
        <v>318.90834157169263</v>
      </c>
      <c r="H65" s="179">
        <f>'R9 - RAV'!H46</f>
        <v>329.85584393312405</v>
      </c>
      <c r="I65" s="179">
        <f>'R9 - RAV'!I46</f>
        <v>341.24492646705704</v>
      </c>
      <c r="J65" s="179">
        <f>'R9 - RAV'!J46</f>
        <v>353.03744703404345</v>
      </c>
      <c r="K65" s="180">
        <f>'R9 - RAV'!K46</f>
        <v>364.80626538525905</v>
      </c>
      <c r="AB65" s="517"/>
      <c r="AC65" s="517"/>
      <c r="AD65" s="517"/>
      <c r="AE65" s="517"/>
      <c r="AF65" s="517"/>
      <c r="AG65" s="517"/>
      <c r="AH65" s="517"/>
      <c r="AI65" s="517"/>
      <c r="AJ65" s="517"/>
      <c r="AK65" s="517"/>
      <c r="AL65" s="517"/>
    </row>
    <row r="66" spans="2:38">
      <c r="B66" s="247" t="s">
        <v>107</v>
      </c>
      <c r="C66" s="342" t="str">
        <f>'RFPR cover'!$C$14</f>
        <v>£m 12/13</v>
      </c>
      <c r="D66" s="246">
        <f>'R8 - Net Debt'!D62</f>
        <v>307.58633342750767</v>
      </c>
      <c r="E66" s="183">
        <f>'R8 - Net Debt'!E62</f>
        <v>324.10822493132963</v>
      </c>
      <c r="F66" s="183">
        <f>'R8 - Net Debt'!F62</f>
        <v>351.36682021222543</v>
      </c>
      <c r="G66" s="183">
        <f>'R8 - Net Debt'!G62</f>
        <v>367.91768141780739</v>
      </c>
      <c r="H66" s="183">
        <f>'R8 - Net Debt'!H62</f>
        <v>396.0607136774745</v>
      </c>
      <c r="I66" s="183">
        <f>'R8 - Net Debt'!I62</f>
        <v>402.5703881373372</v>
      </c>
      <c r="J66" s="183">
        <f>'R8 - Net Debt'!J62</f>
        <v>389.29000177112908</v>
      </c>
      <c r="K66" s="184">
        <f>'R8 - Net Debt'!K62</f>
        <v>408.46698022285238</v>
      </c>
      <c r="AB66" s="517"/>
      <c r="AC66" s="517"/>
      <c r="AD66" s="517"/>
      <c r="AE66" s="517"/>
      <c r="AF66" s="517"/>
      <c r="AG66" s="517"/>
      <c r="AH66" s="517"/>
      <c r="AI66" s="517"/>
      <c r="AJ66" s="517"/>
      <c r="AK66" s="517"/>
      <c r="AL66" s="517"/>
    </row>
    <row r="67" spans="2:38">
      <c r="AB67" s="517"/>
      <c r="AC67" s="517"/>
      <c r="AD67" s="517"/>
      <c r="AE67" s="517"/>
      <c r="AF67" s="517"/>
      <c r="AG67" s="517"/>
      <c r="AH67" s="517"/>
      <c r="AI67" s="517"/>
      <c r="AJ67" s="517"/>
      <c r="AK67" s="517"/>
      <c r="AL67" s="517"/>
    </row>
  </sheetData>
  <conditionalFormatting sqref="D5:K6">
    <cfRule type="expression" dxfId="89"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64.36328125" style="213" customWidth="1"/>
    <col min="3" max="3" width="13.36328125" style="136" customWidth="1"/>
    <col min="4" max="11" width="11.08984375" customWidth="1"/>
    <col min="12" max="12" width="5" style="42" customWidth="1"/>
  </cols>
  <sheetData>
    <row r="1" spans="1:12" s="31" customFormat="1" ht="21">
      <c r="A1" s="920" t="s">
        <v>119</v>
      </c>
      <c r="B1" s="921"/>
      <c r="C1" s="275"/>
      <c r="D1" s="274"/>
      <c r="E1" s="274"/>
      <c r="F1" s="274"/>
      <c r="G1" s="274"/>
      <c r="H1" s="274"/>
      <c r="I1" s="274"/>
      <c r="J1" s="274"/>
      <c r="K1" s="274"/>
      <c r="L1" s="276"/>
    </row>
    <row r="2" spans="1:12" s="31" customFormat="1" ht="21">
      <c r="A2" s="909" t="str">
        <f>'RFPR cover'!C5</f>
        <v>WPD-SWALES</v>
      </c>
      <c r="B2" s="922"/>
      <c r="C2" s="134"/>
      <c r="D2" s="29"/>
      <c r="E2" s="29"/>
      <c r="F2" s="29"/>
      <c r="G2" s="29"/>
      <c r="H2" s="29"/>
      <c r="I2" s="27"/>
      <c r="J2" s="27"/>
      <c r="K2" s="27"/>
      <c r="L2" s="123"/>
    </row>
    <row r="3" spans="1:12" s="31" customFormat="1" ht="21">
      <c r="A3" s="912">
        <f>'RFPR cover'!C7</f>
        <v>2021</v>
      </c>
      <c r="B3" s="923"/>
      <c r="C3" s="277"/>
      <c r="D3" s="260"/>
      <c r="E3" s="260"/>
      <c r="F3" s="260"/>
      <c r="G3" s="260"/>
      <c r="H3" s="260"/>
      <c r="I3" s="255"/>
      <c r="J3" s="255"/>
      <c r="K3" s="255"/>
      <c r="L3" s="261"/>
    </row>
    <row r="4" spans="1:12" s="35" customFormat="1" ht="12.75" customHeight="1">
      <c r="B4" s="225"/>
      <c r="C4" s="138"/>
      <c r="L4" s="57"/>
    </row>
    <row r="5" spans="1:12" s="2" customFormat="1">
      <c r="B5" s="129"/>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L5" s="53"/>
    </row>
    <row r="6" spans="1:12"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3"/>
    </row>
    <row r="7" spans="1:12" s="2" customFormat="1">
      <c r="B7" s="763"/>
      <c r="C7" s="152"/>
      <c r="D7" s="49"/>
      <c r="E7" s="49"/>
      <c r="F7" s="49"/>
      <c r="G7" s="49"/>
      <c r="H7" s="49"/>
      <c r="I7" s="49"/>
      <c r="J7" s="49"/>
      <c r="K7" s="49"/>
      <c r="L7" s="57"/>
    </row>
    <row r="8" spans="1:12" s="2" customFormat="1">
      <c r="B8" s="764" t="s">
        <v>155</v>
      </c>
      <c r="C8" s="150"/>
      <c r="D8" s="80"/>
      <c r="E8" s="80"/>
      <c r="F8" s="80"/>
      <c r="G8" s="80"/>
      <c r="H8" s="80"/>
      <c r="I8" s="80"/>
      <c r="J8" s="80"/>
      <c r="K8" s="80"/>
      <c r="L8" s="272"/>
    </row>
    <row r="9" spans="1:12" s="35" customFormat="1">
      <c r="A9" s="2"/>
      <c r="B9" s="765"/>
      <c r="C9" s="138"/>
      <c r="L9" s="57"/>
    </row>
    <row r="10" spans="1:12" s="2" customFormat="1">
      <c r="B10" s="766" t="s">
        <v>386</v>
      </c>
      <c r="C10" s="151" t="str">
        <f>'RFPR cover'!$C$14</f>
        <v>£m 12/13</v>
      </c>
      <c r="D10" s="593">
        <v>198.7</v>
      </c>
      <c r="E10" s="594">
        <v>203.6</v>
      </c>
      <c r="F10" s="594">
        <v>208.2</v>
      </c>
      <c r="G10" s="594">
        <v>210.3</v>
      </c>
      <c r="H10" s="594">
        <v>212.4</v>
      </c>
      <c r="I10" s="594">
        <v>214.5</v>
      </c>
      <c r="J10" s="594"/>
      <c r="K10" s="594"/>
      <c r="L10" s="57"/>
    </row>
    <row r="11" spans="1:12" s="2" customFormat="1">
      <c r="B11" s="766" t="s">
        <v>387</v>
      </c>
      <c r="C11" s="151" t="str">
        <f>'RFPR cover'!$C$14</f>
        <v>£m 12/13</v>
      </c>
      <c r="D11" s="595">
        <v>0</v>
      </c>
      <c r="E11" s="596">
        <v>-0.1</v>
      </c>
      <c r="F11" s="596">
        <v>-2.9</v>
      </c>
      <c r="G11" s="596">
        <v>-4.8</v>
      </c>
      <c r="H11" s="596">
        <v>-5.0999999999999996</v>
      </c>
      <c r="I11" s="596">
        <v>-12.7</v>
      </c>
      <c r="J11" s="596"/>
      <c r="K11" s="596"/>
      <c r="L11" s="57"/>
    </row>
    <row r="12" spans="1:12" s="2" customFormat="1">
      <c r="B12" s="766" t="s">
        <v>147</v>
      </c>
      <c r="C12" s="151" t="str">
        <f>'RFPR cover'!$C$14</f>
        <v>£m 12/13</v>
      </c>
      <c r="D12" s="595">
        <v>0</v>
      </c>
      <c r="E12" s="596">
        <v>0</v>
      </c>
      <c r="F12" s="596">
        <v>-4.3816203582429871</v>
      </c>
      <c r="G12" s="596">
        <v>-0.80136571156188618</v>
      </c>
      <c r="H12" s="596">
        <v>0.51160452926113109</v>
      </c>
      <c r="I12" s="596">
        <v>-0.21529599905367428</v>
      </c>
      <c r="J12" s="596"/>
      <c r="K12" s="596"/>
      <c r="L12" s="57"/>
    </row>
    <row r="13" spans="1:12" s="2" customFormat="1">
      <c r="B13" s="766" t="s">
        <v>375</v>
      </c>
      <c r="C13" s="152" t="s">
        <v>127</v>
      </c>
      <c r="D13" s="816">
        <v>1.0820000000000001</v>
      </c>
      <c r="E13" s="817">
        <v>1.087</v>
      </c>
      <c r="F13" s="817">
        <v>1.121</v>
      </c>
      <c r="G13" s="817">
        <v>1.159</v>
      </c>
      <c r="H13" s="817">
        <v>1.198</v>
      </c>
      <c r="I13" s="817">
        <v>1.2170000000000001</v>
      </c>
      <c r="J13" s="817"/>
      <c r="K13" s="817"/>
      <c r="L13" s="57"/>
    </row>
    <row r="14" spans="1:12" s="2" customFormat="1">
      <c r="B14" s="767" t="s">
        <v>196</v>
      </c>
      <c r="C14" s="266" t="s">
        <v>128</v>
      </c>
      <c r="D14" s="628">
        <f>SUM(D10:D12)*D13</f>
        <v>214.99340000000001</v>
      </c>
      <c r="E14" s="629">
        <f t="shared" ref="E14:K14" si="1">SUM(E10:E12)*E13</f>
        <v>221.2045</v>
      </c>
      <c r="F14" s="629">
        <f t="shared" si="1"/>
        <v>225.22950357840958</v>
      </c>
      <c r="G14" s="629">
        <f t="shared" si="1"/>
        <v>237.24571714029977</v>
      </c>
      <c r="H14" s="629">
        <f t="shared" si="1"/>
        <v>248.95830222605483</v>
      </c>
      <c r="I14" s="629">
        <f t="shared" si="1"/>
        <v>245.32858476915172</v>
      </c>
      <c r="J14" s="629">
        <f t="shared" si="1"/>
        <v>0</v>
      </c>
      <c r="K14" s="630">
        <f t="shared" si="1"/>
        <v>0</v>
      </c>
      <c r="L14" s="57"/>
    </row>
    <row r="15" spans="1:12" s="2" customFormat="1">
      <c r="B15" s="213" t="s">
        <v>131</v>
      </c>
      <c r="C15" s="152" t="s">
        <v>128</v>
      </c>
      <c r="D15" s="597">
        <f>'R5 - Output Incentives'!D102</f>
        <v>6.3768655592999988</v>
      </c>
      <c r="E15" s="598">
        <f>'R5 - Output Incentives'!E102</f>
        <v>6.3824136960794364</v>
      </c>
      <c r="F15" s="599">
        <f>'R5 - Output Incentives'!F102</f>
        <v>8.489102325617857</v>
      </c>
      <c r="G15" s="599">
        <f>'R5 - Output Incentives'!G102</f>
        <v>9.2338242356814355</v>
      </c>
      <c r="H15" s="599">
        <f>'R5 - Output Incentives'!H102</f>
        <v>7.1483228476707845</v>
      </c>
      <c r="I15" s="599">
        <f>'R5 - Output Incentives'!I102</f>
        <v>10.324292878002531</v>
      </c>
      <c r="J15" s="599">
        <f>'R5 - Output Incentives'!J102</f>
        <v>10.609723392509709</v>
      </c>
      <c r="K15" s="600">
        <f>'R5 - Output Incentives'!K102</f>
        <v>11.151245908706706</v>
      </c>
      <c r="L15" s="57"/>
    </row>
    <row r="16" spans="1:12" s="2" customFormat="1">
      <c r="B16" s="768" t="s">
        <v>388</v>
      </c>
      <c r="C16" s="152" t="s">
        <v>128</v>
      </c>
      <c r="D16" s="595">
        <v>0</v>
      </c>
      <c r="E16" s="596">
        <v>0</v>
      </c>
      <c r="F16" s="596">
        <v>3.7551331511570671</v>
      </c>
      <c r="G16" s="596">
        <v>1.6318803380130085</v>
      </c>
      <c r="H16" s="596">
        <v>-7.7473457513862014</v>
      </c>
      <c r="I16" s="596">
        <v>-7.9201644401963529</v>
      </c>
      <c r="J16" s="596"/>
      <c r="K16" s="596"/>
      <c r="L16" s="57"/>
    </row>
    <row r="17" spans="2:12" s="2" customFormat="1">
      <c r="B17" s="768" t="s">
        <v>134</v>
      </c>
      <c r="C17" s="152" t="s">
        <v>128</v>
      </c>
      <c r="D17" s="597">
        <f>'R6 - Innovation'!D12</f>
        <v>0.21694374899999994</v>
      </c>
      <c r="E17" s="598">
        <f>'R6 - Innovation'!E12</f>
        <v>0.76123361700000014</v>
      </c>
      <c r="F17" s="599">
        <f>'R6 - Innovation'!F12</f>
        <v>1.0520399999999999</v>
      </c>
      <c r="G17" s="599">
        <f>'R6 - Innovation'!G12</f>
        <v>0.64313999999999993</v>
      </c>
      <c r="H17" s="599">
        <f>'R6 - Innovation'!H12</f>
        <v>0.97612109999999996</v>
      </c>
      <c r="I17" s="599">
        <f>'R6 - Innovation'!I12</f>
        <v>0.76815</v>
      </c>
      <c r="J17" s="599">
        <f>'R6 - Innovation'!J12</f>
        <v>0.90070854663175726</v>
      </c>
      <c r="K17" s="600">
        <f>'R6 - Innovation'!K12</f>
        <v>0.46471858658370241</v>
      </c>
      <c r="L17" s="57"/>
    </row>
    <row r="18" spans="2:12" s="2" customFormat="1">
      <c r="B18" s="768" t="s">
        <v>133</v>
      </c>
      <c r="C18" s="152" t="s">
        <v>128</v>
      </c>
      <c r="D18" s="597">
        <f>'R6 - Innovation'!D17</f>
        <v>0.77248340000000004</v>
      </c>
      <c r="E18" s="598">
        <f>'R6 - Innovation'!E17</f>
        <v>4.1034769999999998E-2</v>
      </c>
      <c r="F18" s="599">
        <f>'R6 - Innovation'!F17</f>
        <v>0.11890733000000001</v>
      </c>
      <c r="G18" s="599">
        <f>'R6 - Innovation'!G17</f>
        <v>0.32313185999999999</v>
      </c>
      <c r="H18" s="599">
        <f>'R6 - Innovation'!H17</f>
        <v>4.4316729999999999E-2</v>
      </c>
      <c r="I18" s="599">
        <f>'R6 - Innovation'!I17</f>
        <v>-0.11959524000000001</v>
      </c>
      <c r="J18" s="599">
        <f>'R6 - Innovation'!J17</f>
        <v>0</v>
      </c>
      <c r="K18" s="600">
        <f>'R6 - Innovation'!K17</f>
        <v>0</v>
      </c>
      <c r="L18" s="57"/>
    </row>
    <row r="19" spans="2:12" s="2" customFormat="1">
      <c r="B19" s="943" t="s">
        <v>587</v>
      </c>
      <c r="C19" s="152" t="s">
        <v>128</v>
      </c>
      <c r="D19" s="595">
        <v>-6.5175072810179859</v>
      </c>
      <c r="E19" s="596">
        <v>-1.3695501806035144</v>
      </c>
      <c r="F19" s="596">
        <v>0</v>
      </c>
      <c r="G19" s="596">
        <v>0</v>
      </c>
      <c r="H19" s="596">
        <v>0</v>
      </c>
      <c r="I19" s="596">
        <v>0</v>
      </c>
      <c r="J19" s="596"/>
      <c r="K19" s="596"/>
      <c r="L19" s="57"/>
    </row>
    <row r="20" spans="2:12" s="2" customFormat="1">
      <c r="B20" s="541" t="s">
        <v>243</v>
      </c>
      <c r="C20" s="152" t="s">
        <v>128</v>
      </c>
      <c r="D20" s="595">
        <v>0</v>
      </c>
      <c r="E20" s="596">
        <v>0</v>
      </c>
      <c r="F20" s="596">
        <v>0</v>
      </c>
      <c r="G20" s="596">
        <v>0</v>
      </c>
      <c r="H20" s="596">
        <v>0</v>
      </c>
      <c r="I20" s="596">
        <v>0</v>
      </c>
      <c r="J20" s="596"/>
      <c r="K20" s="596"/>
      <c r="L20" s="57"/>
    </row>
    <row r="21" spans="2:12" s="2" customFormat="1">
      <c r="B21" s="541" t="s">
        <v>243</v>
      </c>
      <c r="C21" s="152" t="s">
        <v>128</v>
      </c>
      <c r="D21" s="595">
        <v>0</v>
      </c>
      <c r="E21" s="596">
        <v>0</v>
      </c>
      <c r="F21" s="596">
        <v>0</v>
      </c>
      <c r="G21" s="596">
        <v>0</v>
      </c>
      <c r="H21" s="596">
        <v>0</v>
      </c>
      <c r="I21" s="596">
        <v>0</v>
      </c>
      <c r="J21" s="596"/>
      <c r="K21" s="596"/>
      <c r="L21" s="57"/>
    </row>
    <row r="22" spans="2:12" s="2" customFormat="1">
      <c r="B22" s="541" t="s">
        <v>243</v>
      </c>
      <c r="C22" s="152" t="s">
        <v>128</v>
      </c>
      <c r="D22" s="595">
        <v>0</v>
      </c>
      <c r="E22" s="596">
        <v>0</v>
      </c>
      <c r="F22" s="596">
        <v>0</v>
      </c>
      <c r="G22" s="596">
        <v>0</v>
      </c>
      <c r="H22" s="596">
        <v>0</v>
      </c>
      <c r="I22" s="596">
        <v>0</v>
      </c>
      <c r="J22" s="596"/>
      <c r="K22" s="596"/>
      <c r="L22" s="57"/>
    </row>
    <row r="23" spans="2:12" s="2" customFormat="1">
      <c r="B23" s="541" t="s">
        <v>243</v>
      </c>
      <c r="C23" s="152" t="s">
        <v>128</v>
      </c>
      <c r="D23" s="595">
        <v>0</v>
      </c>
      <c r="E23" s="596">
        <v>0</v>
      </c>
      <c r="F23" s="596">
        <v>0</v>
      </c>
      <c r="G23" s="596">
        <v>0</v>
      </c>
      <c r="H23" s="596">
        <v>0</v>
      </c>
      <c r="I23" s="596">
        <v>0</v>
      </c>
      <c r="J23" s="596"/>
      <c r="K23" s="596"/>
      <c r="L23" s="57"/>
    </row>
    <row r="24" spans="2:12" s="2" customFormat="1">
      <c r="B24" s="541" t="s">
        <v>243</v>
      </c>
      <c r="C24" s="152" t="s">
        <v>128</v>
      </c>
      <c r="D24" s="595">
        <v>0</v>
      </c>
      <c r="E24" s="596">
        <v>0</v>
      </c>
      <c r="F24" s="596">
        <v>0</v>
      </c>
      <c r="G24" s="596">
        <v>0</v>
      </c>
      <c r="H24" s="596">
        <v>0</v>
      </c>
      <c r="I24" s="596">
        <v>0</v>
      </c>
      <c r="J24" s="596"/>
      <c r="K24" s="596"/>
      <c r="L24" s="57"/>
    </row>
    <row r="25" spans="2:12" s="2" customFormat="1">
      <c r="B25" s="768" t="s">
        <v>135</v>
      </c>
      <c r="C25" s="152" t="s">
        <v>128</v>
      </c>
      <c r="D25" s="595">
        <v>0</v>
      </c>
      <c r="E25" s="596">
        <v>-11.355385148499607</v>
      </c>
      <c r="F25" s="596">
        <v>-3.2351157673678363</v>
      </c>
      <c r="G25" s="596">
        <v>1.6015813780968391</v>
      </c>
      <c r="H25" s="596">
        <v>-5.5762081120217868</v>
      </c>
      <c r="I25" s="596">
        <v>1.5320368614474369</v>
      </c>
      <c r="J25" s="596"/>
      <c r="K25" s="596"/>
      <c r="L25" s="57"/>
    </row>
    <row r="26" spans="2:12" s="2" customFormat="1">
      <c r="B26" s="763" t="s">
        <v>148</v>
      </c>
      <c r="C26" s="152" t="s">
        <v>128</v>
      </c>
      <c r="D26" s="601">
        <f>SUM(D14:D24,-D25)</f>
        <v>215.842185427282</v>
      </c>
      <c r="E26" s="602">
        <f t="shared" ref="E26:K26" si="2">SUM(E14:E24,-E25)</f>
        <v>238.37501705097552</v>
      </c>
      <c r="F26" s="602">
        <f t="shared" si="2"/>
        <v>241.87980215255234</v>
      </c>
      <c r="G26" s="602">
        <f t="shared" si="2"/>
        <v>247.47611219589734</v>
      </c>
      <c r="H26" s="602">
        <f t="shared" si="2"/>
        <v>254.95592526436121</v>
      </c>
      <c r="I26" s="602">
        <f t="shared" si="2"/>
        <v>246.84923110551046</v>
      </c>
      <c r="J26" s="602">
        <f t="shared" si="2"/>
        <v>11.510431939141466</v>
      </c>
      <c r="K26" s="603">
        <f t="shared" si="2"/>
        <v>11.615964495290408</v>
      </c>
      <c r="L26" s="57"/>
    </row>
    <row r="27" spans="2:12" s="2" customFormat="1">
      <c r="B27" s="225"/>
      <c r="C27" s="138"/>
      <c r="D27" s="54"/>
      <c r="E27" s="54"/>
      <c r="F27" s="54"/>
      <c r="G27" s="60"/>
      <c r="H27" s="60"/>
      <c r="I27" s="60"/>
      <c r="J27" s="60"/>
      <c r="K27" s="60"/>
      <c r="L27" s="57"/>
    </row>
    <row r="28" spans="2:12" s="2" customFormat="1">
      <c r="B28" s="225" t="s">
        <v>150</v>
      </c>
      <c r="C28" s="138"/>
      <c r="D28" s="601">
        <f>IF(ISBLANK(D33),0,D33-D26)</f>
        <v>-3.1145116372819643</v>
      </c>
      <c r="E28" s="602">
        <f t="shared" ref="E28:K28" si="3">IF(ISBLANK(E33),0,E33-E26)</f>
        <v>1.5441041790244867</v>
      </c>
      <c r="F28" s="602">
        <f t="shared" si="3"/>
        <v>-5.3587181625523499</v>
      </c>
      <c r="G28" s="602">
        <f t="shared" si="3"/>
        <v>1.4587082141026997</v>
      </c>
      <c r="H28" s="602">
        <f t="shared" si="3"/>
        <v>-1.038158564361197</v>
      </c>
      <c r="I28" s="602">
        <f t="shared" si="3"/>
        <v>-6.2712448784852768</v>
      </c>
      <c r="J28" s="602">
        <f t="shared" si="3"/>
        <v>0</v>
      </c>
      <c r="K28" s="603">
        <f t="shared" si="3"/>
        <v>0</v>
      </c>
      <c r="L28" s="57"/>
    </row>
    <row r="29" spans="2:12" s="2" customFormat="1">
      <c r="B29" s="225"/>
      <c r="C29" s="138"/>
      <c r="D29" s="35"/>
      <c r="E29" s="35"/>
      <c r="F29" s="35"/>
      <c r="G29" s="35"/>
      <c r="H29" s="35"/>
      <c r="I29" s="35"/>
      <c r="J29" s="35"/>
      <c r="K29" s="35"/>
      <c r="L29" s="57"/>
    </row>
    <row r="30" spans="2:12" s="2" customFormat="1">
      <c r="B30" s="225"/>
      <c r="C30" s="138"/>
      <c r="D30" s="35"/>
      <c r="E30" s="35"/>
      <c r="F30" s="35"/>
      <c r="G30" s="35"/>
      <c r="H30" s="35"/>
      <c r="I30" s="35"/>
      <c r="J30" s="35"/>
      <c r="K30" s="35"/>
      <c r="L30" s="57"/>
    </row>
    <row r="31" spans="2:12" s="2" customFormat="1">
      <c r="B31" s="764" t="s">
        <v>193</v>
      </c>
      <c r="C31" s="150"/>
      <c r="D31" s="80"/>
      <c r="E31" s="80"/>
      <c r="F31" s="80"/>
      <c r="G31" s="80"/>
      <c r="H31" s="80"/>
      <c r="I31" s="80"/>
      <c r="J31" s="80"/>
      <c r="K31" s="80"/>
      <c r="L31" s="273"/>
    </row>
    <row r="32" spans="2:12" s="2" customFormat="1">
      <c r="B32" s="225"/>
      <c r="C32" s="138"/>
      <c r="D32" s="35"/>
      <c r="E32" s="35"/>
      <c r="F32" s="35"/>
      <c r="G32" s="35"/>
      <c r="H32" s="35"/>
      <c r="I32" s="35"/>
      <c r="J32" s="35"/>
      <c r="K32" s="35"/>
      <c r="L32" s="57"/>
    </row>
    <row r="33" spans="2:12" s="2" customFormat="1">
      <c r="B33" s="765" t="s">
        <v>149</v>
      </c>
      <c r="C33" s="138"/>
      <c r="D33" s="637">
        <v>212.72767379000004</v>
      </c>
      <c r="E33" s="638">
        <v>239.91912123</v>
      </c>
      <c r="F33" s="638">
        <v>236.52108398999999</v>
      </c>
      <c r="G33" s="638">
        <v>248.93482041000004</v>
      </c>
      <c r="H33" s="638">
        <v>253.91776670000002</v>
      </c>
      <c r="I33" s="638">
        <v>240.57798622702518</v>
      </c>
      <c r="J33" s="638"/>
      <c r="K33" s="639"/>
      <c r="L33" s="57"/>
    </row>
    <row r="34" spans="2:12" s="2" customFormat="1">
      <c r="B34" s="129"/>
      <c r="C34" s="136"/>
      <c r="L34" s="57"/>
    </row>
    <row r="35" spans="2:12" s="2" customFormat="1">
      <c r="B35" s="393" t="s">
        <v>136</v>
      </c>
      <c r="C35" s="136"/>
      <c r="L35" s="57"/>
    </row>
    <row r="36" spans="2:12" s="2" customFormat="1">
      <c r="B36" s="894" t="s">
        <v>137</v>
      </c>
      <c r="C36" s="152" t="s">
        <v>128</v>
      </c>
      <c r="D36" s="593">
        <v>0</v>
      </c>
      <c r="E36" s="594">
        <v>0</v>
      </c>
      <c r="F36" s="594">
        <v>0</v>
      </c>
      <c r="G36" s="594">
        <v>0</v>
      </c>
      <c r="H36" s="594">
        <v>0</v>
      </c>
      <c r="I36" s="594">
        <v>0</v>
      </c>
      <c r="J36" s="594"/>
      <c r="K36" s="604"/>
      <c r="L36" s="57"/>
    </row>
    <row r="37" spans="2:12" s="2" customFormat="1">
      <c r="B37" s="894" t="s">
        <v>138</v>
      </c>
      <c r="C37" s="152" t="s">
        <v>128</v>
      </c>
      <c r="D37" s="595">
        <v>1.2174</v>
      </c>
      <c r="E37" s="596">
        <v>1.1036000000000001</v>
      </c>
      <c r="F37" s="596">
        <v>0.98809999999999998</v>
      </c>
      <c r="G37" s="596">
        <v>0.93400000000000005</v>
      </c>
      <c r="H37" s="596">
        <v>0.838098546</v>
      </c>
      <c r="I37" s="596">
        <v>0.78585302400000001</v>
      </c>
      <c r="J37" s="596"/>
      <c r="K37" s="605"/>
      <c r="L37" s="57"/>
    </row>
    <row r="38" spans="2:12" s="2" customFormat="1">
      <c r="B38" s="894" t="s">
        <v>139</v>
      </c>
      <c r="C38" s="152" t="s">
        <v>128</v>
      </c>
      <c r="D38" s="595">
        <v>4.1289999999999996</v>
      </c>
      <c r="E38" s="596">
        <v>37.105240045750001</v>
      </c>
      <c r="F38" s="596">
        <v>37.630099999999999</v>
      </c>
      <c r="G38" s="596">
        <v>23.5501</v>
      </c>
      <c r="H38" s="596">
        <v>26.951672869999999</v>
      </c>
      <c r="I38" s="596">
        <v>30.49349458</v>
      </c>
      <c r="J38" s="596"/>
      <c r="K38" s="605"/>
      <c r="L38" s="57"/>
    </row>
    <row r="39" spans="2:12" s="2" customFormat="1">
      <c r="B39" s="894" t="s">
        <v>140</v>
      </c>
      <c r="C39" s="152" t="s">
        <v>128</v>
      </c>
      <c r="D39" s="595">
        <v>0</v>
      </c>
      <c r="E39" s="596">
        <v>0</v>
      </c>
      <c r="F39" s="596">
        <v>0</v>
      </c>
      <c r="G39" s="596">
        <v>0</v>
      </c>
      <c r="H39" s="596">
        <v>0</v>
      </c>
      <c r="I39" s="596">
        <v>0</v>
      </c>
      <c r="J39" s="596"/>
      <c r="K39" s="605"/>
      <c r="L39" s="57"/>
    </row>
    <row r="40" spans="2:12" s="2" customFormat="1">
      <c r="B40" s="894" t="s">
        <v>141</v>
      </c>
      <c r="C40" s="152" t="s">
        <v>128</v>
      </c>
      <c r="D40" s="595">
        <v>0</v>
      </c>
      <c r="E40" s="596">
        <v>0</v>
      </c>
      <c r="F40" s="596">
        <v>0</v>
      </c>
      <c r="G40" s="596">
        <v>0</v>
      </c>
      <c r="H40" s="596">
        <v>0</v>
      </c>
      <c r="I40" s="596">
        <v>0</v>
      </c>
      <c r="J40" s="596"/>
      <c r="K40" s="605"/>
      <c r="L40" s="57"/>
    </row>
    <row r="41" spans="2:12" s="2" customFormat="1">
      <c r="B41" s="894" t="s">
        <v>142</v>
      </c>
      <c r="C41" s="152" t="s">
        <v>128</v>
      </c>
      <c r="D41" s="595">
        <v>2.4264000000000001</v>
      </c>
      <c r="E41" s="596">
        <v>2.1886000000000001</v>
      </c>
      <c r="F41" s="596">
        <v>4.0274999999999999</v>
      </c>
      <c r="G41" s="596">
        <v>5.0038</v>
      </c>
      <c r="H41" s="596">
        <v>4.9657826780000001</v>
      </c>
      <c r="I41" s="596">
        <v>0.68960463000000005</v>
      </c>
      <c r="J41" s="596"/>
      <c r="K41" s="605"/>
      <c r="L41" s="57"/>
    </row>
    <row r="42" spans="2:12" s="2" customFormat="1">
      <c r="B42" s="894" t="s">
        <v>143</v>
      </c>
      <c r="C42" s="152" t="s">
        <v>128</v>
      </c>
      <c r="D42" s="595">
        <v>0</v>
      </c>
      <c r="E42" s="596">
        <v>0</v>
      </c>
      <c r="F42" s="596">
        <v>0</v>
      </c>
      <c r="G42" s="596">
        <v>0</v>
      </c>
      <c r="H42" s="596">
        <v>0</v>
      </c>
      <c r="I42" s="596">
        <v>0</v>
      </c>
      <c r="J42" s="596"/>
      <c r="K42" s="605"/>
      <c r="L42" s="57"/>
    </row>
    <row r="43" spans="2:12" s="2" customFormat="1">
      <c r="B43" s="895" t="s">
        <v>144</v>
      </c>
      <c r="C43" s="152" t="s">
        <v>128</v>
      </c>
      <c r="D43" s="606">
        <v>0</v>
      </c>
      <c r="E43" s="607">
        <v>0</v>
      </c>
      <c r="F43" s="607">
        <v>0</v>
      </c>
      <c r="G43" s="607">
        <v>0</v>
      </c>
      <c r="H43" s="607">
        <v>0</v>
      </c>
      <c r="I43" s="607">
        <v>0</v>
      </c>
      <c r="J43" s="607"/>
      <c r="K43" s="608"/>
      <c r="L43" s="57"/>
    </row>
    <row r="44" spans="2:12" s="2" customFormat="1">
      <c r="B44" s="893" t="s">
        <v>528</v>
      </c>
      <c r="C44" s="152" t="s">
        <v>128</v>
      </c>
      <c r="D44" s="606">
        <v>0</v>
      </c>
      <c r="E44" s="607">
        <v>0</v>
      </c>
      <c r="F44" s="607">
        <v>0</v>
      </c>
      <c r="G44" s="607">
        <v>0</v>
      </c>
      <c r="H44" s="607">
        <v>0</v>
      </c>
      <c r="I44" s="607">
        <v>0</v>
      </c>
      <c r="J44" s="607"/>
      <c r="K44" s="608"/>
      <c r="L44" s="57"/>
    </row>
    <row r="45" spans="2:12" s="2" customFormat="1">
      <c r="B45" s="393" t="s">
        <v>176</v>
      </c>
      <c r="C45" s="152" t="s">
        <v>128</v>
      </c>
      <c r="D45" s="609">
        <f>SUM(D36:D44)</f>
        <v>7.7727999999999993</v>
      </c>
      <c r="E45" s="610">
        <f t="shared" ref="E45:K45" si="4">SUM(E36:E44)</f>
        <v>40.397440045750002</v>
      </c>
      <c r="F45" s="610">
        <f t="shared" si="4"/>
        <v>42.645700000000005</v>
      </c>
      <c r="G45" s="610">
        <f t="shared" si="4"/>
        <v>29.487900000000003</v>
      </c>
      <c r="H45" s="610">
        <f t="shared" si="4"/>
        <v>32.755554094000004</v>
      </c>
      <c r="I45" s="610">
        <f t="shared" si="4"/>
        <v>31.968952234000003</v>
      </c>
      <c r="J45" s="610">
        <f t="shared" si="4"/>
        <v>0</v>
      </c>
      <c r="K45" s="611">
        <f t="shared" si="4"/>
        <v>0</v>
      </c>
      <c r="L45" s="57"/>
    </row>
    <row r="46" spans="2:12" s="2" customFormat="1">
      <c r="B46" s="129"/>
      <c r="C46" s="136"/>
      <c r="L46" s="57"/>
    </row>
    <row r="47" spans="2:12" s="2" customFormat="1">
      <c r="B47" s="393" t="s">
        <v>145</v>
      </c>
      <c r="C47" s="136"/>
      <c r="L47" s="53"/>
    </row>
    <row r="48" spans="2:12" s="2" customFormat="1">
      <c r="B48" s="541" t="s">
        <v>588</v>
      </c>
      <c r="C48" s="152" t="s">
        <v>128</v>
      </c>
      <c r="D48" s="612">
        <v>1.4123940700000002</v>
      </c>
      <c r="E48" s="613">
        <v>1.5781962919999999</v>
      </c>
      <c r="F48" s="613">
        <v>1.9098928800000003</v>
      </c>
      <c r="G48" s="613">
        <v>1.71462746</v>
      </c>
      <c r="H48" s="613">
        <v>2.0812996999900002</v>
      </c>
      <c r="I48" s="613">
        <v>2.0997141899899998</v>
      </c>
      <c r="J48" s="613"/>
      <c r="K48" s="614"/>
      <c r="L48" s="57"/>
    </row>
    <row r="49" spans="2:12" s="2" customFormat="1">
      <c r="B49" s="541" t="s">
        <v>589</v>
      </c>
      <c r="C49" s="152" t="s">
        <v>128</v>
      </c>
      <c r="D49" s="615">
        <v>-0.33719300000000002</v>
      </c>
      <c r="E49" s="616">
        <v>-0.35262568001</v>
      </c>
      <c r="F49" s="616">
        <v>-0.27200004</v>
      </c>
      <c r="G49" s="616">
        <v>-0.27158536</v>
      </c>
      <c r="H49" s="616">
        <v>-0.24219570000000001</v>
      </c>
      <c r="I49" s="616">
        <v>-0.32859740000000004</v>
      </c>
      <c r="J49" s="616"/>
      <c r="K49" s="617"/>
      <c r="L49" s="57"/>
    </row>
    <row r="50" spans="2:12" s="2" customFormat="1">
      <c r="B50" s="541" t="s">
        <v>590</v>
      </c>
      <c r="C50" s="152" t="s">
        <v>128</v>
      </c>
      <c r="D50" s="615">
        <v>-0.96548358000000012</v>
      </c>
      <c r="E50" s="616">
        <v>1.6866510799999999</v>
      </c>
      <c r="F50" s="616">
        <v>-1.0636072700000001</v>
      </c>
      <c r="G50" s="616">
        <v>-0.52263194000000002</v>
      </c>
      <c r="H50" s="616">
        <v>-1.0043165999999999</v>
      </c>
      <c r="I50" s="616">
        <v>-0.62487837000000002</v>
      </c>
      <c r="J50" s="616"/>
      <c r="K50" s="617"/>
      <c r="L50" s="57"/>
    </row>
    <row r="51" spans="2:12" s="2" customFormat="1">
      <c r="B51" s="541" t="s">
        <v>591</v>
      </c>
      <c r="C51" s="152" t="s">
        <v>128</v>
      </c>
      <c r="D51" s="615">
        <v>25.659099999999999</v>
      </c>
      <c r="E51" s="616">
        <v>0</v>
      </c>
      <c r="F51" s="616">
        <v>0</v>
      </c>
      <c r="G51" s="616">
        <v>0</v>
      </c>
      <c r="H51" s="616">
        <v>0</v>
      </c>
      <c r="I51" s="616">
        <v>0</v>
      </c>
      <c r="J51" s="616"/>
      <c r="K51" s="617"/>
      <c r="L51" s="57"/>
    </row>
    <row r="52" spans="2:12" s="2" customFormat="1">
      <c r="B52" s="541" t="s">
        <v>592</v>
      </c>
      <c r="C52" s="152" t="s">
        <v>128</v>
      </c>
      <c r="D52" s="615">
        <v>-26.252399999999998</v>
      </c>
      <c r="E52" s="616">
        <v>-31.95034004575</v>
      </c>
      <c r="F52" s="616">
        <v>-33.854799999999997</v>
      </c>
      <c r="G52" s="616">
        <v>-20.103242189015599</v>
      </c>
      <c r="H52" s="616">
        <v>-23.756599999999999</v>
      </c>
      <c r="I52" s="616">
        <v>-25.658999999999999</v>
      </c>
      <c r="J52" s="616"/>
      <c r="K52" s="617"/>
      <c r="L52" s="57"/>
    </row>
    <row r="53" spans="2:12" s="2" customFormat="1">
      <c r="B53" s="541" t="s">
        <v>593</v>
      </c>
      <c r="C53" s="152" t="s">
        <v>128</v>
      </c>
      <c r="D53" s="615">
        <v>0.59330000000000005</v>
      </c>
      <c r="E53" s="616">
        <v>0</v>
      </c>
      <c r="F53" s="616">
        <v>0</v>
      </c>
      <c r="G53" s="616">
        <v>0</v>
      </c>
      <c r="H53" s="616">
        <v>0</v>
      </c>
      <c r="I53" s="616">
        <v>0</v>
      </c>
      <c r="J53" s="616"/>
      <c r="K53" s="617"/>
      <c r="L53" s="57"/>
    </row>
    <row r="54" spans="2:12" s="2" customFormat="1">
      <c r="B54" s="541" t="s">
        <v>154</v>
      </c>
      <c r="C54" s="152" t="s">
        <v>128</v>
      </c>
      <c r="D54" s="615">
        <v>0</v>
      </c>
      <c r="E54" s="616">
        <v>0</v>
      </c>
      <c r="F54" s="616">
        <v>0</v>
      </c>
      <c r="G54" s="616">
        <v>0</v>
      </c>
      <c r="H54" s="616">
        <v>-0.1</v>
      </c>
      <c r="I54" s="616">
        <v>0</v>
      </c>
      <c r="J54" s="616"/>
      <c r="K54" s="617"/>
      <c r="L54" s="57"/>
    </row>
    <row r="55" spans="2:12" s="2" customFormat="1">
      <c r="B55" s="943" t="s">
        <v>243</v>
      </c>
      <c r="C55" s="152" t="s">
        <v>128</v>
      </c>
      <c r="D55" s="615">
        <v>0</v>
      </c>
      <c r="E55" s="616">
        <v>0</v>
      </c>
      <c r="F55" s="616">
        <v>0</v>
      </c>
      <c r="G55" s="616">
        <v>0</v>
      </c>
      <c r="H55" s="616">
        <v>0</v>
      </c>
      <c r="I55" s="616">
        <v>0</v>
      </c>
      <c r="J55" s="616"/>
      <c r="K55" s="617"/>
      <c r="L55" s="57"/>
    </row>
    <row r="56" spans="2:12" s="2" customFormat="1">
      <c r="B56" s="541" t="s">
        <v>243</v>
      </c>
      <c r="C56" s="152" t="s">
        <v>128</v>
      </c>
      <c r="D56" s="615">
        <v>0</v>
      </c>
      <c r="E56" s="616">
        <v>0</v>
      </c>
      <c r="F56" s="616">
        <v>0</v>
      </c>
      <c r="G56" s="616">
        <v>0</v>
      </c>
      <c r="H56" s="616">
        <v>0</v>
      </c>
      <c r="I56" s="616">
        <v>0</v>
      </c>
      <c r="J56" s="616"/>
      <c r="K56" s="617"/>
      <c r="L56" s="57"/>
    </row>
    <row r="57" spans="2:12" s="2" customFormat="1">
      <c r="B57" s="541" t="s">
        <v>243</v>
      </c>
      <c r="C57" s="152" t="s">
        <v>128</v>
      </c>
      <c r="D57" s="615">
        <v>0</v>
      </c>
      <c r="E57" s="616">
        <v>0</v>
      </c>
      <c r="F57" s="616">
        <v>0</v>
      </c>
      <c r="G57" s="616">
        <v>0</v>
      </c>
      <c r="H57" s="616">
        <v>0</v>
      </c>
      <c r="I57" s="616">
        <v>0</v>
      </c>
      <c r="J57" s="616"/>
      <c r="K57" s="617"/>
      <c r="L57" s="57"/>
    </row>
    <row r="58" spans="2:12" s="2" customFormat="1">
      <c r="B58" s="541" t="s">
        <v>243</v>
      </c>
      <c r="C58" s="152" t="s">
        <v>128</v>
      </c>
      <c r="D58" s="615">
        <v>0</v>
      </c>
      <c r="E58" s="616">
        <v>0</v>
      </c>
      <c r="F58" s="616">
        <v>0</v>
      </c>
      <c r="G58" s="616">
        <v>0</v>
      </c>
      <c r="H58" s="616">
        <v>0</v>
      </c>
      <c r="I58" s="616">
        <v>0</v>
      </c>
      <c r="J58" s="616"/>
      <c r="K58" s="617"/>
      <c r="L58" s="57"/>
    </row>
    <row r="59" spans="2:12" s="2" customFormat="1">
      <c r="B59" s="541" t="s">
        <v>243</v>
      </c>
      <c r="C59" s="152" t="s">
        <v>128</v>
      </c>
      <c r="D59" s="615">
        <v>0</v>
      </c>
      <c r="E59" s="616">
        <v>0</v>
      </c>
      <c r="F59" s="616">
        <v>0</v>
      </c>
      <c r="G59" s="616">
        <v>0</v>
      </c>
      <c r="H59" s="616">
        <v>0</v>
      </c>
      <c r="I59" s="616">
        <v>0</v>
      </c>
      <c r="J59" s="616"/>
      <c r="K59" s="617"/>
      <c r="L59" s="57"/>
    </row>
    <row r="60" spans="2:12" s="2" customFormat="1">
      <c r="B60" s="541" t="s">
        <v>243</v>
      </c>
      <c r="C60" s="152" t="s">
        <v>128</v>
      </c>
      <c r="D60" s="615">
        <v>0</v>
      </c>
      <c r="E60" s="616">
        <v>0</v>
      </c>
      <c r="F60" s="616">
        <v>0</v>
      </c>
      <c r="G60" s="616">
        <v>0</v>
      </c>
      <c r="H60" s="616">
        <v>0</v>
      </c>
      <c r="I60" s="616">
        <v>0</v>
      </c>
      <c r="J60" s="616"/>
      <c r="K60" s="617"/>
      <c r="L60" s="57"/>
    </row>
    <row r="61" spans="2:12" s="2" customFormat="1">
      <c r="B61" s="541" t="s">
        <v>243</v>
      </c>
      <c r="C61" s="152" t="s">
        <v>128</v>
      </c>
      <c r="D61" s="615">
        <v>0</v>
      </c>
      <c r="E61" s="616">
        <v>0</v>
      </c>
      <c r="F61" s="616">
        <v>0</v>
      </c>
      <c r="G61" s="616">
        <v>0</v>
      </c>
      <c r="H61" s="616">
        <v>0</v>
      </c>
      <c r="I61" s="616">
        <v>0</v>
      </c>
      <c r="J61" s="616"/>
      <c r="K61" s="617"/>
      <c r="L61" s="57"/>
    </row>
    <row r="62" spans="2:12" s="2" customFormat="1">
      <c r="B62" s="541" t="s">
        <v>243</v>
      </c>
      <c r="C62" s="152" t="s">
        <v>128</v>
      </c>
      <c r="D62" s="615">
        <v>0</v>
      </c>
      <c r="E62" s="616">
        <v>0</v>
      </c>
      <c r="F62" s="616">
        <v>0</v>
      </c>
      <c r="G62" s="616">
        <v>0</v>
      </c>
      <c r="H62" s="616">
        <v>0</v>
      </c>
      <c r="I62" s="616">
        <v>0</v>
      </c>
      <c r="J62" s="616"/>
      <c r="K62" s="617"/>
      <c r="L62" s="57"/>
    </row>
    <row r="63" spans="2:12" s="2" customFormat="1">
      <c r="B63" s="769" t="s">
        <v>154</v>
      </c>
      <c r="C63" s="152" t="s">
        <v>128</v>
      </c>
      <c r="D63" s="618">
        <v>0</v>
      </c>
      <c r="E63" s="619">
        <v>0</v>
      </c>
      <c r="F63" s="620">
        <v>0</v>
      </c>
      <c r="G63" s="619">
        <v>0</v>
      </c>
      <c r="H63" s="619">
        <v>0</v>
      </c>
      <c r="I63" s="619">
        <v>0</v>
      </c>
      <c r="J63" s="619"/>
      <c r="K63" s="621"/>
      <c r="L63" s="57"/>
    </row>
    <row r="64" spans="2:12" s="2" customFormat="1">
      <c r="B64" s="765" t="s">
        <v>177</v>
      </c>
      <c r="C64" s="152" t="s">
        <v>128</v>
      </c>
      <c r="D64" s="601">
        <f t="shared" ref="D64:K64" si="5">SUM(D48:D63)</f>
        <v>0.10971749000000208</v>
      </c>
      <c r="E64" s="602">
        <f t="shared" si="5"/>
        <v>-29.038118353760002</v>
      </c>
      <c r="F64" s="602">
        <f t="shared" si="5"/>
        <v>-33.280514429999997</v>
      </c>
      <c r="G64" s="602">
        <f t="shared" si="5"/>
        <v>-19.1828320290156</v>
      </c>
      <c r="H64" s="602">
        <f t="shared" si="5"/>
        <v>-23.021812600010001</v>
      </c>
      <c r="I64" s="602">
        <f t="shared" si="5"/>
        <v>-24.51276158001</v>
      </c>
      <c r="J64" s="602">
        <f t="shared" si="5"/>
        <v>0</v>
      </c>
      <c r="K64" s="603">
        <f t="shared" si="5"/>
        <v>0</v>
      </c>
      <c r="L64" s="57"/>
    </row>
    <row r="65" spans="1:12" s="2" customFormat="1">
      <c r="B65" s="225"/>
      <c r="C65" s="138"/>
      <c r="D65" s="55"/>
      <c r="E65" s="55"/>
      <c r="F65" s="55"/>
      <c r="G65" s="55"/>
      <c r="H65" s="55"/>
      <c r="I65" s="55"/>
      <c r="J65" s="55"/>
      <c r="K65" s="55"/>
      <c r="L65" s="57"/>
    </row>
    <row r="66" spans="1:12" s="2" customFormat="1">
      <c r="B66" s="765" t="s">
        <v>146</v>
      </c>
      <c r="C66" s="152" t="s">
        <v>128</v>
      </c>
      <c r="D66" s="622">
        <f t="shared" ref="D66:K66" si="6">D33+D45+D64</f>
        <v>220.61019128000004</v>
      </c>
      <c r="E66" s="623">
        <f t="shared" si="6"/>
        <v>251.27844292199001</v>
      </c>
      <c r="F66" s="623">
        <f t="shared" si="6"/>
        <v>245.88626956000002</v>
      </c>
      <c r="G66" s="623">
        <f t="shared" si="6"/>
        <v>259.23988838098444</v>
      </c>
      <c r="H66" s="623">
        <f t="shared" si="6"/>
        <v>263.65150819399003</v>
      </c>
      <c r="I66" s="623">
        <f t="shared" si="6"/>
        <v>248.03417688101521</v>
      </c>
      <c r="J66" s="623">
        <f t="shared" si="6"/>
        <v>0</v>
      </c>
      <c r="K66" s="624">
        <f t="shared" si="6"/>
        <v>0</v>
      </c>
      <c r="L66" s="57"/>
    </row>
    <row r="67" spans="1:12" s="2" customFormat="1">
      <c r="B67" s="765" t="s">
        <v>194</v>
      </c>
      <c r="C67" s="152" t="s">
        <v>128</v>
      </c>
      <c r="D67" s="625">
        <v>220.6</v>
      </c>
      <c r="E67" s="626">
        <v>251.2</v>
      </c>
      <c r="F67" s="626">
        <v>245.8</v>
      </c>
      <c r="G67" s="626">
        <v>259.2</v>
      </c>
      <c r="H67" s="626">
        <v>263.60000000000002</v>
      </c>
      <c r="I67" s="626">
        <v>248</v>
      </c>
      <c r="J67" s="626"/>
      <c r="K67" s="627"/>
      <c r="L67" s="57"/>
    </row>
    <row r="68" spans="1:12" s="2" customFormat="1">
      <c r="B68" s="225" t="s">
        <v>122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7"/>
    </row>
    <row r="69" spans="1:12" s="2" customFormat="1">
      <c r="B69" s="129"/>
      <c r="C69" s="138"/>
      <c r="D69" s="47"/>
      <c r="E69" s="47"/>
      <c r="F69" s="47"/>
      <c r="G69" s="47"/>
      <c r="H69" s="47"/>
      <c r="I69" s="47"/>
      <c r="J69" s="47"/>
      <c r="K69" s="47"/>
      <c r="L69" s="57"/>
    </row>
    <row r="70" spans="1:12" s="2" customFormat="1">
      <c r="B70" s="129"/>
      <c r="C70" s="136"/>
      <c r="L70" s="53"/>
    </row>
    <row r="71" spans="1:12" s="2" customFormat="1">
      <c r="A71" s="80"/>
      <c r="B71" s="770"/>
      <c r="C71" s="150"/>
      <c r="D71" s="80"/>
      <c r="E71" s="80"/>
      <c r="F71" s="80"/>
      <c r="G71" s="80"/>
      <c r="H71" s="80"/>
      <c r="I71" s="80"/>
      <c r="J71" s="80"/>
      <c r="K71" s="80"/>
      <c r="L71" s="272"/>
    </row>
  </sheetData>
  <conditionalFormatting sqref="D6:K6">
    <cfRule type="expression" dxfId="88" priority="17">
      <formula>AND(D$5="Actuals",E$5="Forecast")</formula>
    </cfRule>
  </conditionalFormatting>
  <conditionalFormatting sqref="D5:K5">
    <cfRule type="expression" dxfId="87" priority="10">
      <formula>AND(D$5="Actuals",E$5="Forecast")</formula>
    </cfRule>
  </conditionalFormatting>
  <conditionalFormatting sqref="D33:H33 D45:K45 D28:H28 D66:K68 D36:H44 J36:K44 D48:K64 J33:K33">
    <cfRule type="expression" dxfId="86" priority="9">
      <formula>D$5="Forecast"</formula>
    </cfRule>
  </conditionalFormatting>
  <conditionalFormatting sqref="I14:K15 I28:K28 J10:K13 I17:K18 J16:K16 I26:K26 J19:K25">
    <cfRule type="expression" dxfId="85" priority="8">
      <formula>I$5="Forecast"</formula>
    </cfRule>
  </conditionalFormatting>
  <conditionalFormatting sqref="H10:H26">
    <cfRule type="expression" dxfId="84" priority="7">
      <formula>H$5="Forecast"</formula>
    </cfRule>
  </conditionalFormatting>
  <conditionalFormatting sqref="G10:G26">
    <cfRule type="expression" dxfId="83" priority="6">
      <formula>G$5="Forecast"</formula>
    </cfRule>
  </conditionalFormatting>
  <conditionalFormatting sqref="I36:I44">
    <cfRule type="expression" dxfId="82" priority="5">
      <formula>I$5="Forecast"</formula>
    </cfRule>
  </conditionalFormatting>
  <conditionalFormatting sqref="I10:I13">
    <cfRule type="expression" dxfId="81" priority="4">
      <formula>I$5="Forecast"</formula>
    </cfRule>
  </conditionalFormatting>
  <conditionalFormatting sqref="I16">
    <cfRule type="expression" dxfId="80" priority="3">
      <formula>I$5="Forecast"</formula>
    </cfRule>
  </conditionalFormatting>
  <conditionalFormatting sqref="I19:I25">
    <cfRule type="expression" dxfId="79" priority="2">
      <formula>I$5="Forecast"</formula>
    </cfRule>
  </conditionalFormatting>
  <conditionalFormatting sqref="I33">
    <cfRule type="expression" dxfId="78" priority="1">
      <formula>I$5="Forecast"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4.453125" customWidth="1"/>
    <col min="3" max="3" width="13.36328125" style="136" customWidth="1"/>
    <col min="4" max="11" width="11.08984375" customWidth="1"/>
    <col min="12" max="12" width="5" customWidth="1"/>
  </cols>
  <sheetData>
    <row r="1" spans="1:12" s="31" customFormat="1" ht="21">
      <c r="A1" s="924" t="s">
        <v>310</v>
      </c>
      <c r="B1" s="925"/>
      <c r="C1" s="148"/>
      <c r="D1" s="121"/>
      <c r="E1" s="121"/>
      <c r="F1" s="121"/>
      <c r="G1" s="121"/>
      <c r="H1" s="121"/>
      <c r="I1" s="121"/>
      <c r="J1" s="121"/>
      <c r="K1" s="121"/>
      <c r="L1" s="122"/>
    </row>
    <row r="2" spans="1:12" s="31" customFormat="1" ht="21">
      <c r="A2" s="909" t="str">
        <f>'RFPR cover'!C5</f>
        <v>WPD-SWALES</v>
      </c>
      <c r="B2" s="901"/>
      <c r="C2" s="134"/>
      <c r="D2" s="29"/>
      <c r="E2" s="29"/>
      <c r="F2" s="29"/>
      <c r="G2" s="29"/>
      <c r="H2" s="29"/>
      <c r="I2" s="27"/>
      <c r="J2" s="27"/>
      <c r="K2" s="27"/>
      <c r="L2" s="123"/>
    </row>
    <row r="3" spans="1:12" s="31" customFormat="1" ht="21">
      <c r="A3" s="926">
        <f>'RFPR cover'!C7</f>
        <v>2021</v>
      </c>
      <c r="B3" s="927"/>
      <c r="C3" s="149"/>
      <c r="D3" s="124"/>
      <c r="E3" s="124"/>
      <c r="F3" s="124"/>
      <c r="G3" s="124"/>
      <c r="H3" s="124"/>
      <c r="I3" s="28"/>
      <c r="J3" s="28"/>
      <c r="K3" s="28"/>
      <c r="L3" s="125"/>
    </row>
    <row r="4" spans="1:12" s="2" customFormat="1" ht="12.75" customHeight="1">
      <c r="C4" s="136"/>
    </row>
    <row r="5" spans="1:12" s="2" customFormat="1">
      <c r="B5" s="3"/>
      <c r="C5" s="136"/>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N/A</v>
      </c>
      <c r="K5" s="391" t="str">
        <f>IF(K6&lt;='RFPR cover'!$C$7,"Actuals","N/A")</f>
        <v>N/A</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C7" s="136"/>
    </row>
    <row r="8" spans="1:12" s="2" customFormat="1">
      <c r="B8" s="50" t="s">
        <v>316</v>
      </c>
      <c r="C8" s="137"/>
      <c r="D8" s="50"/>
      <c r="E8" s="50"/>
      <c r="F8" s="50"/>
      <c r="G8" s="50"/>
      <c r="H8" s="50"/>
      <c r="I8" s="50"/>
      <c r="J8" s="50"/>
      <c r="K8" s="50"/>
      <c r="L8" s="35"/>
    </row>
    <row r="9" spans="1:12" s="2" customFormat="1">
      <c r="B9" s="129" t="s">
        <v>160</v>
      </c>
      <c r="C9" s="152" t="s">
        <v>128</v>
      </c>
      <c r="D9" s="593">
        <v>141.49812031000025</v>
      </c>
      <c r="E9" s="594">
        <v>144.35600000000002</v>
      </c>
      <c r="F9" s="594">
        <v>151.88500000000002</v>
      </c>
      <c r="G9" s="594">
        <v>145.74800000000002</v>
      </c>
      <c r="H9" s="594">
        <v>138.1</v>
      </c>
      <c r="I9" s="594">
        <v>162.30000000000001</v>
      </c>
      <c r="J9" s="594"/>
      <c r="K9" s="604"/>
    </row>
    <row r="10" spans="1:12" s="2" customFormat="1">
      <c r="B10" s="129" t="s">
        <v>161</v>
      </c>
      <c r="C10" s="152" t="s">
        <v>128</v>
      </c>
      <c r="D10" s="595">
        <v>-3.0469999999976904E-5</v>
      </c>
      <c r="E10" s="596">
        <v>1.3</v>
      </c>
      <c r="F10" s="596">
        <v>1.1000000000000001</v>
      </c>
      <c r="G10" s="596">
        <v>2</v>
      </c>
      <c r="H10" s="596">
        <v>1.1000000000000001</v>
      </c>
      <c r="I10" s="596">
        <v>1.8</v>
      </c>
      <c r="J10" s="596"/>
      <c r="K10" s="605"/>
    </row>
    <row r="11" spans="1:12" s="2" customFormat="1" ht="29.25" customHeight="1">
      <c r="B11" s="130" t="s">
        <v>455</v>
      </c>
      <c r="C11" s="152" t="s">
        <v>128</v>
      </c>
      <c r="D11" s="595">
        <v>-1.228</v>
      </c>
      <c r="E11" s="596">
        <v>0</v>
      </c>
      <c r="F11" s="596">
        <v>0</v>
      </c>
      <c r="G11" s="596">
        <v>0</v>
      </c>
      <c r="H11" s="596">
        <v>0</v>
      </c>
      <c r="I11" s="596">
        <v>0</v>
      </c>
      <c r="J11" s="596"/>
      <c r="K11" s="605"/>
    </row>
    <row r="12" spans="1:12" s="2" customFormat="1">
      <c r="B12" s="129" t="s">
        <v>162</v>
      </c>
      <c r="C12" s="152" t="s">
        <v>128</v>
      </c>
      <c r="D12" s="595">
        <v>-26.2624</v>
      </c>
      <c r="E12" s="596">
        <v>-33.477437860000002</v>
      </c>
      <c r="F12" s="596">
        <v>-35.374176420000005</v>
      </c>
      <c r="G12" s="596">
        <v>-23.905204299999998</v>
      </c>
      <c r="H12" s="596">
        <v>-26.211667200000004</v>
      </c>
      <c r="I12" s="596">
        <v>-27.62192018</v>
      </c>
      <c r="J12" s="596"/>
      <c r="K12" s="605"/>
    </row>
    <row r="13" spans="1:12" s="2" customFormat="1">
      <c r="B13" s="129" t="s">
        <v>163</v>
      </c>
      <c r="C13" s="152" t="s">
        <v>128</v>
      </c>
      <c r="D13" s="595">
        <v>-0.2</v>
      </c>
      <c r="E13" s="596">
        <v>0.44400000000000001</v>
      </c>
      <c r="F13" s="596">
        <v>0.51500000000000001</v>
      </c>
      <c r="G13" s="596">
        <v>0.95199999999999996</v>
      </c>
      <c r="H13" s="596">
        <v>0</v>
      </c>
      <c r="I13" s="596">
        <v>0</v>
      </c>
      <c r="J13" s="596"/>
      <c r="K13" s="605"/>
    </row>
    <row r="14" spans="1:12" s="2" customFormat="1">
      <c r="B14" s="129" t="s">
        <v>164</v>
      </c>
      <c r="C14" s="152" t="s">
        <v>128</v>
      </c>
      <c r="D14" s="631">
        <v>0</v>
      </c>
      <c r="E14" s="632">
        <v>0</v>
      </c>
      <c r="F14" s="632">
        <v>0</v>
      </c>
      <c r="G14" s="632">
        <v>0</v>
      </c>
      <c r="H14" s="632">
        <v>0</v>
      </c>
      <c r="I14" s="632">
        <v>0</v>
      </c>
      <c r="J14" s="632"/>
      <c r="K14" s="633"/>
    </row>
    <row r="15" spans="1:12" s="2" customFormat="1">
      <c r="A15" s="3">
        <v>1</v>
      </c>
      <c r="B15" s="870" t="s">
        <v>243</v>
      </c>
      <c r="C15" s="152" t="s">
        <v>128</v>
      </c>
      <c r="D15" s="593">
        <v>0</v>
      </c>
      <c r="E15" s="594">
        <v>0</v>
      </c>
      <c r="F15" s="594">
        <v>0</v>
      </c>
      <c r="G15" s="594">
        <v>0</v>
      </c>
      <c r="H15" s="594">
        <v>0</v>
      </c>
      <c r="I15" s="594">
        <v>0</v>
      </c>
      <c r="J15" s="594"/>
      <c r="K15" s="604"/>
    </row>
    <row r="16" spans="1:12" s="2" customFormat="1">
      <c r="A16" s="3">
        <v>2</v>
      </c>
      <c r="B16" s="870" t="s">
        <v>243</v>
      </c>
      <c r="C16" s="152" t="s">
        <v>128</v>
      </c>
      <c r="D16" s="595">
        <v>0</v>
      </c>
      <c r="E16" s="596">
        <v>0</v>
      </c>
      <c r="F16" s="596">
        <v>0</v>
      </c>
      <c r="G16" s="596">
        <v>0</v>
      </c>
      <c r="H16" s="596">
        <v>0</v>
      </c>
      <c r="I16" s="596">
        <v>0</v>
      </c>
      <c r="J16" s="596"/>
      <c r="K16" s="605"/>
    </row>
    <row r="17" spans="1:11" s="2" customFormat="1">
      <c r="A17" s="3">
        <v>3</v>
      </c>
      <c r="B17" s="870" t="s">
        <v>243</v>
      </c>
      <c r="C17" s="152" t="s">
        <v>128</v>
      </c>
      <c r="D17" s="595">
        <v>0</v>
      </c>
      <c r="E17" s="596">
        <v>0</v>
      </c>
      <c r="F17" s="596">
        <v>0</v>
      </c>
      <c r="G17" s="596">
        <v>0</v>
      </c>
      <c r="H17" s="596">
        <v>0</v>
      </c>
      <c r="I17" s="596">
        <v>0</v>
      </c>
      <c r="J17" s="596"/>
      <c r="K17" s="605"/>
    </row>
    <row r="18" spans="1:11" s="2" customFormat="1">
      <c r="B18" s="12" t="s">
        <v>165</v>
      </c>
      <c r="C18" s="152" t="s">
        <v>128</v>
      </c>
      <c r="D18" s="634">
        <f>SUM(D9:D17)</f>
        <v>113.80768984000022</v>
      </c>
      <c r="E18" s="635">
        <f t="shared" ref="E18:K18" si="1">SUM(E9:E17)</f>
        <v>112.62256214000003</v>
      </c>
      <c r="F18" s="635">
        <f t="shared" si="1"/>
        <v>118.12582358000002</v>
      </c>
      <c r="G18" s="635">
        <f t="shared" si="1"/>
        <v>124.79479570000002</v>
      </c>
      <c r="H18" s="635">
        <f t="shared" si="1"/>
        <v>112.98833279999998</v>
      </c>
      <c r="I18" s="635">
        <f t="shared" si="1"/>
        <v>136.47807982000003</v>
      </c>
      <c r="J18" s="635">
        <f t="shared" si="1"/>
        <v>0</v>
      </c>
      <c r="K18" s="636">
        <f t="shared" si="1"/>
        <v>0</v>
      </c>
    </row>
    <row r="19" spans="1:11" s="2" customFormat="1">
      <c r="B19" s="129" t="s">
        <v>166</v>
      </c>
      <c r="C19" s="152" t="s">
        <v>128</v>
      </c>
      <c r="D19" s="637">
        <v>80.09999999999998</v>
      </c>
      <c r="E19" s="638">
        <v>72.199999999999989</v>
      </c>
      <c r="F19" s="638">
        <v>73.478000000000009</v>
      </c>
      <c r="G19" s="638">
        <v>82.3</v>
      </c>
      <c r="H19" s="638">
        <v>77.599999999999994</v>
      </c>
      <c r="I19" s="638">
        <v>77.899999999999991</v>
      </c>
      <c r="J19" s="638"/>
      <c r="K19" s="639"/>
    </row>
    <row r="20" spans="1:11" s="2" customFormat="1">
      <c r="A20" s="3">
        <v>1</v>
      </c>
      <c r="B20" s="870" t="s">
        <v>243</v>
      </c>
      <c r="C20" s="152" t="s">
        <v>128</v>
      </c>
      <c r="D20" s="593">
        <v>0</v>
      </c>
      <c r="E20" s="594">
        <v>0</v>
      </c>
      <c r="F20" s="594">
        <v>0</v>
      </c>
      <c r="G20" s="594">
        <v>0</v>
      </c>
      <c r="H20" s="594">
        <v>0</v>
      </c>
      <c r="I20" s="594">
        <v>0</v>
      </c>
      <c r="J20" s="594"/>
      <c r="K20" s="604"/>
    </row>
    <row r="21" spans="1:11" s="2" customFormat="1">
      <c r="A21" s="3">
        <v>2</v>
      </c>
      <c r="B21" s="870" t="s">
        <v>243</v>
      </c>
      <c r="C21" s="152" t="s">
        <v>128</v>
      </c>
      <c r="D21" s="595">
        <v>0</v>
      </c>
      <c r="E21" s="596">
        <v>0</v>
      </c>
      <c r="F21" s="596">
        <v>0</v>
      </c>
      <c r="G21" s="596">
        <v>0</v>
      </c>
      <c r="H21" s="596">
        <v>0</v>
      </c>
      <c r="I21" s="596">
        <v>0</v>
      </c>
      <c r="J21" s="596"/>
      <c r="K21" s="605"/>
    </row>
    <row r="22" spans="1:11" s="2" customFormat="1">
      <c r="A22" s="3">
        <v>3</v>
      </c>
      <c r="B22" s="870" t="s">
        <v>243</v>
      </c>
      <c r="C22" s="152" t="s">
        <v>128</v>
      </c>
      <c r="D22" s="595">
        <v>0</v>
      </c>
      <c r="E22" s="596">
        <v>0</v>
      </c>
      <c r="F22" s="596">
        <v>0</v>
      </c>
      <c r="G22" s="596">
        <v>0</v>
      </c>
      <c r="H22" s="596">
        <v>0</v>
      </c>
      <c r="I22" s="596">
        <v>0</v>
      </c>
      <c r="J22" s="596"/>
      <c r="K22" s="605"/>
    </row>
    <row r="23" spans="1:11" s="2" customFormat="1">
      <c r="B23" s="12" t="s">
        <v>167</v>
      </c>
      <c r="C23" s="152" t="s">
        <v>128</v>
      </c>
      <c r="D23" s="609">
        <f>SUM(D18:D22)</f>
        <v>193.90768984000022</v>
      </c>
      <c r="E23" s="610">
        <f t="shared" ref="E23:K23" si="2">SUM(E18:E22)</f>
        <v>184.82256214</v>
      </c>
      <c r="F23" s="610">
        <f t="shared" si="2"/>
        <v>191.60382358000004</v>
      </c>
      <c r="G23" s="610">
        <f t="shared" si="2"/>
        <v>207.09479570000002</v>
      </c>
      <c r="H23" s="610">
        <f t="shared" si="2"/>
        <v>190.58833279999999</v>
      </c>
      <c r="I23" s="610">
        <f t="shared" si="2"/>
        <v>214.37807982000004</v>
      </c>
      <c r="J23" s="610">
        <f t="shared" si="2"/>
        <v>0</v>
      </c>
      <c r="K23" s="611">
        <f t="shared" si="2"/>
        <v>0</v>
      </c>
    </row>
    <row r="24" spans="1:11" s="2" customFormat="1">
      <c r="C24" s="136"/>
      <c r="D24" s="51"/>
      <c r="E24" s="51"/>
      <c r="F24" s="51"/>
      <c r="G24" s="51"/>
      <c r="H24" s="51"/>
      <c r="I24" s="51"/>
      <c r="J24" s="51"/>
      <c r="K24" s="51"/>
    </row>
    <row r="25" spans="1:11" s="2" customFormat="1">
      <c r="B25" s="12" t="s">
        <v>445</v>
      </c>
      <c r="C25" s="152" t="s">
        <v>128</v>
      </c>
      <c r="D25" s="53"/>
    </row>
    <row r="26" spans="1:11" s="2" customFormat="1">
      <c r="A26" s="3">
        <v>1</v>
      </c>
      <c r="B26" s="519" t="s">
        <v>594</v>
      </c>
      <c r="C26" s="152" t="s">
        <v>128</v>
      </c>
      <c r="D26" s="593">
        <v>1.0396000000000001</v>
      </c>
      <c r="E26" s="594">
        <v>-0.1</v>
      </c>
      <c r="F26" s="594">
        <v>-0.1</v>
      </c>
      <c r="G26" s="594">
        <v>-0.1</v>
      </c>
      <c r="H26" s="594">
        <v>0.1</v>
      </c>
      <c r="I26" s="594">
        <v>-0.2</v>
      </c>
      <c r="J26" s="594"/>
      <c r="K26" s="604"/>
    </row>
    <row r="27" spans="1:11" s="2" customFormat="1">
      <c r="A27" s="3">
        <v>2</v>
      </c>
      <c r="B27" s="519" t="s">
        <v>595</v>
      </c>
      <c r="C27" s="152" t="s">
        <v>128</v>
      </c>
      <c r="D27" s="595">
        <v>-5.4570280000000002</v>
      </c>
      <c r="E27" s="596">
        <v>-5.4585019199999998</v>
      </c>
      <c r="F27" s="596">
        <v>-5.0146439599999999</v>
      </c>
      <c r="G27" s="596">
        <v>-5.3433354299999998</v>
      </c>
      <c r="H27" s="596">
        <v>-5.6345033200000003</v>
      </c>
      <c r="I27" s="596">
        <v>-5.8106154400000003</v>
      </c>
      <c r="J27" s="596"/>
      <c r="K27" s="605"/>
    </row>
    <row r="28" spans="1:11" s="2" customFormat="1">
      <c r="A28" s="3">
        <v>3</v>
      </c>
      <c r="B28" s="519" t="s">
        <v>596</v>
      </c>
      <c r="C28" s="152" t="s">
        <v>128</v>
      </c>
      <c r="D28" s="595">
        <v>31.192900000000002</v>
      </c>
      <c r="E28" s="596">
        <v>-1.2065092695000046</v>
      </c>
      <c r="F28" s="596">
        <v>1.8832032599999997</v>
      </c>
      <c r="G28" s="596">
        <v>-1.10906919</v>
      </c>
      <c r="H28" s="596">
        <v>-0.96646897999999992</v>
      </c>
      <c r="I28" s="596">
        <v>-1.3807545999999999</v>
      </c>
      <c r="J28" s="596"/>
      <c r="K28" s="605"/>
    </row>
    <row r="29" spans="1:11" s="2" customFormat="1">
      <c r="A29" s="3">
        <v>4</v>
      </c>
      <c r="B29" s="519" t="s">
        <v>597</v>
      </c>
      <c r="C29" s="152" t="s">
        <v>128</v>
      </c>
      <c r="D29" s="595">
        <v>0.68873906000000007</v>
      </c>
      <c r="E29" s="596">
        <v>-0.29580800000000002</v>
      </c>
      <c r="F29" s="596">
        <v>-0.419545</v>
      </c>
      <c r="G29" s="596">
        <v>-1.8498205700000001</v>
      </c>
      <c r="H29" s="596">
        <v>1.60004605</v>
      </c>
      <c r="I29" s="596">
        <v>-1.1115055199999999</v>
      </c>
      <c r="J29" s="596"/>
      <c r="K29" s="605"/>
    </row>
    <row r="30" spans="1:11" s="2" customFormat="1">
      <c r="A30" s="3">
        <v>5</v>
      </c>
      <c r="B30" s="519" t="s">
        <v>598</v>
      </c>
      <c r="C30" s="152" t="s">
        <v>128</v>
      </c>
      <c r="D30" s="595">
        <v>0.39391049650000021</v>
      </c>
      <c r="E30" s="596">
        <v>0.78517884749999989</v>
      </c>
      <c r="F30" s="596">
        <v>0.29738070350000001</v>
      </c>
      <c r="G30" s="596">
        <v>0.25759861649999999</v>
      </c>
      <c r="H30" s="596">
        <v>0.70980070249999994</v>
      </c>
      <c r="I30" s="596">
        <v>0.21424217400000001</v>
      </c>
      <c r="J30" s="596"/>
      <c r="K30" s="605"/>
    </row>
    <row r="31" spans="1:11" s="2" customFormat="1">
      <c r="A31" s="3">
        <v>6</v>
      </c>
      <c r="B31" s="519" t="s">
        <v>599</v>
      </c>
      <c r="C31" s="152" t="s">
        <v>128</v>
      </c>
      <c r="D31" s="595">
        <v>-1.4129990700000001</v>
      </c>
      <c r="E31" s="596">
        <v>-1.5781962919999999</v>
      </c>
      <c r="F31" s="596">
        <v>-1.9098928800000003</v>
      </c>
      <c r="G31" s="596">
        <v>-1.71462746</v>
      </c>
      <c r="H31" s="596">
        <v>-2.0708793299900004</v>
      </c>
      <c r="I31" s="596">
        <v>-2.0997141899899998</v>
      </c>
      <c r="J31" s="596"/>
      <c r="K31" s="605"/>
    </row>
    <row r="32" spans="1:11" s="2" customFormat="1">
      <c r="A32" s="3">
        <v>7</v>
      </c>
      <c r="B32" s="519" t="s">
        <v>600</v>
      </c>
      <c r="C32" s="152" t="s">
        <v>128</v>
      </c>
      <c r="D32" s="595">
        <v>0.33719300000000002</v>
      </c>
      <c r="E32" s="596">
        <v>0.35262568001</v>
      </c>
      <c r="F32" s="596">
        <v>0.27200004</v>
      </c>
      <c r="G32" s="596">
        <v>0.27158536</v>
      </c>
      <c r="H32" s="596">
        <v>0.24219570000000001</v>
      </c>
      <c r="I32" s="596">
        <v>0.32859740000000004</v>
      </c>
      <c r="J32" s="596"/>
      <c r="K32" s="605"/>
    </row>
    <row r="33" spans="1:11" s="2" customFormat="1">
      <c r="A33" s="3">
        <v>8</v>
      </c>
      <c r="B33" s="519" t="s">
        <v>601</v>
      </c>
      <c r="C33" s="152" t="s">
        <v>128</v>
      </c>
      <c r="D33" s="595">
        <v>-0.45589822466792673</v>
      </c>
      <c r="E33" s="596">
        <v>-0.41012676310229507</v>
      </c>
      <c r="F33" s="596">
        <v>-0.47261780472367554</v>
      </c>
      <c r="G33" s="596">
        <v>-0.54325863703113997</v>
      </c>
      <c r="H33" s="596">
        <v>-0.15905017168242458</v>
      </c>
      <c r="I33" s="596">
        <v>-0.15734423762234823</v>
      </c>
      <c r="J33" s="596"/>
      <c r="K33" s="605"/>
    </row>
    <row r="34" spans="1:11" s="2" customFormat="1">
      <c r="A34" s="3">
        <v>9</v>
      </c>
      <c r="B34" s="519" t="s">
        <v>602</v>
      </c>
      <c r="C34" s="152" t="s">
        <v>128</v>
      </c>
      <c r="D34" s="595">
        <v>-7.75910900655217</v>
      </c>
      <c r="E34" s="596">
        <v>1.6862300000000006</v>
      </c>
      <c r="F34" s="596">
        <v>0.97299999999999998</v>
      </c>
      <c r="G34" s="596">
        <v>-1.3629589999999998</v>
      </c>
      <c r="H34" s="596">
        <v>2.6092878275000002</v>
      </c>
      <c r="I34" s="596">
        <v>-0.20426995999999992</v>
      </c>
      <c r="J34" s="596"/>
      <c r="K34" s="605"/>
    </row>
    <row r="35" spans="1:11" s="2" customFormat="1">
      <c r="A35" s="3">
        <v>10</v>
      </c>
      <c r="B35" s="519" t="s">
        <v>603</v>
      </c>
      <c r="C35" s="152" t="s">
        <v>128</v>
      </c>
      <c r="D35" s="595">
        <v>-3.7117371022943892</v>
      </c>
      <c r="E35" s="596">
        <v>27.706819089400621</v>
      </c>
      <c r="F35" s="596">
        <v>0.5210999999999999</v>
      </c>
      <c r="G35" s="596">
        <v>26.331793835058487</v>
      </c>
      <c r="H35" s="596">
        <v>25.986946830346387</v>
      </c>
      <c r="I35" s="596">
        <v>23.978786649494545</v>
      </c>
      <c r="J35" s="596"/>
      <c r="K35" s="605"/>
    </row>
    <row r="36" spans="1:11" s="2" customFormat="1">
      <c r="A36" s="3">
        <v>11</v>
      </c>
      <c r="B36" s="519" t="s">
        <v>604</v>
      </c>
      <c r="C36" s="152" t="s">
        <v>128</v>
      </c>
      <c r="D36" s="595">
        <v>0.76063291</v>
      </c>
      <c r="E36" s="596">
        <v>39.195450905802133</v>
      </c>
      <c r="F36" s="596">
        <v>-10.05731001945043</v>
      </c>
      <c r="G36" s="596">
        <v>-0.54239722266319568</v>
      </c>
      <c r="H36" s="596">
        <v>0</v>
      </c>
      <c r="I36" s="596">
        <v>0</v>
      </c>
      <c r="J36" s="596"/>
      <c r="K36" s="605"/>
    </row>
    <row r="37" spans="1:11" s="2" customFormat="1">
      <c r="A37" s="3">
        <v>12</v>
      </c>
      <c r="B37" s="519" t="s">
        <v>605</v>
      </c>
      <c r="C37" s="152" t="s">
        <v>128</v>
      </c>
      <c r="D37" s="595">
        <v>0</v>
      </c>
      <c r="E37" s="596">
        <v>-0.5031919775</v>
      </c>
      <c r="F37" s="596">
        <v>-4.0894021546981687</v>
      </c>
      <c r="G37" s="596">
        <v>-3.44398225902194</v>
      </c>
      <c r="H37" s="596">
        <v>-3.6798658125219408</v>
      </c>
      <c r="I37" s="596">
        <v>-3.0588143403389694</v>
      </c>
      <c r="J37" s="596"/>
      <c r="K37" s="605"/>
    </row>
    <row r="38" spans="1:11" s="2" customFormat="1">
      <c r="A38" s="3">
        <v>13</v>
      </c>
      <c r="B38" s="519" t="s">
        <v>606</v>
      </c>
      <c r="C38" s="152" t="s">
        <v>128</v>
      </c>
      <c r="D38" s="595">
        <v>0</v>
      </c>
      <c r="E38" s="596">
        <v>0</v>
      </c>
      <c r="F38" s="596">
        <v>-0.1537544849293595</v>
      </c>
      <c r="G38" s="596">
        <v>-0.15493562321765042</v>
      </c>
      <c r="H38" s="596">
        <v>-0.20392383691013777</v>
      </c>
      <c r="I38" s="596">
        <v>0.21412207821325574</v>
      </c>
      <c r="J38" s="596"/>
      <c r="K38" s="605"/>
    </row>
    <row r="39" spans="1:11" s="2" customFormat="1">
      <c r="A39" s="3">
        <v>14</v>
      </c>
      <c r="B39" s="519" t="s">
        <v>607</v>
      </c>
      <c r="C39" s="152" t="s">
        <v>128</v>
      </c>
      <c r="D39" s="595">
        <v>-0.20930000000000001</v>
      </c>
      <c r="E39" s="596">
        <v>0</v>
      </c>
      <c r="F39" s="596">
        <v>0</v>
      </c>
      <c r="G39" s="596">
        <v>0</v>
      </c>
      <c r="H39" s="596">
        <v>0</v>
      </c>
      <c r="I39" s="596">
        <v>0</v>
      </c>
      <c r="J39" s="596"/>
      <c r="K39" s="605"/>
    </row>
    <row r="40" spans="1:11" s="2" customFormat="1">
      <c r="A40" s="3">
        <v>15</v>
      </c>
      <c r="B40" s="519" t="s">
        <v>608</v>
      </c>
      <c r="C40" s="152" t="s">
        <v>128</v>
      </c>
      <c r="D40" s="595">
        <v>-1.3</v>
      </c>
      <c r="E40" s="596">
        <v>1.1000000000000001</v>
      </c>
      <c r="F40" s="596">
        <v>0.65</v>
      </c>
      <c r="G40" s="596">
        <v>6.9452835387892264E-2</v>
      </c>
      <c r="H40" s="596">
        <v>3.1726732557302739E-2</v>
      </c>
      <c r="I40" s="596">
        <v>0.5503893162434963</v>
      </c>
      <c r="J40" s="596"/>
      <c r="K40" s="605"/>
    </row>
    <row r="41" spans="1:11" s="2" customFormat="1">
      <c r="A41" s="3">
        <v>16</v>
      </c>
      <c r="B41" s="519" t="s">
        <v>609</v>
      </c>
      <c r="C41" s="152" t="s">
        <v>128</v>
      </c>
      <c r="D41" s="595">
        <v>0</v>
      </c>
      <c r="E41" s="596">
        <v>0</v>
      </c>
      <c r="F41" s="596">
        <v>0</v>
      </c>
      <c r="G41" s="596">
        <v>-1</v>
      </c>
      <c r="H41" s="596">
        <v>0</v>
      </c>
      <c r="I41" s="596">
        <v>0</v>
      </c>
      <c r="J41" s="596"/>
      <c r="K41" s="605"/>
    </row>
    <row r="42" spans="1:11" s="2" customFormat="1">
      <c r="A42" s="3">
        <v>17</v>
      </c>
      <c r="B42" s="519" t="s">
        <v>610</v>
      </c>
      <c r="C42" s="152" t="s">
        <v>128</v>
      </c>
      <c r="D42" s="595">
        <v>0</v>
      </c>
      <c r="E42" s="596">
        <v>0</v>
      </c>
      <c r="F42" s="596">
        <v>0</v>
      </c>
      <c r="G42" s="596">
        <v>0.55700000000000005</v>
      </c>
      <c r="H42" s="596">
        <v>0.25425180479999998</v>
      </c>
      <c r="I42" s="596">
        <v>0.90625778999999995</v>
      </c>
      <c r="J42" s="596"/>
      <c r="K42" s="605"/>
    </row>
    <row r="43" spans="1:11" s="2" customFormat="1">
      <c r="A43" s="3">
        <v>18</v>
      </c>
      <c r="B43" s="519" t="s">
        <v>611</v>
      </c>
      <c r="C43" s="152" t="s">
        <v>128</v>
      </c>
      <c r="D43" s="595">
        <v>0</v>
      </c>
      <c r="E43" s="596">
        <v>0</v>
      </c>
      <c r="F43" s="596">
        <v>0</v>
      </c>
      <c r="G43" s="596">
        <v>0</v>
      </c>
      <c r="H43" s="596">
        <v>0.2619368097708048</v>
      </c>
      <c r="I43" s="596">
        <v>1.1299999999999999</v>
      </c>
      <c r="J43" s="596"/>
      <c r="K43" s="605"/>
    </row>
    <row r="44" spans="1:11" s="2" customFormat="1">
      <c r="A44" s="3">
        <v>19</v>
      </c>
      <c r="B44" s="519" t="s">
        <v>612</v>
      </c>
      <c r="C44" s="152" t="s">
        <v>128</v>
      </c>
      <c r="D44" s="595">
        <v>0</v>
      </c>
      <c r="E44" s="596">
        <v>0</v>
      </c>
      <c r="F44" s="596">
        <v>0</v>
      </c>
      <c r="G44" s="596">
        <v>0</v>
      </c>
      <c r="H44" s="596">
        <v>0.33864498232151163</v>
      </c>
      <c r="I44" s="596">
        <v>0</v>
      </c>
      <c r="J44" s="596"/>
      <c r="K44" s="605"/>
    </row>
    <row r="45" spans="1:11" s="2" customFormat="1">
      <c r="A45" s="3">
        <v>20</v>
      </c>
      <c r="B45" s="519" t="s">
        <v>243</v>
      </c>
      <c r="C45" s="152" t="s">
        <v>128</v>
      </c>
      <c r="D45" s="595">
        <v>0</v>
      </c>
      <c r="E45" s="596">
        <v>0</v>
      </c>
      <c r="F45" s="596">
        <v>0</v>
      </c>
      <c r="G45" s="596">
        <v>0</v>
      </c>
      <c r="H45" s="596">
        <v>0</v>
      </c>
      <c r="I45" s="596"/>
      <c r="J45" s="596"/>
      <c r="K45" s="605"/>
    </row>
    <row r="46" spans="1:11" s="2" customFormat="1">
      <c r="B46" s="12" t="s">
        <v>398</v>
      </c>
      <c r="C46" s="152" t="s">
        <v>128</v>
      </c>
      <c r="D46" s="609">
        <f>SUM(D26:D45)</f>
        <v>14.106904062985514</v>
      </c>
      <c r="E46" s="610">
        <f t="shared" ref="E46:K46" si="3">SUM(E26:E45)</f>
        <v>61.273970300610458</v>
      </c>
      <c r="F46" s="610">
        <f t="shared" si="3"/>
        <v>-17.620482300301632</v>
      </c>
      <c r="G46" s="610">
        <f t="shared" si="3"/>
        <v>10.323045255012453</v>
      </c>
      <c r="H46" s="610">
        <f t="shared" si="3"/>
        <v>19.420145988691502</v>
      </c>
      <c r="I46" s="610">
        <f t="shared" si="3"/>
        <v>13.299377119999981</v>
      </c>
      <c r="J46" s="610">
        <f t="shared" si="3"/>
        <v>0</v>
      </c>
      <c r="K46" s="611">
        <f t="shared" si="3"/>
        <v>0</v>
      </c>
    </row>
    <row r="47" spans="1:11" s="2" customFormat="1">
      <c r="C47" s="136"/>
      <c r="D47" s="52"/>
      <c r="E47" s="51"/>
      <c r="F47" s="51"/>
      <c r="G47" s="51"/>
      <c r="H47" s="51"/>
      <c r="I47" s="51"/>
      <c r="J47" s="51"/>
      <c r="K47" s="51"/>
    </row>
    <row r="48" spans="1:11" s="2" customFormat="1">
      <c r="B48" s="12" t="s">
        <v>444</v>
      </c>
      <c r="C48" s="152" t="s">
        <v>128</v>
      </c>
      <c r="D48" s="609">
        <f>D46+D23</f>
        <v>208.01459390298572</v>
      </c>
      <c r="E48" s="610">
        <f t="shared" ref="E48:K48" si="4">E46+E23</f>
        <v>246.09653244061047</v>
      </c>
      <c r="F48" s="610">
        <f t="shared" si="4"/>
        <v>173.98334127969841</v>
      </c>
      <c r="G48" s="610">
        <f t="shared" si="4"/>
        <v>217.41784095501248</v>
      </c>
      <c r="H48" s="610">
        <f t="shared" si="4"/>
        <v>210.00847878869149</v>
      </c>
      <c r="I48" s="610">
        <f t="shared" si="4"/>
        <v>227.67745694000001</v>
      </c>
      <c r="J48" s="610">
        <f t="shared" si="4"/>
        <v>0</v>
      </c>
      <c r="K48" s="611">
        <f t="shared" si="4"/>
        <v>0</v>
      </c>
    </row>
    <row r="49" spans="1:11" s="2" customFormat="1">
      <c r="B49" s="2" t="s">
        <v>399</v>
      </c>
      <c r="C49" s="152" t="s">
        <v>128</v>
      </c>
      <c r="D49" s="593">
        <v>208.02249999999998</v>
      </c>
      <c r="E49" s="594">
        <v>246.06004527566154</v>
      </c>
      <c r="F49" s="594">
        <v>173.96305819614943</v>
      </c>
      <c r="G49" s="594">
        <v>217.43215200686964</v>
      </c>
      <c r="H49" s="594">
        <v>210.00778506462154</v>
      </c>
      <c r="I49" s="594">
        <v>227.67312857899998</v>
      </c>
      <c r="J49" s="594"/>
      <c r="K49" s="604"/>
    </row>
    <row r="50" spans="1:11" s="2" customFormat="1">
      <c r="C50" s="136" t="s">
        <v>402</v>
      </c>
      <c r="D50" s="640" t="str">
        <f>IF(D$5="Actuals",IF(ABS(D48-D49)&lt;1,"OK","ERROR"),"N/A")</f>
        <v>OK</v>
      </c>
      <c r="E50" s="641" t="str">
        <f t="shared" ref="E50:K50" si="5">IF(E$5="Actuals",IF(ABS(E48-E49)&lt;1,"OK","ERROR"),"N/A")</f>
        <v>OK</v>
      </c>
      <c r="F50" s="641" t="str">
        <f t="shared" si="5"/>
        <v>OK</v>
      </c>
      <c r="G50" s="641" t="str">
        <f t="shared" si="5"/>
        <v>OK</v>
      </c>
      <c r="H50" s="641" t="str">
        <f t="shared" si="5"/>
        <v>OK</v>
      </c>
      <c r="I50" s="641" t="str">
        <f t="shared" si="5"/>
        <v>OK</v>
      </c>
      <c r="J50" s="641" t="str">
        <f t="shared" si="5"/>
        <v>N/A</v>
      </c>
      <c r="K50" s="642" t="str">
        <f t="shared" si="5"/>
        <v>N/A</v>
      </c>
    </row>
    <row r="51" spans="1:11" s="2" customFormat="1">
      <c r="B51" s="2" t="s">
        <v>84</v>
      </c>
      <c r="C51" s="136"/>
      <c r="D51" s="53"/>
    </row>
    <row r="52" spans="1:11" s="2" customFormat="1">
      <c r="B52" s="12" t="s">
        <v>400</v>
      </c>
      <c r="C52" s="152"/>
      <c r="D52" s="53"/>
    </row>
    <row r="53" spans="1:11" s="2" customFormat="1">
      <c r="A53" s="3">
        <v>1</v>
      </c>
      <c r="B53" s="943" t="s">
        <v>613</v>
      </c>
      <c r="C53" s="152" t="s">
        <v>128</v>
      </c>
      <c r="D53" s="593">
        <v>29.483699999999995</v>
      </c>
      <c r="E53" s="594">
        <v>28.276400000000002</v>
      </c>
      <c r="F53" s="594">
        <v>25.249499999999998</v>
      </c>
      <c r="G53" s="594">
        <v>26.872692212800001</v>
      </c>
      <c r="H53" s="594">
        <v>27.215951804800007</v>
      </c>
      <c r="I53" s="594">
        <v>28.449470679999997</v>
      </c>
      <c r="J53" s="594"/>
      <c r="K53" s="604"/>
    </row>
    <row r="54" spans="1:11" s="2" customFormat="1">
      <c r="A54" s="3">
        <v>2</v>
      </c>
      <c r="B54" s="943" t="s">
        <v>614</v>
      </c>
      <c r="C54" s="152" t="s">
        <v>128</v>
      </c>
      <c r="D54" s="595">
        <v>26.028500000000001</v>
      </c>
      <c r="E54" s="596">
        <v>54.065297091412312</v>
      </c>
      <c r="F54" s="596">
        <v>-1.3815976000000003</v>
      </c>
      <c r="G54" s="596">
        <v>25.458667759999997</v>
      </c>
      <c r="H54" s="596">
        <v>24.580086860000002</v>
      </c>
      <c r="I54" s="596">
        <v>25.122141679999999</v>
      </c>
      <c r="J54" s="596"/>
      <c r="K54" s="605"/>
    </row>
    <row r="55" spans="1:11" s="2" customFormat="1">
      <c r="A55" s="3">
        <v>3</v>
      </c>
      <c r="B55" s="943" t="s">
        <v>615</v>
      </c>
      <c r="C55" s="152" t="s">
        <v>128</v>
      </c>
      <c r="D55" s="595">
        <v>7.5765000000000011</v>
      </c>
      <c r="E55" s="596">
        <v>9.9310702201766432</v>
      </c>
      <c r="F55" s="596">
        <v>9.5063704890174652</v>
      </c>
      <c r="G55" s="596">
        <v>14.28863393050872</v>
      </c>
      <c r="H55" s="596">
        <v>12.121766762703935</v>
      </c>
      <c r="I55" s="596">
        <v>3.8755960227080894</v>
      </c>
      <c r="J55" s="596"/>
      <c r="K55" s="605"/>
    </row>
    <row r="56" spans="1:11" s="2" customFormat="1">
      <c r="A56" s="3">
        <v>4</v>
      </c>
      <c r="B56" s="943" t="s">
        <v>616</v>
      </c>
      <c r="C56" s="152" t="s">
        <v>128</v>
      </c>
      <c r="D56" s="595">
        <v>2.9344000000000006</v>
      </c>
      <c r="E56" s="596">
        <v>3.0134000000000003</v>
      </c>
      <c r="F56" s="596">
        <v>3.0656558699999996</v>
      </c>
      <c r="G56" s="596">
        <v>2.9035633600000001</v>
      </c>
      <c r="H56" s="596">
        <v>2.6428114537988834</v>
      </c>
      <c r="I56" s="596">
        <v>2.4563480983861239</v>
      </c>
      <c r="J56" s="596"/>
      <c r="K56" s="605"/>
    </row>
    <row r="57" spans="1:11" s="2" customFormat="1">
      <c r="A57" s="3">
        <v>5</v>
      </c>
      <c r="B57" s="518" t="s">
        <v>243</v>
      </c>
      <c r="C57" s="152" t="s">
        <v>128</v>
      </c>
      <c r="D57" s="595">
        <v>0</v>
      </c>
      <c r="E57" s="596">
        <v>0</v>
      </c>
      <c r="F57" s="596">
        <v>0</v>
      </c>
      <c r="G57" s="596">
        <v>0</v>
      </c>
      <c r="H57" s="596">
        <v>0</v>
      </c>
      <c r="I57" s="596">
        <v>0</v>
      </c>
      <c r="J57" s="596"/>
      <c r="K57" s="605"/>
    </row>
    <row r="58" spans="1:11" s="2" customFormat="1">
      <c r="A58" s="3">
        <v>6</v>
      </c>
      <c r="B58" s="518" t="s">
        <v>243</v>
      </c>
      <c r="C58" s="152" t="s">
        <v>128</v>
      </c>
      <c r="D58" s="595">
        <v>0</v>
      </c>
      <c r="E58" s="596">
        <v>0</v>
      </c>
      <c r="F58" s="596">
        <v>0</v>
      </c>
      <c r="G58" s="596">
        <v>0</v>
      </c>
      <c r="H58" s="596">
        <v>0</v>
      </c>
      <c r="I58" s="596">
        <v>0</v>
      </c>
      <c r="J58" s="596"/>
      <c r="K58" s="605"/>
    </row>
    <row r="59" spans="1:11" s="2" customFormat="1">
      <c r="A59" s="3">
        <v>7</v>
      </c>
      <c r="B59" s="518" t="s">
        <v>243</v>
      </c>
      <c r="C59" s="152" t="s">
        <v>128</v>
      </c>
      <c r="D59" s="595">
        <v>0</v>
      </c>
      <c r="E59" s="596">
        <v>0</v>
      </c>
      <c r="F59" s="596">
        <v>0</v>
      </c>
      <c r="G59" s="596">
        <v>0</v>
      </c>
      <c r="H59" s="596">
        <v>0</v>
      </c>
      <c r="I59" s="596">
        <v>0</v>
      </c>
      <c r="J59" s="596"/>
      <c r="K59" s="605"/>
    </row>
    <row r="60" spans="1:11" s="2" customFormat="1">
      <c r="A60" s="3">
        <v>8</v>
      </c>
      <c r="B60" s="518" t="s">
        <v>243</v>
      </c>
      <c r="C60" s="152" t="s">
        <v>128</v>
      </c>
      <c r="D60" s="595">
        <v>0</v>
      </c>
      <c r="E60" s="596">
        <v>0</v>
      </c>
      <c r="F60" s="596">
        <v>0</v>
      </c>
      <c r="G60" s="596">
        <v>0</v>
      </c>
      <c r="H60" s="596">
        <v>0</v>
      </c>
      <c r="I60" s="596">
        <v>0</v>
      </c>
      <c r="J60" s="596"/>
      <c r="K60" s="605"/>
    </row>
    <row r="61" spans="1:11" s="2" customFormat="1">
      <c r="A61" s="3">
        <v>9</v>
      </c>
      <c r="B61" s="518" t="s">
        <v>243</v>
      </c>
      <c r="C61" s="152" t="s">
        <v>128</v>
      </c>
      <c r="D61" s="595">
        <v>0</v>
      </c>
      <c r="E61" s="596">
        <v>0</v>
      </c>
      <c r="F61" s="596">
        <v>0</v>
      </c>
      <c r="G61" s="596">
        <v>0</v>
      </c>
      <c r="H61" s="596">
        <v>0</v>
      </c>
      <c r="I61" s="596">
        <v>0</v>
      </c>
      <c r="J61" s="596"/>
      <c r="K61" s="605"/>
    </row>
    <row r="62" spans="1:11" s="2" customFormat="1">
      <c r="A62" s="3">
        <v>10</v>
      </c>
      <c r="B62" s="518" t="s">
        <v>243</v>
      </c>
      <c r="C62" s="152" t="s">
        <v>128</v>
      </c>
      <c r="D62" s="595">
        <v>0</v>
      </c>
      <c r="E62" s="596">
        <v>0</v>
      </c>
      <c r="F62" s="596">
        <v>0</v>
      </c>
      <c r="G62" s="596">
        <v>0</v>
      </c>
      <c r="H62" s="596">
        <v>0</v>
      </c>
      <c r="I62" s="596">
        <v>0</v>
      </c>
      <c r="J62" s="596"/>
      <c r="K62" s="605"/>
    </row>
    <row r="63" spans="1:11" s="2" customFormat="1">
      <c r="A63" s="3">
        <v>11</v>
      </c>
      <c r="B63" s="518" t="s">
        <v>243</v>
      </c>
      <c r="C63" s="152" t="s">
        <v>128</v>
      </c>
      <c r="D63" s="595">
        <v>0</v>
      </c>
      <c r="E63" s="596">
        <v>0</v>
      </c>
      <c r="F63" s="596">
        <v>0</v>
      </c>
      <c r="G63" s="596">
        <v>0</v>
      </c>
      <c r="H63" s="596">
        <v>0</v>
      </c>
      <c r="I63" s="596">
        <v>0</v>
      </c>
      <c r="J63" s="596"/>
      <c r="K63" s="605"/>
    </row>
    <row r="64" spans="1:11" s="2" customFormat="1">
      <c r="A64" s="3">
        <v>12</v>
      </c>
      <c r="B64" s="518" t="s">
        <v>243</v>
      </c>
      <c r="C64" s="152" t="s">
        <v>128</v>
      </c>
      <c r="D64" s="595">
        <v>0</v>
      </c>
      <c r="E64" s="596">
        <v>0</v>
      </c>
      <c r="F64" s="596">
        <v>0</v>
      </c>
      <c r="G64" s="596">
        <v>0</v>
      </c>
      <c r="H64" s="596">
        <v>0</v>
      </c>
      <c r="I64" s="596">
        <v>0</v>
      </c>
      <c r="J64" s="596"/>
      <c r="K64" s="605"/>
    </row>
    <row r="65" spans="1:11" s="2" customFormat="1">
      <c r="A65" s="3">
        <v>13</v>
      </c>
      <c r="B65" s="518" t="s">
        <v>243</v>
      </c>
      <c r="C65" s="152" t="s">
        <v>128</v>
      </c>
      <c r="D65" s="595">
        <v>0</v>
      </c>
      <c r="E65" s="596">
        <v>0</v>
      </c>
      <c r="F65" s="596">
        <v>0</v>
      </c>
      <c r="G65" s="596">
        <v>0</v>
      </c>
      <c r="H65" s="596">
        <v>0</v>
      </c>
      <c r="I65" s="596">
        <v>0</v>
      </c>
      <c r="J65" s="596"/>
      <c r="K65" s="605"/>
    </row>
    <row r="66" spans="1:11" s="2" customFormat="1">
      <c r="A66" s="3">
        <v>14</v>
      </c>
      <c r="B66" s="518" t="s">
        <v>243</v>
      </c>
      <c r="C66" s="152" t="s">
        <v>128</v>
      </c>
      <c r="D66" s="595">
        <v>0</v>
      </c>
      <c r="E66" s="596">
        <v>0</v>
      </c>
      <c r="F66" s="596">
        <v>0</v>
      </c>
      <c r="G66" s="596">
        <v>0</v>
      </c>
      <c r="H66" s="596">
        <v>0</v>
      </c>
      <c r="I66" s="596">
        <v>0</v>
      </c>
      <c r="J66" s="596"/>
      <c r="K66" s="605"/>
    </row>
    <row r="67" spans="1:11" s="2" customFormat="1">
      <c r="A67" s="3">
        <v>15</v>
      </c>
      <c r="B67" s="518" t="s">
        <v>243</v>
      </c>
      <c r="C67" s="152" t="s">
        <v>128</v>
      </c>
      <c r="D67" s="595">
        <v>0</v>
      </c>
      <c r="E67" s="596">
        <v>0</v>
      </c>
      <c r="F67" s="596">
        <v>0</v>
      </c>
      <c r="G67" s="596">
        <v>0</v>
      </c>
      <c r="H67" s="596">
        <v>0</v>
      </c>
      <c r="I67" s="596">
        <v>0</v>
      </c>
      <c r="J67" s="596"/>
      <c r="K67" s="605"/>
    </row>
    <row r="68" spans="1:11" s="2" customFormat="1">
      <c r="A68" s="3">
        <v>16</v>
      </c>
      <c r="B68" s="518" t="s">
        <v>243</v>
      </c>
      <c r="C68" s="152" t="s">
        <v>128</v>
      </c>
      <c r="D68" s="595">
        <v>0</v>
      </c>
      <c r="E68" s="596">
        <v>0</v>
      </c>
      <c r="F68" s="596">
        <v>0</v>
      </c>
      <c r="G68" s="596">
        <v>0</v>
      </c>
      <c r="H68" s="596">
        <v>0</v>
      </c>
      <c r="I68" s="596">
        <v>0</v>
      </c>
      <c r="J68" s="596"/>
      <c r="K68" s="605"/>
    </row>
    <row r="69" spans="1:11" s="2" customFormat="1">
      <c r="A69" s="3">
        <v>17</v>
      </c>
      <c r="B69" s="518" t="s">
        <v>243</v>
      </c>
      <c r="C69" s="152" t="s">
        <v>128</v>
      </c>
      <c r="D69" s="595">
        <v>0</v>
      </c>
      <c r="E69" s="596">
        <v>0</v>
      </c>
      <c r="F69" s="596">
        <v>0</v>
      </c>
      <c r="G69" s="596">
        <v>0</v>
      </c>
      <c r="H69" s="596">
        <v>0</v>
      </c>
      <c r="I69" s="596">
        <v>0</v>
      </c>
      <c r="J69" s="596"/>
      <c r="K69" s="605"/>
    </row>
    <row r="70" spans="1:11" s="2" customFormat="1">
      <c r="A70" s="3">
        <v>18</v>
      </c>
      <c r="B70" s="518" t="s">
        <v>243</v>
      </c>
      <c r="C70" s="152" t="s">
        <v>128</v>
      </c>
      <c r="D70" s="595">
        <v>0</v>
      </c>
      <c r="E70" s="596">
        <v>0</v>
      </c>
      <c r="F70" s="596">
        <v>0</v>
      </c>
      <c r="G70" s="596">
        <v>0</v>
      </c>
      <c r="H70" s="596">
        <v>0</v>
      </c>
      <c r="I70" s="596">
        <v>0</v>
      </c>
      <c r="J70" s="596"/>
      <c r="K70" s="605"/>
    </row>
    <row r="71" spans="1:11" s="2" customFormat="1">
      <c r="A71" s="3">
        <v>19</v>
      </c>
      <c r="B71" s="518" t="s">
        <v>243</v>
      </c>
      <c r="C71" s="152" t="s">
        <v>128</v>
      </c>
      <c r="D71" s="595">
        <v>0</v>
      </c>
      <c r="E71" s="596">
        <v>0</v>
      </c>
      <c r="F71" s="596">
        <v>0</v>
      </c>
      <c r="G71" s="596">
        <v>0</v>
      </c>
      <c r="H71" s="596">
        <v>0</v>
      </c>
      <c r="I71" s="596">
        <v>0</v>
      </c>
      <c r="J71" s="596"/>
      <c r="K71" s="605"/>
    </row>
    <row r="72" spans="1:11" s="2" customFormat="1">
      <c r="A72" s="3">
        <v>20</v>
      </c>
      <c r="B72" s="518" t="s">
        <v>243</v>
      </c>
      <c r="C72" s="152" t="s">
        <v>128</v>
      </c>
      <c r="D72" s="595">
        <v>0</v>
      </c>
      <c r="E72" s="596">
        <v>0</v>
      </c>
      <c r="F72" s="596">
        <v>0</v>
      </c>
      <c r="G72" s="596">
        <v>0</v>
      </c>
      <c r="H72" s="596">
        <v>0</v>
      </c>
      <c r="I72" s="596">
        <v>0</v>
      </c>
      <c r="J72" s="596"/>
      <c r="K72" s="605"/>
    </row>
    <row r="73" spans="1:11" s="2" customFormat="1">
      <c r="A73" s="3">
        <v>21</v>
      </c>
      <c r="B73" s="518" t="s">
        <v>243</v>
      </c>
      <c r="C73" s="152" t="s">
        <v>128</v>
      </c>
      <c r="D73" s="595">
        <v>0</v>
      </c>
      <c r="E73" s="596">
        <v>0</v>
      </c>
      <c r="F73" s="596">
        <v>0</v>
      </c>
      <c r="G73" s="596">
        <v>0</v>
      </c>
      <c r="H73" s="596">
        <v>0</v>
      </c>
      <c r="I73" s="596">
        <v>0</v>
      </c>
      <c r="J73" s="596"/>
      <c r="K73" s="605"/>
    </row>
    <row r="74" spans="1:11" s="2" customFormat="1">
      <c r="A74" s="3">
        <v>22</v>
      </c>
      <c r="B74" s="518" t="s">
        <v>243</v>
      </c>
      <c r="C74" s="152" t="s">
        <v>128</v>
      </c>
      <c r="D74" s="595">
        <v>0</v>
      </c>
      <c r="E74" s="596">
        <v>0</v>
      </c>
      <c r="F74" s="596">
        <v>0</v>
      </c>
      <c r="G74" s="596">
        <v>0</v>
      </c>
      <c r="H74" s="596">
        <v>0</v>
      </c>
      <c r="I74" s="596">
        <v>0</v>
      </c>
      <c r="J74" s="596"/>
      <c r="K74" s="605"/>
    </row>
    <row r="75" spans="1:11" s="2" customFormat="1">
      <c r="A75" s="3">
        <v>23</v>
      </c>
      <c r="B75" s="518" t="s">
        <v>243</v>
      </c>
      <c r="C75" s="152" t="s">
        <v>128</v>
      </c>
      <c r="D75" s="595">
        <v>0</v>
      </c>
      <c r="E75" s="596">
        <v>0</v>
      </c>
      <c r="F75" s="596">
        <v>0</v>
      </c>
      <c r="G75" s="596">
        <v>0</v>
      </c>
      <c r="H75" s="596">
        <v>0</v>
      </c>
      <c r="I75" s="596">
        <v>0</v>
      </c>
      <c r="J75" s="596"/>
      <c r="K75" s="605"/>
    </row>
    <row r="76" spans="1:11" s="2" customFormat="1">
      <c r="A76" s="3">
        <v>24</v>
      </c>
      <c r="B76" s="518" t="s">
        <v>243</v>
      </c>
      <c r="C76" s="152" t="s">
        <v>128</v>
      </c>
      <c r="D76" s="595">
        <v>0</v>
      </c>
      <c r="E76" s="596">
        <v>0</v>
      </c>
      <c r="F76" s="596">
        <v>0</v>
      </c>
      <c r="G76" s="596">
        <v>0</v>
      </c>
      <c r="H76" s="596">
        <v>0</v>
      </c>
      <c r="I76" s="596">
        <v>0</v>
      </c>
      <c r="J76" s="596"/>
      <c r="K76" s="605"/>
    </row>
    <row r="77" spans="1:11" s="2" customFormat="1">
      <c r="A77" s="3">
        <v>25</v>
      </c>
      <c r="B77" s="518" t="s">
        <v>243</v>
      </c>
      <c r="C77" s="152" t="s">
        <v>128</v>
      </c>
      <c r="D77" s="631">
        <v>0</v>
      </c>
      <c r="E77" s="632">
        <v>0</v>
      </c>
      <c r="F77" s="632">
        <v>0</v>
      </c>
      <c r="G77" s="632">
        <v>0</v>
      </c>
      <c r="H77" s="632">
        <v>0</v>
      </c>
      <c r="I77" s="632">
        <v>0</v>
      </c>
      <c r="J77" s="632"/>
      <c r="K77" s="633"/>
    </row>
    <row r="78" spans="1:11" s="2" customFormat="1">
      <c r="B78" s="12" t="s">
        <v>171</v>
      </c>
      <c r="C78" s="152" t="s">
        <v>128</v>
      </c>
      <c r="D78" s="609">
        <f>SUM(D53:D77)</f>
        <v>66.023099999999999</v>
      </c>
      <c r="E78" s="610">
        <f t="shared" ref="E78:K78" si="6">SUM(E53:E77)</f>
        <v>95.286167311588954</v>
      </c>
      <c r="F78" s="610">
        <f t="shared" si="6"/>
        <v>36.439928759017462</v>
      </c>
      <c r="G78" s="610">
        <f t="shared" si="6"/>
        <v>69.523557263308732</v>
      </c>
      <c r="H78" s="610">
        <f t="shared" si="6"/>
        <v>66.560616881302821</v>
      </c>
      <c r="I78" s="610">
        <f t="shared" si="6"/>
        <v>59.903556481094206</v>
      </c>
      <c r="J78" s="610">
        <f t="shared" si="6"/>
        <v>0</v>
      </c>
      <c r="K78" s="611">
        <f t="shared" si="6"/>
        <v>0</v>
      </c>
    </row>
    <row r="79" spans="1:11" s="2" customFormat="1">
      <c r="C79" s="136"/>
      <c r="D79" s="52"/>
      <c r="E79" s="51"/>
      <c r="F79" s="51"/>
      <c r="G79" s="51"/>
      <c r="H79" s="51"/>
      <c r="I79" s="51"/>
      <c r="J79" s="51"/>
      <c r="K79" s="51"/>
    </row>
    <row r="80" spans="1:11" s="2" customFormat="1">
      <c r="B80" s="12" t="s">
        <v>401</v>
      </c>
      <c r="C80" s="152" t="s">
        <v>128</v>
      </c>
      <c r="D80" s="609">
        <f>D48-D78</f>
        <v>141.99149390298572</v>
      </c>
      <c r="E80" s="610">
        <f t="shared" ref="E80:K80" si="7">E48-E78</f>
        <v>150.81036512902153</v>
      </c>
      <c r="F80" s="610">
        <f t="shared" si="7"/>
        <v>137.54341252068093</v>
      </c>
      <c r="G80" s="610">
        <f t="shared" si="7"/>
        <v>147.89428369170375</v>
      </c>
      <c r="H80" s="610">
        <f t="shared" si="7"/>
        <v>143.44786190738867</v>
      </c>
      <c r="I80" s="610">
        <f t="shared" si="7"/>
        <v>167.77390045890581</v>
      </c>
      <c r="J80" s="610">
        <f t="shared" si="7"/>
        <v>0</v>
      </c>
      <c r="K80" s="611">
        <f t="shared" si="7"/>
        <v>0</v>
      </c>
    </row>
    <row r="81" spans="2:11" s="2" customFormat="1">
      <c r="B81" s="12" t="s">
        <v>489</v>
      </c>
      <c r="C81" s="152" t="s">
        <v>128</v>
      </c>
      <c r="D81" s="643">
        <f>'R4 - Totex'!D90+'R4 - Totex'!D118</f>
        <v>141.99940000000001</v>
      </c>
      <c r="E81" s="644">
        <f>'R4 - Totex'!E90+'R4 - Totex'!E118</f>
        <v>150.77387796407257</v>
      </c>
      <c r="F81" s="644">
        <f>'R4 - Totex'!F90+'R4 - Totex'!F118</f>
        <v>137.5229284163261</v>
      </c>
      <c r="G81" s="644">
        <f>'R4 - Totex'!G90+'R4 - Totex'!G118</f>
        <v>147.90860278</v>
      </c>
      <c r="H81" s="644">
        <f>'R4 - Totex'!H90+'R4 - Totex'!H118</f>
        <v>143.44716818331872</v>
      </c>
      <c r="I81" s="644">
        <f>'R4 - Totex'!I90+'R4 - Totex'!I118</f>
        <v>167.76957209790575</v>
      </c>
      <c r="J81" s="644">
        <f>'R4 - Totex'!J90+'R4 - Totex'!J118</f>
        <v>162.02250009329433</v>
      </c>
      <c r="K81" s="644">
        <f>'R4 - Totex'!K90+'R4 - Totex'!K118</f>
        <v>170.58363409337321</v>
      </c>
    </row>
    <row r="82" spans="2:11" s="2" customFormat="1">
      <c r="C82" s="136" t="s">
        <v>402</v>
      </c>
      <c r="D82" s="571" t="str">
        <f>IF(D$5="Actuals",IF(ABS(D80-('R4 - Totex'!D90+'R4 - Totex'!D118))&lt;'RFPR cover'!$F$14,"OK","Error"),"N/A")</f>
        <v>OK</v>
      </c>
      <c r="E82" s="571" t="str">
        <f>IF(E$5="Actuals",IF(ABS(E80-('R4 - Totex'!E90+'R4 - Totex'!E118))&lt;'RFPR cover'!$F$14,"OK","Error"),"N/A")</f>
        <v>OK</v>
      </c>
      <c r="F82" s="571" t="str">
        <f>IF(F$5="Actuals",IF(ABS(F80-('R4 - Totex'!F90+'R4 - Totex'!F118))&lt;'RFPR cover'!$F$14,"OK","Error"),"N/A")</f>
        <v>OK</v>
      </c>
      <c r="G82" s="571" t="str">
        <f>IF(G$5="Actuals",IF(ABS(G80-('R4 - Totex'!G90+'R4 - Totex'!G118))&lt;'RFPR cover'!$F$14,"OK","Error"),"N/A")</f>
        <v>OK</v>
      </c>
      <c r="H82" s="571" t="str">
        <f>IF(H$5="Actuals",IF(ABS(H80-('R4 - Totex'!H90+'R4 - Totex'!H118))&lt;'RFPR cover'!$F$14,"OK","Error"),"N/A")</f>
        <v>OK</v>
      </c>
      <c r="I82" s="571" t="str">
        <f>IF(I$5="Actuals",IF(ABS(I80-('R4 - Totex'!I90+'R4 - Totex'!I118))&lt;'RFPR cover'!$F$14,"OK","Error"),"N/A")</f>
        <v>OK</v>
      </c>
      <c r="J82" s="571" t="str">
        <f>IF(J$5="Actuals",IF(ABS(J80-('R4 - Totex'!J90+'R4 - Totex'!J118))&lt;'RFPR cover'!$F$14,"OK","Error"),"N/A")</f>
        <v>N/A</v>
      </c>
      <c r="K82" s="571" t="str">
        <f>IF(K$5="Actuals",IF(ABS(K80-('R4 - Totex'!K90+'R4 - Totex'!K118))&lt;'RFPR cover'!$F$14,"OK","Error"),"N/A")</f>
        <v>N/A</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77" priority="26">
      <formula>AND(D$5="Actuals",E$5="N/A")</formula>
    </cfRule>
  </conditionalFormatting>
  <conditionalFormatting sqref="D5:K5">
    <cfRule type="expression" dxfId="76" priority="17">
      <formula>AND(D$5="Actuals",E$5="N/A")</formula>
    </cfRule>
  </conditionalFormatting>
  <conditionalFormatting sqref="D9:H14 D46:K46 D48:K48 D78:K78 D80:K80 D82:K82 D18:H19 D23:H23 D50:K50 J49:K49 D53:H77 J53:K77 J23:K23 J18:K19 D26:H45 J26:K45 J9:K14">
    <cfRule type="expression" dxfId="75" priority="12">
      <formula>D$5="N/A"</formula>
    </cfRule>
  </conditionalFormatting>
  <conditionalFormatting sqref="D15:H17 J15:K17">
    <cfRule type="expression" dxfId="74" priority="11">
      <formula>D$5="N/A"</formula>
    </cfRule>
  </conditionalFormatting>
  <conditionalFormatting sqref="D20:H22 J20:K22">
    <cfRule type="expression" dxfId="73" priority="10">
      <formula>D$5="N/A"</formula>
    </cfRule>
  </conditionalFormatting>
  <conditionalFormatting sqref="D49:I49">
    <cfRule type="expression" dxfId="72" priority="9">
      <formula>D$5="N/A"</formula>
    </cfRule>
  </conditionalFormatting>
  <conditionalFormatting sqref="I57:I77">
    <cfRule type="expression" dxfId="71" priority="8">
      <formula>I$5="N/A"</formula>
    </cfRule>
  </conditionalFormatting>
  <conditionalFormatting sqref="I53:I56">
    <cfRule type="expression" dxfId="70" priority="7">
      <formula>I$5="N/A"</formula>
    </cfRule>
  </conditionalFormatting>
  <conditionalFormatting sqref="I18 I23">
    <cfRule type="expression" dxfId="69" priority="6">
      <formula>I$5="N/A"</formula>
    </cfRule>
  </conditionalFormatting>
  <conditionalFormatting sqref="I26:I45">
    <cfRule type="expression" dxfId="68" priority="5">
      <formula>I$5="N/A"</formula>
    </cfRule>
  </conditionalFormatting>
  <conditionalFormatting sqref="I9:I14">
    <cfRule type="expression" dxfId="67" priority="4">
      <formula>I$5="N/A"</formula>
    </cfRule>
  </conditionalFormatting>
  <conditionalFormatting sqref="I15:I17">
    <cfRule type="expression" dxfId="66" priority="3">
      <formula>I$5="N/A"</formula>
    </cfRule>
  </conditionalFormatting>
  <conditionalFormatting sqref="I19">
    <cfRule type="expression" dxfId="65" priority="2">
      <formula>I$5="N/A"</formula>
    </cfRule>
  </conditionalFormatting>
  <conditionalFormatting sqref="I20:I22">
    <cfRule type="expression" dxfId="64" priority="1">
      <formula>I$5="N/A"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70" zoomScaleNormal="70" workbookViewId="0">
      <pane ySplit="6" topLeftCell="A7" activePane="bottomLeft" state="frozen"/>
      <selection activeCell="A3" sqref="A3"/>
      <selection pane="bottomLeft" activeCell="A3" sqref="A3"/>
    </sheetView>
  </sheetViews>
  <sheetFormatPr defaultColWidth="9.08984375" defaultRowHeight="12.6"/>
  <cols>
    <col min="1" max="1" width="8.36328125" style="2" customWidth="1"/>
    <col min="2" max="2" width="75.453125" style="129" customWidth="1"/>
    <col min="3" max="3" width="13.36328125" style="136" customWidth="1"/>
    <col min="4" max="11" width="11.08984375" style="2" customWidth="1"/>
    <col min="12" max="13" width="12.90625" style="2" customWidth="1"/>
    <col min="14" max="14" width="25.453125" style="2" customWidth="1"/>
    <col min="15" max="16384" width="9.08984375" style="2"/>
  </cols>
  <sheetData>
    <row r="1" spans="1:20" s="31" customFormat="1" ht="21">
      <c r="A1" s="906" t="s">
        <v>99</v>
      </c>
      <c r="B1" s="928"/>
      <c r="C1" s="278"/>
      <c r="D1" s="256"/>
      <c r="E1" s="256"/>
      <c r="F1" s="256"/>
      <c r="G1" s="256"/>
      <c r="H1" s="256"/>
      <c r="I1" s="257"/>
      <c r="J1" s="257"/>
      <c r="K1" s="258"/>
      <c r="L1" s="258"/>
      <c r="M1" s="258"/>
      <c r="N1" s="258"/>
      <c r="O1" s="363"/>
    </row>
    <row r="2" spans="1:20" s="31" customFormat="1" ht="21">
      <c r="A2" s="909" t="str">
        <f>'RFPR cover'!C5</f>
        <v>WPD-SWALES</v>
      </c>
      <c r="B2" s="922"/>
      <c r="C2" s="134"/>
      <c r="D2" s="29"/>
      <c r="E2" s="29"/>
      <c r="F2" s="29"/>
      <c r="G2" s="29"/>
      <c r="H2" s="29"/>
      <c r="I2" s="27"/>
      <c r="J2" s="27"/>
      <c r="K2" s="27"/>
      <c r="L2" s="27"/>
      <c r="M2" s="27"/>
      <c r="N2" s="27"/>
      <c r="O2" s="123"/>
    </row>
    <row r="3" spans="1:20" s="31" customFormat="1" ht="21">
      <c r="A3" s="912">
        <f>'RFPR cover'!C7</f>
        <v>2021</v>
      </c>
      <c r="B3" s="923"/>
      <c r="C3" s="277"/>
      <c r="D3" s="260"/>
      <c r="E3" s="260"/>
      <c r="F3" s="260"/>
      <c r="G3" s="260"/>
      <c r="H3" s="260"/>
      <c r="I3" s="255"/>
      <c r="J3" s="255"/>
      <c r="K3" s="255"/>
      <c r="L3" s="255"/>
      <c r="M3" s="255"/>
      <c r="N3" s="255"/>
      <c r="O3" s="261"/>
    </row>
    <row r="4" spans="1:20" ht="12.75" customHeight="1"/>
    <row r="5" spans="1:20" ht="12.75" customHeight="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20" ht="27.75" customHeight="1">
      <c r="B6" s="771"/>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2021</v>
      </c>
      <c r="M6" s="119" t="s">
        <v>109</v>
      </c>
      <c r="N6" s="119" t="s">
        <v>311</v>
      </c>
    </row>
    <row r="7" spans="1:20" s="35" customFormat="1">
      <c r="B7" s="772"/>
      <c r="C7" s="158"/>
      <c r="D7" s="57"/>
      <c r="E7" s="57"/>
      <c r="F7" s="57"/>
      <c r="G7" s="57"/>
      <c r="H7" s="57"/>
      <c r="I7" s="57"/>
      <c r="J7" s="57"/>
      <c r="K7" s="57"/>
      <c r="L7" s="57"/>
      <c r="M7" s="57"/>
      <c r="N7" s="57"/>
    </row>
    <row r="8" spans="1:20" s="35" customFormat="1">
      <c r="B8" s="773" t="s">
        <v>389</v>
      </c>
      <c r="C8" s="291"/>
      <c r="D8" s="321"/>
      <c r="E8" s="321"/>
      <c r="F8" s="321"/>
      <c r="G8" s="321"/>
      <c r="H8" s="321"/>
      <c r="I8" s="321"/>
      <c r="J8" s="321"/>
      <c r="K8" s="321"/>
      <c r="L8" s="321"/>
      <c r="M8" s="321"/>
      <c r="N8" s="321"/>
    </row>
    <row r="9" spans="1:20" s="35" customFormat="1">
      <c r="B9" s="772"/>
      <c r="C9" s="158"/>
      <c r="D9" s="57"/>
      <c r="E9" s="57"/>
      <c r="F9" s="57"/>
      <c r="G9" s="57"/>
      <c r="H9" s="57"/>
      <c r="I9" s="57"/>
      <c r="J9" s="57"/>
      <c r="K9" s="57"/>
      <c r="L9" s="57"/>
      <c r="M9" s="57"/>
      <c r="N9" s="57"/>
    </row>
    <row r="10" spans="1:20">
      <c r="A10" s="35"/>
      <c r="B10" s="774" t="str">
        <f>Data!B48</f>
        <v>Totex</v>
      </c>
      <c r="C10" s="150"/>
      <c r="D10" s="81"/>
      <c r="E10" s="81"/>
      <c r="F10" s="81"/>
      <c r="G10" s="81"/>
      <c r="H10" s="81"/>
      <c r="I10" s="81"/>
      <c r="J10" s="81"/>
      <c r="K10" s="81"/>
      <c r="L10" s="81"/>
      <c r="M10" s="81"/>
      <c r="N10" s="81"/>
    </row>
    <row r="11" spans="1:20" s="35" customFormat="1">
      <c r="B11" s="775"/>
      <c r="C11" s="138"/>
      <c r="D11" s="320"/>
      <c r="E11" s="320"/>
      <c r="F11" s="320"/>
      <c r="G11" s="320"/>
      <c r="H11" s="320"/>
      <c r="I11" s="320"/>
      <c r="J11" s="320"/>
      <c r="K11" s="320"/>
      <c r="L11" s="320"/>
      <c r="M11" s="320"/>
      <c r="N11" s="320"/>
    </row>
    <row r="12" spans="1:20">
      <c r="A12" s="35"/>
      <c r="B12" s="305" t="s">
        <v>34</v>
      </c>
      <c r="C12" s="155" t="str">
        <f>'RFPR cover'!$C$14</f>
        <v>£m 12/13</v>
      </c>
      <c r="D12" s="482">
        <v>133.92167995204929</v>
      </c>
      <c r="E12" s="483">
        <v>139.21400869029802</v>
      </c>
      <c r="F12" s="483">
        <v>122.39884801557098</v>
      </c>
      <c r="G12" s="483">
        <v>127.73920039390524</v>
      </c>
      <c r="H12" s="483">
        <v>120.76002737131422</v>
      </c>
      <c r="I12" s="483">
        <v>139.54325282256369</v>
      </c>
      <c r="J12" s="483">
        <v>131.28406670030142</v>
      </c>
      <c r="K12" s="483">
        <v>134.09750906975219</v>
      </c>
      <c r="L12" s="107">
        <f>SUM(D12:INDEX(D12:K12,0,MATCH('RFPR cover'!$C$7,$D$6:$K$6,0)))</f>
        <v>783.57701724570143</v>
      </c>
      <c r="M12" s="108">
        <f>SUM(D12:K12)</f>
        <v>1048.958593015755</v>
      </c>
      <c r="N12" s="62"/>
      <c r="O12" s="62"/>
    </row>
    <row r="13" spans="1:20" ht="25.2">
      <c r="A13" s="35"/>
      <c r="B13" s="776" t="s">
        <v>501</v>
      </c>
      <c r="C13" s="155" t="str">
        <f>'RFPR cover'!$C$14</f>
        <v>£m 12/13</v>
      </c>
      <c r="D13" s="484">
        <v>146.9226732679314</v>
      </c>
      <c r="E13" s="485">
        <v>148.24656160318904</v>
      </c>
      <c r="F13" s="485">
        <v>140.33341840747909</v>
      </c>
      <c r="G13" s="485">
        <v>149.3663742614707</v>
      </c>
      <c r="H13" s="485">
        <v>136.37397096266676</v>
      </c>
      <c r="I13" s="485">
        <v>124.08496411075618</v>
      </c>
      <c r="J13" s="485">
        <v>119.49019775830132</v>
      </c>
      <c r="K13" s="485">
        <v>121.80914256404387</v>
      </c>
      <c r="L13" s="105">
        <f>SUM(D13:INDEX(D13:K13,0,MATCH('RFPR cover'!$C$7,$D$6:$K$6,0)))</f>
        <v>845.32796261349313</v>
      </c>
      <c r="M13" s="106">
        <f>SUM(D13:K13)</f>
        <v>1086.6273029358383</v>
      </c>
      <c r="N13" s="62"/>
      <c r="O13" s="62"/>
    </row>
    <row r="14" spans="1:20">
      <c r="A14" s="35"/>
      <c r="B14" s="777" t="s">
        <v>195</v>
      </c>
      <c r="C14" s="155" t="str">
        <f>'RFPR cover'!$C$14</f>
        <v>£m 12/13</v>
      </c>
      <c r="D14" s="102">
        <f>D13-D12</f>
        <v>13.000993315882113</v>
      </c>
      <c r="E14" s="103">
        <f t="shared" ref="E14:M14" si="1">E13-E12</f>
        <v>9.0325529128910205</v>
      </c>
      <c r="F14" s="103">
        <f t="shared" si="1"/>
        <v>17.93457039190811</v>
      </c>
      <c r="G14" s="103">
        <f t="shared" si="1"/>
        <v>21.62717386756546</v>
      </c>
      <c r="H14" s="103">
        <f t="shared" si="1"/>
        <v>15.613943591352538</v>
      </c>
      <c r="I14" s="103">
        <f t="shared" si="1"/>
        <v>-15.458288711807512</v>
      </c>
      <c r="J14" s="103">
        <f t="shared" si="1"/>
        <v>-11.793868942000103</v>
      </c>
      <c r="K14" s="103">
        <f t="shared" si="1"/>
        <v>-12.288366505708325</v>
      </c>
      <c r="L14" s="102">
        <f t="shared" si="1"/>
        <v>61.750945367791701</v>
      </c>
      <c r="M14" s="104">
        <f t="shared" si="1"/>
        <v>37.668709920083302</v>
      </c>
      <c r="N14" s="62"/>
      <c r="O14" s="998"/>
      <c r="P14" s="998"/>
      <c r="Q14" s="998"/>
      <c r="R14"/>
      <c r="S14"/>
      <c r="T14"/>
    </row>
    <row r="15" spans="1:20" ht="13.2">
      <c r="A15" s="35"/>
      <c r="B15" s="777"/>
      <c r="C15" s="155"/>
      <c r="D15" s="58"/>
      <c r="E15" s="58"/>
      <c r="F15" s="58"/>
      <c r="G15" s="58"/>
      <c r="H15" s="58"/>
      <c r="I15" s="58"/>
      <c r="J15" s="58"/>
      <c r="K15" s="58"/>
      <c r="L15" s="58"/>
      <c r="M15" s="58"/>
      <c r="O15" s="63"/>
      <c r="P15" s="63"/>
      <c r="Q15" s="63"/>
      <c r="R15"/>
      <c r="S15"/>
      <c r="T15"/>
    </row>
    <row r="16" spans="1:20">
      <c r="A16" s="35"/>
      <c r="B16" s="771" t="s">
        <v>178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1"/>
      <c r="M16" s="61"/>
      <c r="O16"/>
      <c r="P16"/>
      <c r="Q16"/>
      <c r="R16"/>
      <c r="S16"/>
      <c r="T16"/>
    </row>
    <row r="17" spans="1:20">
      <c r="A17" s="35"/>
      <c r="B17" s="771"/>
      <c r="O17"/>
      <c r="P17"/>
      <c r="Q17"/>
      <c r="R17"/>
      <c r="S17"/>
      <c r="T17"/>
    </row>
    <row r="18" spans="1:20">
      <c r="A18" s="35"/>
      <c r="B18" s="778" t="s">
        <v>183</v>
      </c>
      <c r="C18" s="159" t="str">
        <f>'RFPR cover'!$C$14</f>
        <v>£m 12/13</v>
      </c>
      <c r="D18" s="95">
        <f>D14*D16</f>
        <v>3.9002979947646343</v>
      </c>
      <c r="E18" s="96">
        <f t="shared" ref="E18:K18" si="2">E14*E16</f>
        <v>2.7097658738673065</v>
      </c>
      <c r="F18" s="96">
        <f t="shared" si="2"/>
        <v>5.3803711175724338</v>
      </c>
      <c r="G18" s="96">
        <f t="shared" si="2"/>
        <v>6.4881521602696388</v>
      </c>
      <c r="H18" s="96">
        <f t="shared" si="2"/>
        <v>4.6841830774057618</v>
      </c>
      <c r="I18" s="96">
        <f t="shared" si="2"/>
        <v>-4.6374866135422543</v>
      </c>
      <c r="J18" s="96">
        <f t="shared" si="2"/>
        <v>-3.5381606826000311</v>
      </c>
      <c r="K18" s="96">
        <f t="shared" si="2"/>
        <v>-3.6865099517124982</v>
      </c>
      <c r="L18" s="95">
        <f>SUM(D18:INDEX(D18:K18,0,MATCH('RFPR cover'!$C$7,$D$6:$K$6,0)))</f>
        <v>18.525283610337521</v>
      </c>
      <c r="M18" s="97">
        <f>SUM(D18:K18)</f>
        <v>11.300612976024992</v>
      </c>
      <c r="O18"/>
      <c r="P18"/>
      <c r="Q18"/>
      <c r="R18"/>
      <c r="S18"/>
      <c r="T18"/>
    </row>
    <row r="19" spans="1:20">
      <c r="A19" s="35"/>
      <c r="B19" s="778" t="s">
        <v>280</v>
      </c>
      <c r="C19" s="159" t="str">
        <f>'RFPR cover'!$C$14</f>
        <v>£m 12/13</v>
      </c>
      <c r="D19" s="92">
        <f>D14*(1-D16)</f>
        <v>9.1006953211174775</v>
      </c>
      <c r="E19" s="93">
        <f t="shared" ref="E19:K19" si="3">E14*(1-E16)</f>
        <v>6.322787039023714</v>
      </c>
      <c r="F19" s="93">
        <f t="shared" si="3"/>
        <v>12.554199274335677</v>
      </c>
      <c r="G19" s="93">
        <f t="shared" si="3"/>
        <v>15.139021707295822</v>
      </c>
      <c r="H19" s="93">
        <f t="shared" si="3"/>
        <v>10.929760513946775</v>
      </c>
      <c r="I19" s="93">
        <f t="shared" si="3"/>
        <v>-10.820802098265258</v>
      </c>
      <c r="J19" s="93">
        <f t="shared" si="3"/>
        <v>-8.2557082594000715</v>
      </c>
      <c r="K19" s="93">
        <f t="shared" si="3"/>
        <v>-8.6018565539958267</v>
      </c>
      <c r="L19" s="92">
        <f>SUM(D19:INDEX(D19:K19,0,MATCH('RFPR cover'!$C$7,$D$6:$K$6,0)))</f>
        <v>43.225661757454205</v>
      </c>
      <c r="M19" s="94">
        <f>SUM(D19:K19)</f>
        <v>26.368096944058305</v>
      </c>
      <c r="O19"/>
      <c r="P19"/>
      <c r="Q19"/>
      <c r="R19"/>
      <c r="S19"/>
      <c r="T19"/>
    </row>
    <row r="20" spans="1:20">
      <c r="A20" s="35"/>
      <c r="B20" s="771"/>
      <c r="O20"/>
      <c r="P20"/>
      <c r="Q20"/>
      <c r="R20"/>
      <c r="S20"/>
      <c r="T20"/>
    </row>
    <row r="21" spans="1:20">
      <c r="A21" s="35"/>
      <c r="B21" s="779" t="s">
        <v>182</v>
      </c>
      <c r="N21" s="62"/>
      <c r="O21"/>
      <c r="P21"/>
      <c r="Q21"/>
      <c r="R21"/>
      <c r="S21"/>
      <c r="T21"/>
    </row>
    <row r="22" spans="1:20">
      <c r="A22" s="269" t="s">
        <v>151</v>
      </c>
      <c r="B22" s="769" t="s">
        <v>617</v>
      </c>
      <c r="C22" s="155" t="str">
        <f>'RFPR cover'!$C$14</f>
        <v>£m 12/13</v>
      </c>
      <c r="D22" s="581">
        <v>0</v>
      </c>
      <c r="E22" s="582">
        <v>9.3380794989831966</v>
      </c>
      <c r="F22" s="582">
        <v>-8.5540706675257674</v>
      </c>
      <c r="G22" s="582">
        <v>-0.43392316322300012</v>
      </c>
      <c r="H22" s="582">
        <v>0</v>
      </c>
      <c r="I22" s="582">
        <v>0</v>
      </c>
      <c r="J22" s="582">
        <v>0</v>
      </c>
      <c r="K22" s="582">
        <v>0</v>
      </c>
      <c r="L22" s="583">
        <f>SUM(D22:INDEX(D22:K22,0,MATCH('RFPR cover'!$C$7,$D$6:$K$6,0)))</f>
        <v>0.35008566823442905</v>
      </c>
      <c r="M22" s="584">
        <f t="shared" ref="M22:M27" si="4">SUM(D22:K22)</f>
        <v>0.35008566823442905</v>
      </c>
      <c r="N22" s="572" t="s">
        <v>620</v>
      </c>
      <c r="O22"/>
      <c r="P22"/>
      <c r="Q22"/>
      <c r="R22"/>
      <c r="S22"/>
      <c r="T22"/>
    </row>
    <row r="23" spans="1:20">
      <c r="A23" s="269" t="s">
        <v>152</v>
      </c>
      <c r="B23" s="769" t="s">
        <v>618</v>
      </c>
      <c r="C23" s="155" t="str">
        <f>'RFPR cover'!$C$14</f>
        <v>£m 12/13</v>
      </c>
      <c r="D23" s="585">
        <v>0</v>
      </c>
      <c r="E23" s="586">
        <v>0</v>
      </c>
      <c r="F23" s="586">
        <v>-32.492576467475004</v>
      </c>
      <c r="G23" s="586">
        <v>-5.6790889221175025</v>
      </c>
      <c r="H23" s="586">
        <v>0</v>
      </c>
      <c r="I23" s="586">
        <v>12.723999999999998</v>
      </c>
      <c r="J23" s="586">
        <v>12.723999999999998</v>
      </c>
      <c r="K23" s="586">
        <v>12.72366538959251</v>
      </c>
      <c r="L23" s="587">
        <f>SUM(D23:INDEX(D23:K23,0,MATCH('RFPR cover'!$C$7,$D$6:$K$6,0)))</f>
        <v>-25.447665389592508</v>
      </c>
      <c r="M23" s="588">
        <f t="shared" si="4"/>
        <v>0</v>
      </c>
      <c r="N23" s="573" t="s">
        <v>620</v>
      </c>
      <c r="O23"/>
      <c r="P23"/>
      <c r="Q23"/>
      <c r="R23"/>
      <c r="S23"/>
      <c r="T23"/>
    </row>
    <row r="24" spans="1:20">
      <c r="A24" s="269" t="s">
        <v>153</v>
      </c>
      <c r="B24" s="769" t="s">
        <v>619</v>
      </c>
      <c r="C24" s="155" t="str">
        <f>'RFPR cover'!$C$14</f>
        <v>£m 12/13</v>
      </c>
      <c r="D24" s="585">
        <v>0</v>
      </c>
      <c r="E24" s="586">
        <v>0</v>
      </c>
      <c r="F24" s="586">
        <v>0</v>
      </c>
      <c r="G24" s="586">
        <v>0</v>
      </c>
      <c r="H24" s="586">
        <v>0</v>
      </c>
      <c r="I24" s="586">
        <v>-8.0042592898381337E-2</v>
      </c>
      <c r="J24" s="586">
        <v>2.1781031784107721</v>
      </c>
      <c r="K24" s="586">
        <v>2.1781031784107721</v>
      </c>
      <c r="L24" s="587">
        <f>SUM(D24:INDEX(D24:K24,0,MATCH('RFPR cover'!$C$7,$D$6:$K$6,0)))</f>
        <v>-8.0042592898381337E-2</v>
      </c>
      <c r="M24" s="588">
        <f t="shared" si="4"/>
        <v>4.2761637639231633</v>
      </c>
      <c r="N24" s="573" t="s">
        <v>620</v>
      </c>
      <c r="O24"/>
      <c r="P24"/>
      <c r="Q24"/>
      <c r="R24"/>
      <c r="S24" s="64"/>
      <c r="T24"/>
    </row>
    <row r="25" spans="1:20">
      <c r="A25" s="269" t="s">
        <v>168</v>
      </c>
      <c r="B25" s="769" t="s">
        <v>242</v>
      </c>
      <c r="C25" s="155" t="str">
        <f>'RFPR cover'!$C$14</f>
        <v>£m 12/13</v>
      </c>
      <c r="D25" s="585">
        <v>0</v>
      </c>
      <c r="E25" s="586">
        <v>0</v>
      </c>
      <c r="F25" s="586">
        <v>0</v>
      </c>
      <c r="G25" s="586">
        <v>0</v>
      </c>
      <c r="H25" s="586">
        <v>0</v>
      </c>
      <c r="I25" s="586">
        <v>0</v>
      </c>
      <c r="J25" s="586">
        <v>0</v>
      </c>
      <c r="K25" s="586">
        <v>0</v>
      </c>
      <c r="L25" s="587">
        <f>SUM(D25:INDEX(D25:K25,0,MATCH('RFPR cover'!$C$7,$D$6:$K$6,0)))</f>
        <v>0</v>
      </c>
      <c r="M25" s="588">
        <f t="shared" si="4"/>
        <v>0</v>
      </c>
      <c r="N25" s="573"/>
      <c r="O25"/>
      <c r="P25"/>
      <c r="Q25"/>
      <c r="R25"/>
      <c r="S25"/>
      <c r="T25"/>
    </row>
    <row r="26" spans="1:20">
      <c r="A26" s="269" t="s">
        <v>169</v>
      </c>
      <c r="B26" s="769" t="s">
        <v>242</v>
      </c>
      <c r="C26" s="155" t="str">
        <f>'RFPR cover'!$C$14</f>
        <v>£m 12/13</v>
      </c>
      <c r="D26" s="585">
        <v>0</v>
      </c>
      <c r="E26" s="586">
        <v>0</v>
      </c>
      <c r="F26" s="586">
        <v>0</v>
      </c>
      <c r="G26" s="586">
        <v>0</v>
      </c>
      <c r="H26" s="586">
        <v>0</v>
      </c>
      <c r="I26" s="586">
        <v>0</v>
      </c>
      <c r="J26" s="586">
        <v>0</v>
      </c>
      <c r="K26" s="586">
        <v>0</v>
      </c>
      <c r="L26" s="587">
        <f>SUM(D26:INDEX(D26:K26,0,MATCH('RFPR cover'!$C$7,$D$6:$K$6,0)))</f>
        <v>0</v>
      </c>
      <c r="M26" s="588">
        <f t="shared" si="4"/>
        <v>0</v>
      </c>
      <c r="N26" s="573"/>
      <c r="O26"/>
      <c r="P26"/>
      <c r="Q26"/>
      <c r="R26"/>
      <c r="S26"/>
      <c r="T26"/>
    </row>
    <row r="27" spans="1:20">
      <c r="A27" s="269" t="s">
        <v>170</v>
      </c>
      <c r="B27" s="769" t="s">
        <v>242</v>
      </c>
      <c r="C27" s="155" t="str">
        <f>'RFPR cover'!$C$14</f>
        <v>£m 12/13</v>
      </c>
      <c r="D27" s="589">
        <v>0</v>
      </c>
      <c r="E27" s="590">
        <v>0</v>
      </c>
      <c r="F27" s="590">
        <v>0</v>
      </c>
      <c r="G27" s="590">
        <v>0</v>
      </c>
      <c r="H27" s="590">
        <v>0</v>
      </c>
      <c r="I27" s="590">
        <v>0</v>
      </c>
      <c r="J27" s="590">
        <v>0</v>
      </c>
      <c r="K27" s="590">
        <v>0</v>
      </c>
      <c r="L27" s="591">
        <f>SUM(D27:INDEX(D27:K27,0,MATCH('RFPR cover'!$C$7,$D$6:$K$6,0)))</f>
        <v>0</v>
      </c>
      <c r="M27" s="592">
        <f t="shared" si="4"/>
        <v>0</v>
      </c>
      <c r="N27" s="574"/>
      <c r="O27"/>
      <c r="P27"/>
      <c r="Q27"/>
      <c r="R27"/>
      <c r="S27"/>
      <c r="T27"/>
    </row>
    <row r="28" spans="1:20">
      <c r="A28" s="35"/>
      <c r="B28" s="779" t="s">
        <v>190</v>
      </c>
      <c r="C28" s="155" t="str">
        <f>'RFPR cover'!$C$14</f>
        <v>£m 12/13</v>
      </c>
      <c r="D28" s="102">
        <f>SUM(D22:D27)</f>
        <v>0</v>
      </c>
      <c r="E28" s="103">
        <f t="shared" ref="E28:K28" si="5">SUM(E22:E27)</f>
        <v>9.3380794989831966</v>
      </c>
      <c r="F28" s="103">
        <f t="shared" si="5"/>
        <v>-41.046647135000768</v>
      </c>
      <c r="G28" s="103">
        <f t="shared" si="5"/>
        <v>-6.113012085340503</v>
      </c>
      <c r="H28" s="103">
        <f t="shared" si="5"/>
        <v>0</v>
      </c>
      <c r="I28" s="103">
        <f t="shared" si="5"/>
        <v>12.643957407101617</v>
      </c>
      <c r="J28" s="103">
        <f t="shared" si="5"/>
        <v>14.902103178410771</v>
      </c>
      <c r="K28" s="103">
        <f t="shared" si="5"/>
        <v>14.901768568003282</v>
      </c>
      <c r="L28" s="102">
        <f>SUM(D28:INDEX(D28:K28,0,MATCH('RFPR cover'!$C$7,$D$6:$K$6,0)))</f>
        <v>-25.177622314256453</v>
      </c>
      <c r="M28" s="104">
        <f>SUM(D28:K28)</f>
        <v>4.6262494321576</v>
      </c>
      <c r="N28" s="62"/>
    </row>
    <row r="29" spans="1:20">
      <c r="A29" s="35"/>
      <c r="B29" s="771"/>
    </row>
    <row r="30" spans="1:20">
      <c r="A30" s="35"/>
      <c r="B30" s="778" t="s">
        <v>198</v>
      </c>
      <c r="C30" s="159" t="str">
        <f>'RFPR cover'!$C$14</f>
        <v>£m 12/13</v>
      </c>
      <c r="D30" s="95">
        <f t="shared" ref="D30:K30" si="6">D28*D16</f>
        <v>0</v>
      </c>
      <c r="E30" s="96">
        <f t="shared" si="6"/>
        <v>2.8014238496949595</v>
      </c>
      <c r="F30" s="96">
        <f t="shared" si="6"/>
        <v>-12.313994140500233</v>
      </c>
      <c r="G30" s="96">
        <f t="shared" si="6"/>
        <v>-1.8339036256021513</v>
      </c>
      <c r="H30" s="96">
        <f t="shared" si="6"/>
        <v>0</v>
      </c>
      <c r="I30" s="96">
        <f t="shared" si="6"/>
        <v>3.7931872221304856</v>
      </c>
      <c r="J30" s="96">
        <f t="shared" si="6"/>
        <v>4.4706309535232318</v>
      </c>
      <c r="K30" s="96">
        <f t="shared" si="6"/>
        <v>4.4705305704009852</v>
      </c>
      <c r="L30" s="95">
        <f>SUM(D30:INDEX(D30:K30,0,MATCH('RFPR cover'!$C$7,$D$6:$K$6,0)))</f>
        <v>-7.5532866942769381</v>
      </c>
      <c r="M30" s="97">
        <f>SUM(D30:K30)</f>
        <v>1.3878748296472789</v>
      </c>
    </row>
    <row r="31" spans="1:20">
      <c r="A31" s="35"/>
      <c r="B31" s="778" t="s">
        <v>309</v>
      </c>
      <c r="C31" s="159" t="str">
        <f>'RFPR cover'!$C$14</f>
        <v>£m 12/13</v>
      </c>
      <c r="D31" s="92">
        <f t="shared" ref="D31:K31" si="7">D28*(1-D16)</f>
        <v>0</v>
      </c>
      <c r="E31" s="93">
        <f t="shared" si="7"/>
        <v>6.5366556492882371</v>
      </c>
      <c r="F31" s="93">
        <f t="shared" si="7"/>
        <v>-28.732652994500537</v>
      </c>
      <c r="G31" s="93">
        <f t="shared" si="7"/>
        <v>-4.2791084597383522</v>
      </c>
      <c r="H31" s="93">
        <f t="shared" si="7"/>
        <v>0</v>
      </c>
      <c r="I31" s="93">
        <f t="shared" si="7"/>
        <v>8.8507701849711307</v>
      </c>
      <c r="J31" s="93">
        <f t="shared" si="7"/>
        <v>10.431472224887539</v>
      </c>
      <c r="K31" s="93">
        <f t="shared" si="7"/>
        <v>10.431237997602297</v>
      </c>
      <c r="L31" s="92">
        <f>SUM(D31:INDEX(D31:K31,0,MATCH('RFPR cover'!$C$7,$D$6:$K$6,0)))</f>
        <v>-17.624335619979519</v>
      </c>
      <c r="M31" s="94">
        <f>SUM(D31:K31)</f>
        <v>3.2383746025103175</v>
      </c>
    </row>
    <row r="32" spans="1:20">
      <c r="A32" s="35"/>
      <c r="B32" s="771"/>
    </row>
    <row r="33" spans="1:20">
      <c r="A33" s="35"/>
      <c r="B33" s="779" t="s">
        <v>181</v>
      </c>
    </row>
    <row r="34" spans="1:20">
      <c r="A34" s="35"/>
      <c r="B34" s="771" t="s">
        <v>180</v>
      </c>
      <c r="C34" s="155" t="str">
        <f>'RFPR cover'!$C$14</f>
        <v>£m 12/13</v>
      </c>
      <c r="D34" s="95">
        <f>D18+D30</f>
        <v>3.9002979947646343</v>
      </c>
      <c r="E34" s="96">
        <f t="shared" ref="E34:K34" si="8">E18+E30</f>
        <v>5.511189723562266</v>
      </c>
      <c r="F34" s="96">
        <f t="shared" si="8"/>
        <v>-6.9336230229277991</v>
      </c>
      <c r="G34" s="96">
        <f t="shared" si="8"/>
        <v>4.654248534667488</v>
      </c>
      <c r="H34" s="96">
        <f t="shared" si="8"/>
        <v>4.6841830774057618</v>
      </c>
      <c r="I34" s="96">
        <f t="shared" si="8"/>
        <v>-0.84429939141176868</v>
      </c>
      <c r="J34" s="96">
        <f t="shared" si="8"/>
        <v>0.93247027092320067</v>
      </c>
      <c r="K34" s="96">
        <f t="shared" si="8"/>
        <v>0.78402061868848705</v>
      </c>
      <c r="L34" s="95">
        <f>SUM(D34:INDEX(D34:K34,0,MATCH('RFPR cover'!$C$7,$D$6:$K$6,0)))</f>
        <v>10.971996916060581</v>
      </c>
      <c r="M34" s="97">
        <f>SUM(D34:K34)</f>
        <v>12.688487805672269</v>
      </c>
    </row>
    <row r="35" spans="1:20">
      <c r="A35" s="35"/>
      <c r="B35" s="771" t="s">
        <v>280</v>
      </c>
      <c r="C35" s="155" t="str">
        <f>'RFPR cover'!$C$14</f>
        <v>£m 12/13</v>
      </c>
      <c r="D35" s="98">
        <f>D19+D31</f>
        <v>9.1006953211174775</v>
      </c>
      <c r="E35" s="99">
        <f t="shared" ref="E35:K35" si="9">E19+E31</f>
        <v>12.859442688311951</v>
      </c>
      <c r="F35" s="99">
        <f t="shared" si="9"/>
        <v>-16.17845372016486</v>
      </c>
      <c r="G35" s="99">
        <f t="shared" si="9"/>
        <v>10.859913247557468</v>
      </c>
      <c r="H35" s="99">
        <f t="shared" si="9"/>
        <v>10.929760513946775</v>
      </c>
      <c r="I35" s="99">
        <f t="shared" si="9"/>
        <v>-1.9700319132941271</v>
      </c>
      <c r="J35" s="99">
        <f t="shared" si="9"/>
        <v>2.1757639654874676</v>
      </c>
      <c r="K35" s="99">
        <f t="shared" si="9"/>
        <v>1.8293814436064704</v>
      </c>
      <c r="L35" s="98">
        <f>SUM(D35:INDEX(D35:K35,0,MATCH('RFPR cover'!$C$7,$D$6:$K$6,0)))</f>
        <v>25.601326137474686</v>
      </c>
      <c r="M35" s="100">
        <f>SUM(D35:K35)</f>
        <v>29.606471546568628</v>
      </c>
    </row>
    <row r="36" spans="1:20">
      <c r="A36" s="35"/>
      <c r="B36" s="779" t="s">
        <v>11</v>
      </c>
      <c r="C36" s="156" t="str">
        <f>'RFPR cover'!$C$14</f>
        <v>£m 12/13</v>
      </c>
      <c r="D36" s="139">
        <f>SUM(D34:D35)</f>
        <v>13.000993315882113</v>
      </c>
      <c r="E36" s="140">
        <f t="shared" ref="E36:K36" si="10">SUM(E34:E35)</f>
        <v>18.370632411874219</v>
      </c>
      <c r="F36" s="140">
        <f t="shared" si="10"/>
        <v>-23.112076743092658</v>
      </c>
      <c r="G36" s="140">
        <f t="shared" si="10"/>
        <v>15.514161782224956</v>
      </c>
      <c r="H36" s="140">
        <f t="shared" si="10"/>
        <v>15.613943591352538</v>
      </c>
      <c r="I36" s="140">
        <f t="shared" si="10"/>
        <v>-2.8143313047058958</v>
      </c>
      <c r="J36" s="140">
        <f t="shared" si="10"/>
        <v>3.1082342364106683</v>
      </c>
      <c r="K36" s="140">
        <f t="shared" si="10"/>
        <v>2.6134020622949574</v>
      </c>
      <c r="L36" s="139">
        <f>SUM(D36:INDEX(D36:K36,0,MATCH('RFPR cover'!$C$7,$D$6:$K$6,0)))</f>
        <v>36.573323053535269</v>
      </c>
      <c r="M36" s="141">
        <f>SUM(D36:K36)</f>
        <v>42.294959352240895</v>
      </c>
    </row>
    <row r="37" spans="1:20">
      <c r="A37" s="35"/>
      <c r="B37" s="771"/>
    </row>
    <row r="38" spans="1:20">
      <c r="A38" s="35"/>
      <c r="B38" s="774" t="str">
        <f>Data!B51</f>
        <v>n/a</v>
      </c>
      <c r="C38" s="150"/>
      <c r="D38" s="81"/>
      <c r="E38" s="81"/>
      <c r="F38" s="81"/>
      <c r="G38" s="81"/>
      <c r="H38" s="81"/>
      <c r="I38" s="81"/>
      <c r="J38" s="81"/>
      <c r="K38" s="81"/>
      <c r="L38" s="81"/>
      <c r="M38" s="81"/>
      <c r="N38" s="81"/>
    </row>
    <row r="39" spans="1:20" s="35" customFormat="1">
      <c r="B39" s="772"/>
      <c r="C39" s="138"/>
      <c r="D39" s="320"/>
      <c r="E39" s="320"/>
      <c r="F39" s="320"/>
      <c r="G39" s="320"/>
      <c r="H39" s="320"/>
      <c r="I39" s="320"/>
      <c r="J39" s="320"/>
      <c r="K39" s="320"/>
      <c r="L39" s="320"/>
      <c r="M39" s="320"/>
      <c r="N39" s="320"/>
    </row>
    <row r="40" spans="1:20">
      <c r="A40" s="35"/>
      <c r="B40" s="305" t="s">
        <v>34</v>
      </c>
      <c r="C40" s="155" t="str">
        <f>'RFPR cover'!$C$14</f>
        <v>£m 12/13</v>
      </c>
      <c r="D40" s="648"/>
      <c r="E40" s="649"/>
      <c r="F40" s="649"/>
      <c r="G40" s="649"/>
      <c r="H40" s="649"/>
      <c r="I40" s="649"/>
      <c r="J40" s="649"/>
      <c r="K40" s="649"/>
      <c r="L40" s="650">
        <f>SUM(D40:INDEX(D40:K40,0,MATCH('RFPR cover'!$C$7,$D$6:$K$6,0)))</f>
        <v>0</v>
      </c>
      <c r="M40" s="651">
        <f>SUM(D40:K40)</f>
        <v>0</v>
      </c>
      <c r="N40" s="352"/>
      <c r="O40" s="62"/>
    </row>
    <row r="41" spans="1:20" ht="25.2">
      <c r="A41" s="35"/>
      <c r="B41" s="776" t="s">
        <v>501</v>
      </c>
      <c r="C41" s="155" t="str">
        <f>'RFPR cover'!$C$14</f>
        <v>£m 12/13</v>
      </c>
      <c r="D41" s="652"/>
      <c r="E41" s="653"/>
      <c r="F41" s="653"/>
      <c r="G41" s="653"/>
      <c r="H41" s="653"/>
      <c r="I41" s="653"/>
      <c r="J41" s="653"/>
      <c r="K41" s="653"/>
      <c r="L41" s="654">
        <f>SUM(D41:INDEX(D41:K41,0,MATCH('RFPR cover'!$C$7,$D$6:$K$6,0)))</f>
        <v>0</v>
      </c>
      <c r="M41" s="655">
        <f>SUM(D41:K41)</f>
        <v>0</v>
      </c>
      <c r="N41" s="352"/>
      <c r="O41" s="62"/>
    </row>
    <row r="42" spans="1:20">
      <c r="A42" s="35"/>
      <c r="B42" s="777" t="s">
        <v>195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5">
        <f t="shared" si="11"/>
        <v>0</v>
      </c>
      <c r="M42" s="356">
        <f t="shared" si="11"/>
        <v>0</v>
      </c>
      <c r="N42" s="353"/>
      <c r="O42" s="998"/>
      <c r="P42" s="998"/>
      <c r="Q42" s="998"/>
      <c r="R42"/>
      <c r="S42"/>
      <c r="T42"/>
    </row>
    <row r="43" spans="1:20" ht="13.2">
      <c r="A43" s="35"/>
      <c r="B43" s="777"/>
      <c r="C43" s="155"/>
      <c r="D43" s="58"/>
      <c r="E43" s="58"/>
      <c r="F43" s="58"/>
      <c r="G43" s="58"/>
      <c r="H43" s="58"/>
      <c r="I43" s="58"/>
      <c r="J43" s="58"/>
      <c r="K43" s="58"/>
      <c r="L43" s="58"/>
      <c r="M43" s="58"/>
      <c r="N43" s="349"/>
      <c r="O43" s="63"/>
      <c r="P43" s="63"/>
      <c r="Q43" s="63"/>
      <c r="R43"/>
      <c r="S43"/>
      <c r="T43"/>
    </row>
    <row r="44" spans="1:20">
      <c r="A44" s="35"/>
      <c r="B44" s="771" t="s">
        <v>178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1"/>
      <c r="M44" s="61"/>
      <c r="N44" s="350"/>
      <c r="O44"/>
      <c r="P44"/>
      <c r="Q44"/>
      <c r="R44"/>
      <c r="S44"/>
      <c r="T44"/>
    </row>
    <row r="45" spans="1:20">
      <c r="A45" s="35"/>
      <c r="B45" s="771"/>
      <c r="N45" s="351"/>
      <c r="O45"/>
      <c r="P45"/>
      <c r="Q45"/>
      <c r="R45"/>
      <c r="S45"/>
      <c r="T45"/>
    </row>
    <row r="46" spans="1:20">
      <c r="A46" s="35"/>
      <c r="B46" s="778" t="s">
        <v>183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7">
        <f>SUM(D46:INDEX(D46:K46,0,MATCH('RFPR cover'!$C$7,$D$6:$K$6,0)))</f>
        <v>0</v>
      </c>
      <c r="M46" s="575">
        <f>SUM(D46:K46)</f>
        <v>0</v>
      </c>
      <c r="N46" s="353"/>
      <c r="O46"/>
      <c r="P46"/>
      <c r="Q46"/>
      <c r="R46"/>
      <c r="S46"/>
      <c r="T46"/>
    </row>
    <row r="47" spans="1:20">
      <c r="A47" s="35"/>
      <c r="B47" s="778" t="s">
        <v>280</v>
      </c>
      <c r="C47" s="159" t="str">
        <f>'RFPR cover'!$C$14</f>
        <v>£m 12/13</v>
      </c>
      <c r="D47" s="577">
        <f>D42*(1-D44)</f>
        <v>0</v>
      </c>
      <c r="E47" s="578">
        <f t="shared" ref="E47:K47" si="13">E42*(1-E44)</f>
        <v>0</v>
      </c>
      <c r="F47" s="578">
        <f t="shared" si="13"/>
        <v>0</v>
      </c>
      <c r="G47" s="578">
        <f t="shared" si="13"/>
        <v>0</v>
      </c>
      <c r="H47" s="578">
        <f t="shared" si="13"/>
        <v>0</v>
      </c>
      <c r="I47" s="578">
        <f t="shared" si="13"/>
        <v>0</v>
      </c>
      <c r="J47" s="578">
        <f t="shared" si="13"/>
        <v>0</v>
      </c>
      <c r="K47" s="578">
        <f t="shared" si="13"/>
        <v>0</v>
      </c>
      <c r="L47" s="579">
        <f>SUM(D47:INDEX(D47:K47,0,MATCH('RFPR cover'!$C$7,$D$6:$K$6,0)))</f>
        <v>0</v>
      </c>
      <c r="M47" s="580">
        <f>SUM(D47:K47)</f>
        <v>0</v>
      </c>
      <c r="N47" s="353"/>
      <c r="O47"/>
      <c r="P47"/>
      <c r="Q47"/>
      <c r="R47"/>
      <c r="S47"/>
      <c r="T47"/>
    </row>
    <row r="48" spans="1:20">
      <c r="A48" s="35"/>
      <c r="B48" s="771"/>
      <c r="N48" s="351"/>
      <c r="O48"/>
      <c r="P48"/>
      <c r="Q48"/>
      <c r="R48"/>
      <c r="S48"/>
      <c r="T48"/>
    </row>
    <row r="49" spans="1:20">
      <c r="A49" s="35"/>
      <c r="B49" s="779" t="s">
        <v>182</v>
      </c>
      <c r="N49" s="351"/>
      <c r="O49"/>
      <c r="P49"/>
      <c r="Q49"/>
      <c r="R49"/>
      <c r="S49"/>
      <c r="T49"/>
    </row>
    <row r="50" spans="1:20">
      <c r="A50" s="269" t="s">
        <v>151</v>
      </c>
      <c r="B50" s="769" t="s">
        <v>242</v>
      </c>
      <c r="C50" s="155" t="str">
        <f>'RFPR cover'!$C$14</f>
        <v>£m 12/13</v>
      </c>
      <c r="D50" s="581"/>
      <c r="E50" s="582"/>
      <c r="F50" s="582"/>
      <c r="G50" s="582"/>
      <c r="H50" s="582"/>
      <c r="I50" s="582"/>
      <c r="J50" s="582"/>
      <c r="K50" s="582"/>
      <c r="L50" s="656">
        <f>SUM(D50:INDEX(D50:K50,0,MATCH('RFPR cover'!$C$7,$D$6:$K$6,0)))</f>
        <v>0</v>
      </c>
      <c r="M50" s="657">
        <f t="shared" ref="M50:M56" si="14">SUM(D50:K50)</f>
        <v>0</v>
      </c>
      <c r="N50" s="572"/>
      <c r="O50"/>
      <c r="P50"/>
      <c r="Q50"/>
      <c r="R50"/>
      <c r="S50"/>
      <c r="T50"/>
    </row>
    <row r="51" spans="1:20">
      <c r="A51" s="269" t="s">
        <v>152</v>
      </c>
      <c r="B51" s="769" t="s">
        <v>242</v>
      </c>
      <c r="C51" s="155" t="str">
        <f>'RFPR cover'!$C$14</f>
        <v>£m 12/13</v>
      </c>
      <c r="D51" s="585"/>
      <c r="E51" s="586"/>
      <c r="F51" s="586"/>
      <c r="G51" s="586"/>
      <c r="H51" s="586"/>
      <c r="I51" s="586"/>
      <c r="J51" s="586"/>
      <c r="K51" s="586"/>
      <c r="L51" s="658">
        <f>SUM(D51:INDEX(D51:K51,0,MATCH('RFPR cover'!$C$7,$D$6:$K$6,0)))</f>
        <v>0</v>
      </c>
      <c r="M51" s="659">
        <f t="shared" si="14"/>
        <v>0</v>
      </c>
      <c r="N51" s="573"/>
      <c r="O51"/>
      <c r="P51"/>
      <c r="Q51"/>
      <c r="R51"/>
      <c r="S51"/>
      <c r="T51"/>
    </row>
    <row r="52" spans="1:20">
      <c r="A52" s="269" t="s">
        <v>153</v>
      </c>
      <c r="B52" s="769" t="s">
        <v>242</v>
      </c>
      <c r="C52" s="155" t="str">
        <f>'RFPR cover'!$C$14</f>
        <v>£m 12/13</v>
      </c>
      <c r="D52" s="585"/>
      <c r="E52" s="586"/>
      <c r="F52" s="586"/>
      <c r="G52" s="586"/>
      <c r="H52" s="586"/>
      <c r="I52" s="586"/>
      <c r="J52" s="586"/>
      <c r="K52" s="586"/>
      <c r="L52" s="658">
        <f>SUM(D52:INDEX(D52:K52,0,MATCH('RFPR cover'!$C$7,$D$6:$K$6,0)))</f>
        <v>0</v>
      </c>
      <c r="M52" s="659">
        <f t="shared" si="14"/>
        <v>0</v>
      </c>
      <c r="N52" s="573"/>
      <c r="O52"/>
      <c r="P52"/>
      <c r="Q52"/>
      <c r="R52"/>
      <c r="S52" s="64"/>
      <c r="T52"/>
    </row>
    <row r="53" spans="1:20">
      <c r="A53" s="269" t="s">
        <v>168</v>
      </c>
      <c r="B53" s="769" t="s">
        <v>242</v>
      </c>
      <c r="C53" s="155" t="str">
        <f>'RFPR cover'!$C$14</f>
        <v>£m 12/13</v>
      </c>
      <c r="D53" s="585"/>
      <c r="E53" s="586"/>
      <c r="F53" s="586"/>
      <c r="G53" s="586"/>
      <c r="H53" s="586"/>
      <c r="I53" s="586"/>
      <c r="J53" s="586"/>
      <c r="K53" s="586"/>
      <c r="L53" s="658">
        <f>SUM(D53:INDEX(D53:K53,0,MATCH('RFPR cover'!$C$7,$D$6:$K$6,0)))</f>
        <v>0</v>
      </c>
      <c r="M53" s="659">
        <f t="shared" si="14"/>
        <v>0</v>
      </c>
      <c r="N53" s="573"/>
      <c r="O53"/>
      <c r="P53"/>
      <c r="Q53"/>
      <c r="R53"/>
      <c r="S53"/>
      <c r="T53"/>
    </row>
    <row r="54" spans="1:20">
      <c r="A54" s="269" t="s">
        <v>169</v>
      </c>
      <c r="B54" s="769" t="s">
        <v>242</v>
      </c>
      <c r="C54" s="155" t="str">
        <f>'RFPR cover'!$C$14</f>
        <v>£m 12/13</v>
      </c>
      <c r="D54" s="585"/>
      <c r="E54" s="586"/>
      <c r="F54" s="586"/>
      <c r="G54" s="586"/>
      <c r="H54" s="586"/>
      <c r="I54" s="586"/>
      <c r="J54" s="586"/>
      <c r="K54" s="586"/>
      <c r="L54" s="658">
        <f>SUM(D54:INDEX(D54:K54,0,MATCH('RFPR cover'!$C$7,$D$6:$K$6,0)))</f>
        <v>0</v>
      </c>
      <c r="M54" s="659">
        <f t="shared" si="14"/>
        <v>0</v>
      </c>
      <c r="N54" s="573"/>
      <c r="O54"/>
      <c r="P54"/>
      <c r="Q54"/>
      <c r="R54"/>
      <c r="S54"/>
      <c r="T54"/>
    </row>
    <row r="55" spans="1:20">
      <c r="A55" s="269" t="s">
        <v>170</v>
      </c>
      <c r="B55" s="769" t="s">
        <v>242</v>
      </c>
      <c r="C55" s="155" t="str">
        <f>'RFPR cover'!$C$14</f>
        <v>£m 12/13</v>
      </c>
      <c r="D55" s="589"/>
      <c r="E55" s="590"/>
      <c r="F55" s="590"/>
      <c r="G55" s="590"/>
      <c r="H55" s="590"/>
      <c r="I55" s="590"/>
      <c r="J55" s="590"/>
      <c r="K55" s="590"/>
      <c r="L55" s="660">
        <f>SUM(D55:INDEX(D55:K55,0,MATCH('RFPR cover'!$C$7,$D$6:$K$6,0)))</f>
        <v>0</v>
      </c>
      <c r="M55" s="661">
        <f t="shared" si="14"/>
        <v>0</v>
      </c>
      <c r="N55" s="574"/>
      <c r="O55"/>
      <c r="P55"/>
      <c r="Q55"/>
      <c r="R55"/>
      <c r="S55"/>
      <c r="T55"/>
    </row>
    <row r="56" spans="1:20">
      <c r="A56" s="35"/>
      <c r="B56" s="779" t="s">
        <v>190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5">
        <f>SUM(D56:INDEX(D56:K56,0,MATCH('RFPR cover'!$C$7,$D$6:$K$6,0)))</f>
        <v>0</v>
      </c>
      <c r="M56" s="356">
        <f t="shared" si="14"/>
        <v>0</v>
      </c>
      <c r="N56" s="353"/>
    </row>
    <row r="57" spans="1:20">
      <c r="A57" s="35"/>
      <c r="B57" s="771"/>
      <c r="N57" s="351"/>
    </row>
    <row r="58" spans="1:20">
      <c r="A58" s="35"/>
      <c r="B58" s="778" t="s">
        <v>198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7">
        <f>SUM(D58:INDEX(D58:K58,0,MATCH('RFPR cover'!$C$7,$D$6:$K$6,0)))</f>
        <v>0</v>
      </c>
      <c r="M58" s="575">
        <f>SUM(D58:K58)</f>
        <v>0</v>
      </c>
      <c r="N58" s="353"/>
    </row>
    <row r="59" spans="1:20">
      <c r="A59" s="35"/>
      <c r="B59" s="778" t="s">
        <v>309</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8">
        <f>SUM(D59:INDEX(D59:K59,0,MATCH('RFPR cover'!$C$7,$D$6:$K$6,0)))</f>
        <v>0</v>
      </c>
      <c r="M59" s="576">
        <f>SUM(D59:K59)</f>
        <v>0</v>
      </c>
      <c r="N59" s="353"/>
    </row>
    <row r="60" spans="1:20">
      <c r="A60" s="35"/>
      <c r="B60" s="771"/>
      <c r="N60" s="351"/>
    </row>
    <row r="61" spans="1:20">
      <c r="A61" s="35"/>
      <c r="B61" s="779" t="s">
        <v>181</v>
      </c>
      <c r="N61" s="351"/>
    </row>
    <row r="62" spans="1:20">
      <c r="A62" s="35"/>
      <c r="B62" s="771" t="s">
        <v>180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7">
        <f>SUM(D62:INDEX(D62:K62,0,MATCH('RFPR cover'!$C$7,$D$6:$K$6,0)))</f>
        <v>0</v>
      </c>
      <c r="M62" s="575">
        <f>SUM(D62:K62)</f>
        <v>0</v>
      </c>
      <c r="N62" s="353"/>
    </row>
    <row r="63" spans="1:20">
      <c r="A63" s="35"/>
      <c r="B63" s="771" t="s">
        <v>280</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9">
        <f>SUM(D63:INDEX(D63:K63,0,MATCH('RFPR cover'!$C$7,$D$6:$K$6,0)))</f>
        <v>0</v>
      </c>
      <c r="M63" s="576">
        <f>SUM(D63:K63)</f>
        <v>0</v>
      </c>
      <c r="N63" s="353"/>
    </row>
    <row r="64" spans="1:20">
      <c r="A64" s="35"/>
      <c r="B64" s="779" t="s">
        <v>11</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60">
        <f>SUM(D64:INDEX(D64:K64,0,MATCH('RFPR cover'!$C$7,$D$6:$K$6,0)))</f>
        <v>0</v>
      </c>
      <c r="M64" s="361">
        <f>SUM(D64:K64)</f>
        <v>0</v>
      </c>
      <c r="N64" s="354"/>
    </row>
    <row r="65" spans="1:20">
      <c r="A65" s="35"/>
      <c r="B65" s="779"/>
      <c r="C65" s="156"/>
      <c r="D65" s="156"/>
      <c r="E65" s="156"/>
      <c r="F65" s="156"/>
      <c r="G65" s="156"/>
      <c r="H65" s="156"/>
      <c r="I65" s="156"/>
      <c r="J65" s="156"/>
      <c r="K65" s="156"/>
      <c r="L65" s="156"/>
      <c r="M65" s="156"/>
    </row>
    <row r="66" spans="1:20">
      <c r="A66" s="35"/>
      <c r="B66" s="774" t="s">
        <v>257</v>
      </c>
      <c r="C66" s="150"/>
      <c r="D66" s="81"/>
      <c r="E66" s="81"/>
      <c r="F66" s="81"/>
      <c r="G66" s="81"/>
      <c r="H66" s="81"/>
      <c r="I66" s="81"/>
      <c r="J66" s="81"/>
      <c r="K66" s="81"/>
      <c r="L66" s="81"/>
      <c r="M66" s="81"/>
      <c r="N66" s="81"/>
    </row>
    <row r="67" spans="1:20">
      <c r="A67" s="35"/>
      <c r="B67" s="771"/>
      <c r="O67"/>
      <c r="P67"/>
      <c r="Q67"/>
      <c r="R67"/>
      <c r="S67"/>
      <c r="T67"/>
    </row>
    <row r="68" spans="1:20">
      <c r="A68" s="35"/>
      <c r="B68" s="779" t="s">
        <v>181</v>
      </c>
    </row>
    <row r="69" spans="1:20">
      <c r="A69" s="35"/>
      <c r="B69" s="771" t="s">
        <v>180</v>
      </c>
      <c r="C69" s="155" t="str">
        <f>'RFPR cover'!$C$14</f>
        <v>£m 12/13</v>
      </c>
      <c r="D69" s="95">
        <f>D34+D62</f>
        <v>3.9002979947646343</v>
      </c>
      <c r="E69" s="96">
        <f t="shared" ref="E69:K69" si="21">E34+E62</f>
        <v>5.511189723562266</v>
      </c>
      <c r="F69" s="96">
        <f t="shared" si="21"/>
        <v>-6.9336230229277991</v>
      </c>
      <c r="G69" s="96">
        <f t="shared" si="21"/>
        <v>4.654248534667488</v>
      </c>
      <c r="H69" s="96">
        <f t="shared" si="21"/>
        <v>4.6841830774057618</v>
      </c>
      <c r="I69" s="96">
        <f t="shared" si="21"/>
        <v>-0.84429939141176868</v>
      </c>
      <c r="J69" s="96">
        <f t="shared" si="21"/>
        <v>0.93247027092320067</v>
      </c>
      <c r="K69" s="96">
        <f t="shared" si="21"/>
        <v>0.78402061868848705</v>
      </c>
      <c r="L69" s="95">
        <f>SUM(D69:INDEX(D69:K69,0,MATCH('RFPR cover'!$C$7,$D$6:$K$6,0)))</f>
        <v>10.971996916060581</v>
      </c>
      <c r="M69" s="97">
        <f>SUM(D69:K69)</f>
        <v>12.688487805672269</v>
      </c>
    </row>
    <row r="70" spans="1:20">
      <c r="A70" s="35"/>
      <c r="B70" s="771" t="s">
        <v>280</v>
      </c>
      <c r="C70" s="155" t="str">
        <f>'RFPR cover'!$C$14</f>
        <v>£m 12/13</v>
      </c>
      <c r="D70" s="520">
        <f t="shared" ref="D70:K70" si="22">D35+D63</f>
        <v>9.1006953211174775</v>
      </c>
      <c r="E70" s="521">
        <f t="shared" si="22"/>
        <v>12.859442688311951</v>
      </c>
      <c r="F70" s="521">
        <f t="shared" si="22"/>
        <v>-16.17845372016486</v>
      </c>
      <c r="G70" s="521">
        <f t="shared" si="22"/>
        <v>10.859913247557468</v>
      </c>
      <c r="H70" s="521">
        <f t="shared" si="22"/>
        <v>10.929760513946775</v>
      </c>
      <c r="I70" s="521">
        <f t="shared" si="22"/>
        <v>-1.9700319132941271</v>
      </c>
      <c r="J70" s="521">
        <f t="shared" si="22"/>
        <v>2.1757639654874676</v>
      </c>
      <c r="K70" s="521">
        <f t="shared" si="22"/>
        <v>1.8293814436064704</v>
      </c>
      <c r="L70" s="520">
        <f>SUM(D70:INDEX(D70:K70,0,MATCH('RFPR cover'!$C$7,$D$6:$K$6,0)))</f>
        <v>25.601326137474686</v>
      </c>
      <c r="M70" s="522">
        <f>SUM(D70:K70)</f>
        <v>29.606471546568628</v>
      </c>
    </row>
    <row r="71" spans="1:20">
      <c r="A71" s="35"/>
      <c r="B71" s="779" t="s">
        <v>11</v>
      </c>
      <c r="C71" s="156" t="str">
        <f>'RFPR cover'!$C$14</f>
        <v>£m 12/13</v>
      </c>
      <c r="D71" s="145">
        <f>SUM(D69:D70)</f>
        <v>13.000993315882113</v>
      </c>
      <c r="E71" s="146">
        <f t="shared" ref="E71:K71" si="23">SUM(E69:E70)</f>
        <v>18.370632411874219</v>
      </c>
      <c r="F71" s="146">
        <f t="shared" si="23"/>
        <v>-23.112076743092658</v>
      </c>
      <c r="G71" s="146">
        <f t="shared" si="23"/>
        <v>15.514161782224956</v>
      </c>
      <c r="H71" s="146">
        <f t="shared" si="23"/>
        <v>15.613943591352538</v>
      </c>
      <c r="I71" s="146">
        <f t="shared" si="23"/>
        <v>-2.8143313047058958</v>
      </c>
      <c r="J71" s="146">
        <f t="shared" si="23"/>
        <v>3.1082342364106683</v>
      </c>
      <c r="K71" s="146">
        <f t="shared" si="23"/>
        <v>2.6134020622949574</v>
      </c>
      <c r="L71" s="145">
        <f>SUM(D71:INDEX(D71:K71,0,MATCH('RFPR cover'!$C$7,$D$6:$K$6,0)))</f>
        <v>36.573323053535269</v>
      </c>
      <c r="M71" s="147">
        <f>SUM(D71:K71)</f>
        <v>42.294959352240895</v>
      </c>
    </row>
    <row r="72" spans="1:20">
      <c r="A72" s="35"/>
      <c r="B72" s="779"/>
      <c r="C72" s="156"/>
      <c r="D72" s="156"/>
      <c r="E72" s="156"/>
      <c r="F72" s="156"/>
      <c r="G72" s="156"/>
      <c r="H72" s="156"/>
      <c r="I72" s="156"/>
      <c r="J72" s="156"/>
      <c r="K72" s="156"/>
      <c r="L72" s="156"/>
      <c r="M72" s="156"/>
    </row>
    <row r="73" spans="1:20">
      <c r="A73" s="35"/>
      <c r="B73" s="771"/>
    </row>
    <row r="74" spans="1:20">
      <c r="A74" s="35"/>
      <c r="B74" s="774" t="s">
        <v>214</v>
      </c>
      <c r="C74" s="150"/>
      <c r="D74" s="80"/>
      <c r="E74" s="80"/>
      <c r="F74" s="80"/>
      <c r="G74" s="80"/>
      <c r="H74" s="80"/>
      <c r="I74" s="80"/>
      <c r="J74" s="80"/>
      <c r="K74" s="80"/>
      <c r="L74" s="80"/>
      <c r="M74" s="80"/>
      <c r="N74" s="80"/>
    </row>
    <row r="75" spans="1:20">
      <c r="A75" s="35"/>
      <c r="B75" s="368" t="s">
        <v>213</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78" t="s">
        <v>217</v>
      </c>
      <c r="C77" s="155" t="str">
        <f>'RFPR cover'!$C$14</f>
        <v>£m 12/13</v>
      </c>
      <c r="D77" s="662">
        <f>INDEX(Data!$C$119:$L$146,MATCH('RFPR cover'!$C$5,Data!$B$119:$B$146,0),MATCH('R4 - Totex'!D$6,Data!$C$118:$L$118,0))</f>
        <v>3.6763138465229663</v>
      </c>
      <c r="E77" s="663">
        <f>INDEX(Data!$C$119:$L$146,MATCH('RFPR cover'!$C$5,Data!$B$119:$B$146,0),MATCH('R4 - Totex'!E$6,Data!$C$118:$L$118,0))</f>
        <v>3.6748350873956013</v>
      </c>
      <c r="F77" s="663">
        <f>INDEX(Data!$C$119:$L$146,MATCH('RFPR cover'!$C$5,Data!$B$119:$B$146,0),MATCH('R4 - Totex'!F$6,Data!$C$118:$L$118,0))</f>
        <v>3.4998529635433906</v>
      </c>
      <c r="G77" s="663">
        <f>INDEX(Data!$C$119:$L$146,MATCH('RFPR cover'!$C$5,Data!$B$119:$B$146,0),MATCH('R4 - Totex'!G$6,Data!$C$118:$L$118,0))</f>
        <v>3.724685546648324</v>
      </c>
      <c r="H77" s="663">
        <f>INDEX(Data!$C$119:$L$146,MATCH('RFPR cover'!$C$5,Data!$B$119:$B$146,0),MATCH('R4 - Totex'!H$6,Data!$C$118:$L$118,0))</f>
        <v>3.4121739487309477</v>
      </c>
      <c r="I77" s="663">
        <f>INDEX(Data!$C$119:$L$146,MATCH('RFPR cover'!$C$5,Data!$B$119:$B$146,0),MATCH('R4 - Totex'!I$6,Data!$C$118:$L$118,0))</f>
        <v>3.4202241027689042</v>
      </c>
      <c r="J77" s="663">
        <f>INDEX(Data!$C$119:$L$146,MATCH('RFPR cover'!$C$5,Data!$B$119:$B$146,0),MATCH('R4 - Totex'!J$6,Data!$C$118:$L$118,0))</f>
        <v>3.3053549439575329</v>
      </c>
      <c r="K77" s="664">
        <f>INDEX(Data!$C$119:$L$146,MATCH('RFPR cover'!$C$5,Data!$B$119:$B$146,0),MATCH('R4 - Totex'!K$6,Data!$C$118:$L$118,0))</f>
        <v>3.3633285641010966</v>
      </c>
      <c r="L77" s="98">
        <f>SUM(D77:INDEX(D77:K77,0,MATCH('RFPR cover'!$C$7,$D$6:$K$6,0)))</f>
        <v>21.408085495610138</v>
      </c>
      <c r="M77" s="100">
        <f>SUM(D77:K77)</f>
        <v>28.076769003668765</v>
      </c>
    </row>
    <row r="78" spans="1:20">
      <c r="A78" s="35"/>
      <c r="B78" s="225" t="s">
        <v>201</v>
      </c>
      <c r="C78" s="155" t="s">
        <v>7</v>
      </c>
      <c r="D78" s="883">
        <f>IF(INDEX(Data!$J$73:$J$100,MATCH('RFPR cover'!$C$5,Data!$B$73:$B$100,0),0)="Pre",INDEX(Data!$G$18:$G$27,MATCH('R4 - Totex'!D$6,Data!$C$18:$C$27,0),0),"n/a")</f>
        <v>0.2</v>
      </c>
      <c r="E78" s="883">
        <f>IF(INDEX(Data!$J$73:$J$100,MATCH('RFPR cover'!$C$5,Data!$B$73:$B$100,0),0)="Pre",INDEX(Data!$G$18:$G$27,MATCH('R4 - Totex'!E$6,Data!$C$18:$C$27,0),0),"n/a")</f>
        <v>0.2</v>
      </c>
      <c r="F78" s="883">
        <f>IF(INDEX(Data!$J$73:$J$100,MATCH('RFPR cover'!$C$5,Data!$B$73:$B$100,0),0)="Pre",INDEX(Data!$G$18:$G$27,MATCH('R4 - Totex'!F$6,Data!$C$18:$C$27,0),0),"n/a")</f>
        <v>0.19</v>
      </c>
      <c r="G78" s="883">
        <f>IF(INDEX(Data!$J$73:$J$100,MATCH('RFPR cover'!$C$5,Data!$B$73:$B$100,0),0)="Pre",INDEX(Data!$G$18:$G$27,MATCH('R4 - Totex'!G$6,Data!$C$18:$C$27,0),0),"n/a")</f>
        <v>0.19</v>
      </c>
      <c r="H78" s="883">
        <f>IF(INDEX(Data!$J$73:$J$100,MATCH('RFPR cover'!$C$5,Data!$B$73:$B$100,0),0)="Pre",INDEX(Data!$G$18:$G$27,MATCH('R4 - Totex'!H$6,Data!$C$18:$C$27,0),0),"n/a")</f>
        <v>0.19</v>
      </c>
      <c r="I78" s="883">
        <f>IF(INDEX(Data!$J$73:$J$100,MATCH('RFPR cover'!$C$5,Data!$B$73:$B$100,0),0)="Pre",INDEX(Data!$G$18:$G$27,MATCH('R4 - Totex'!I$6,Data!$C$18:$C$27,0),0),"n/a")</f>
        <v>0.19</v>
      </c>
      <c r="J78" s="883">
        <f>IF(INDEX(Data!$J$73:$J$100,MATCH('RFPR cover'!$C$5,Data!$B$73:$B$100,0),0)="Pre",INDEX(Data!$G$18:$G$27,MATCH('R4 - Totex'!J$6,Data!$C$18:$C$27,0),0),"n/a")</f>
        <v>0.19</v>
      </c>
      <c r="K78" s="883">
        <f>IF(INDEX(Data!$J$73:$J$100,MATCH('RFPR cover'!$C$5,Data!$B$73:$B$100,0),0)="Pre",INDEX(Data!$G$18:$G$27,MATCH('R4 - Totex'!K$6,Data!$C$18:$C$27,0),0),"n/a")</f>
        <v>0.19</v>
      </c>
      <c r="L78" s="881"/>
      <c r="M78" s="882"/>
    </row>
    <row r="79" spans="1:20">
      <c r="A79" s="35"/>
      <c r="B79" s="225" t="s">
        <v>210</v>
      </c>
      <c r="C79" s="155" t="str">
        <f>'RFPR cover'!$C$14</f>
        <v>£m 12/13</v>
      </c>
      <c r="D79" s="609">
        <f>IF(ISNUMBER(D78),D77*(1-D78),D77)</f>
        <v>2.9410510772183733</v>
      </c>
      <c r="E79" s="610">
        <f t="shared" ref="E79:K79" si="24">IF(ISNUMBER(E78),E77*(1-E78),E77)</f>
        <v>2.9398680699164812</v>
      </c>
      <c r="F79" s="610">
        <f t="shared" si="24"/>
        <v>2.8348809004701465</v>
      </c>
      <c r="G79" s="610">
        <f t="shared" si="24"/>
        <v>3.0169952927851424</v>
      </c>
      <c r="H79" s="610">
        <f t="shared" si="24"/>
        <v>2.7638608984720676</v>
      </c>
      <c r="I79" s="610">
        <f t="shared" si="24"/>
        <v>2.7703815232428126</v>
      </c>
      <c r="J79" s="610">
        <f t="shared" si="24"/>
        <v>2.6773375046056018</v>
      </c>
      <c r="K79" s="611">
        <f t="shared" si="24"/>
        <v>2.7242961369218883</v>
      </c>
      <c r="L79" s="668">
        <f>SUM(D79:INDEX(D79:K79,0,MATCH('RFPR cover'!$C$7,$D$6:$K$6,0)))</f>
        <v>17.267037762105023</v>
      </c>
      <c r="M79" s="669">
        <f>SUM(D79:K79)</f>
        <v>22.668671403632516</v>
      </c>
    </row>
    <row r="80" spans="1:20">
      <c r="A80" s="35"/>
      <c r="B80" s="225"/>
      <c r="C80" s="65"/>
      <c r="D80" s="282"/>
      <c r="E80" s="282"/>
      <c r="F80" s="282"/>
      <c r="G80" s="282"/>
      <c r="H80" s="282"/>
      <c r="I80" s="282"/>
      <c r="J80" s="282"/>
      <c r="K80" s="282"/>
      <c r="L80" s="283"/>
      <c r="M80" s="283"/>
    </row>
    <row r="81" spans="1:20">
      <c r="A81" s="35"/>
      <c r="B81" s="225"/>
      <c r="C81" s="65"/>
      <c r="D81" s="282"/>
      <c r="E81" s="282"/>
      <c r="F81" s="282"/>
      <c r="G81" s="282"/>
      <c r="H81" s="282"/>
      <c r="I81" s="282"/>
      <c r="J81" s="282"/>
      <c r="K81" s="282"/>
      <c r="L81" s="283"/>
      <c r="M81" s="283"/>
    </row>
    <row r="82" spans="1:20">
      <c r="A82" s="35"/>
      <c r="B82" s="225"/>
      <c r="C82" s="65"/>
      <c r="D82" s="282"/>
      <c r="E82" s="282"/>
      <c r="F82" s="282"/>
      <c r="G82" s="282"/>
      <c r="H82" s="282"/>
      <c r="I82" s="282"/>
      <c r="J82" s="282"/>
      <c r="K82" s="282"/>
      <c r="L82" s="283"/>
      <c r="M82" s="283"/>
    </row>
    <row r="83" spans="1:20">
      <c r="A83" s="35"/>
      <c r="B83" s="771"/>
    </row>
    <row r="84" spans="1:20">
      <c r="A84" s="35"/>
      <c r="B84" s="773" t="s">
        <v>187</v>
      </c>
      <c r="C84" s="291"/>
      <c r="D84" s="293"/>
      <c r="E84" s="293"/>
      <c r="F84" s="293"/>
      <c r="G84" s="293"/>
      <c r="H84" s="293"/>
      <c r="I84" s="293"/>
      <c r="J84" s="293"/>
      <c r="K84" s="293"/>
      <c r="L84" s="293"/>
      <c r="M84" s="293"/>
      <c r="N84" s="293"/>
    </row>
    <row r="85" spans="1:20">
      <c r="A85" s="35"/>
      <c r="B85" s="779"/>
    </row>
    <row r="86" spans="1:20">
      <c r="A86" s="35"/>
      <c r="B86" s="778" t="str">
        <f>Data!B34</f>
        <v>Financial Year Average RPI (RPIt)</v>
      </c>
      <c r="C86" s="136" t="s">
        <v>127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1.2341368161847346</v>
      </c>
      <c r="K86" s="114">
        <f>Data!J$34</f>
        <v>1.2720865232824152</v>
      </c>
    </row>
    <row r="87" spans="1:20">
      <c r="A87" s="35"/>
      <c r="B87" s="778"/>
      <c r="D87" s="136"/>
      <c r="E87" s="136"/>
      <c r="F87" s="136"/>
      <c r="G87" s="136"/>
      <c r="H87" s="136"/>
      <c r="I87" s="136"/>
      <c r="J87" s="136"/>
      <c r="K87" s="136"/>
    </row>
    <row r="88" spans="1:20">
      <c r="A88" s="35"/>
      <c r="B88" s="774" t="str">
        <f>B10</f>
        <v>Totex</v>
      </c>
      <c r="C88" s="150"/>
      <c r="D88" s="81"/>
      <c r="E88" s="81"/>
      <c r="F88" s="81"/>
      <c r="G88" s="81"/>
      <c r="H88" s="81"/>
      <c r="I88" s="81"/>
      <c r="J88" s="81"/>
      <c r="K88" s="81"/>
      <c r="L88" s="81"/>
      <c r="M88" s="81"/>
      <c r="N88" s="81"/>
    </row>
    <row r="89" spans="1:20" s="35" customFormat="1">
      <c r="B89" s="775"/>
      <c r="C89" s="138"/>
      <c r="D89" s="320"/>
      <c r="E89" s="320"/>
      <c r="F89" s="320"/>
      <c r="G89" s="320"/>
      <c r="H89" s="320"/>
      <c r="I89" s="320"/>
      <c r="J89" s="320"/>
      <c r="K89" s="320"/>
      <c r="L89" s="320"/>
      <c r="M89" s="320"/>
      <c r="N89" s="320"/>
    </row>
    <row r="90" spans="1:20">
      <c r="A90" s="35"/>
      <c r="B90" s="305" t="s">
        <v>34</v>
      </c>
      <c r="C90" s="155" t="s">
        <v>128</v>
      </c>
      <c r="D90" s="671">
        <f t="shared" ref="D90:K91" si="25">D12*D$86</f>
        <v>141.99940000000001</v>
      </c>
      <c r="E90" s="671">
        <f t="shared" si="25"/>
        <v>150.77387796407257</v>
      </c>
      <c r="F90" s="671">
        <f t="shared" si="25"/>
        <v>137.5229284163261</v>
      </c>
      <c r="G90" s="671">
        <f t="shared" si="25"/>
        <v>147.90860278</v>
      </c>
      <c r="H90" s="671">
        <f t="shared" si="25"/>
        <v>143.44716818331872</v>
      </c>
      <c r="I90" s="671">
        <f t="shared" si="25"/>
        <v>167.76957209790575</v>
      </c>
      <c r="J90" s="671">
        <f t="shared" si="25"/>
        <v>162.02250009329433</v>
      </c>
      <c r="K90" s="671">
        <f t="shared" si="25"/>
        <v>170.58363409337321</v>
      </c>
      <c r="L90" s="670">
        <f>SUM(D90:INDEX(D90:K90,0,MATCH('RFPR cover'!$C$7,$D$6:$K$6,0)))</f>
        <v>889.42154944162314</v>
      </c>
      <c r="M90" s="671">
        <f>SUM(D90:K90)</f>
        <v>1222.0276836282906</v>
      </c>
      <c r="N90" s="62"/>
      <c r="O90" s="62"/>
    </row>
    <row r="91" spans="1:20" ht="25.2">
      <c r="A91" s="35"/>
      <c r="B91" s="776" t="s">
        <v>197</v>
      </c>
      <c r="C91" s="155" t="s">
        <v>128</v>
      </c>
      <c r="D91" s="671">
        <f t="shared" si="25"/>
        <v>155.78457093662715</v>
      </c>
      <c r="E91" s="671">
        <f t="shared" si="25"/>
        <v>160.5564640946246</v>
      </c>
      <c r="F91" s="671">
        <f t="shared" si="25"/>
        <v>157.67356447353941</v>
      </c>
      <c r="G91" s="671">
        <f t="shared" si="25"/>
        <v>172.95060287838453</v>
      </c>
      <c r="H91" s="671">
        <f t="shared" si="25"/>
        <v>161.99449747024173</v>
      </c>
      <c r="I91" s="671">
        <f t="shared" si="25"/>
        <v>149.18443501611856</v>
      </c>
      <c r="J91" s="671">
        <f t="shared" si="25"/>
        <v>147.46725222671429</v>
      </c>
      <c r="K91" s="671">
        <f t="shared" si="25"/>
        <v>154.95176866830661</v>
      </c>
      <c r="L91" s="672">
        <f>SUM(D91:INDEX(D91:K91,0,MATCH('RFPR cover'!$C$7,$D$6:$K$6,0)))</f>
        <v>958.14413486953595</v>
      </c>
      <c r="M91" s="673">
        <f>SUM(D91:K91)</f>
        <v>1260.5631557645568</v>
      </c>
      <c r="N91" s="62"/>
      <c r="O91" s="62"/>
    </row>
    <row r="92" spans="1:20">
      <c r="A92" s="35"/>
      <c r="B92" s="777" t="s">
        <v>195</v>
      </c>
      <c r="C92" s="155" t="s">
        <v>128</v>
      </c>
      <c r="D92" s="102">
        <f>D91-D90</f>
        <v>13.785170936627139</v>
      </c>
      <c r="E92" s="103">
        <f t="shared" ref="E92:M92" si="26">E91-E90</f>
        <v>9.7825861305520334</v>
      </c>
      <c r="F92" s="103">
        <f t="shared" si="26"/>
        <v>20.150636057213319</v>
      </c>
      <c r="G92" s="103">
        <f t="shared" si="26"/>
        <v>25.042000098384534</v>
      </c>
      <c r="H92" s="103">
        <f t="shared" si="26"/>
        <v>18.547329286923002</v>
      </c>
      <c r="I92" s="103">
        <f t="shared" si="26"/>
        <v>-18.585137081787195</v>
      </c>
      <c r="J92" s="103">
        <f t="shared" si="26"/>
        <v>-14.555247866580032</v>
      </c>
      <c r="K92" s="104">
        <f t="shared" si="26"/>
        <v>-15.631865425066593</v>
      </c>
      <c r="L92" s="102">
        <f t="shared" si="26"/>
        <v>68.722585427912804</v>
      </c>
      <c r="M92" s="104">
        <f t="shared" si="26"/>
        <v>38.535472136266208</v>
      </c>
      <c r="N92" s="62"/>
      <c r="O92" s="998"/>
      <c r="P92" s="998"/>
      <c r="Q92" s="998"/>
      <c r="R92"/>
      <c r="S92"/>
      <c r="T92"/>
    </row>
    <row r="93" spans="1:20" ht="13.2">
      <c r="A93" s="35"/>
      <c r="B93" s="777"/>
      <c r="C93" s="155"/>
      <c r="D93" s="58"/>
      <c r="E93" s="58"/>
      <c r="F93" s="58"/>
      <c r="G93" s="58"/>
      <c r="H93" s="58"/>
      <c r="I93" s="58"/>
      <c r="J93" s="58"/>
      <c r="K93" s="58"/>
      <c r="L93" s="58"/>
      <c r="M93" s="58"/>
      <c r="O93" s="63"/>
      <c r="P93" s="63"/>
      <c r="Q93" s="63"/>
      <c r="R93"/>
      <c r="S93"/>
      <c r="T93"/>
    </row>
    <row r="94" spans="1:20">
      <c r="A94" s="35"/>
      <c r="B94" s="771" t="s">
        <v>178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1"/>
      <c r="M94" s="61"/>
      <c r="O94"/>
      <c r="P94"/>
      <c r="Q94"/>
      <c r="R94"/>
      <c r="S94"/>
      <c r="T94"/>
    </row>
    <row r="95" spans="1:20">
      <c r="A95" s="35"/>
      <c r="B95" s="771"/>
      <c r="O95"/>
      <c r="P95"/>
      <c r="Q95"/>
      <c r="R95"/>
      <c r="S95"/>
      <c r="T95"/>
    </row>
    <row r="96" spans="1:20">
      <c r="A96" s="35"/>
      <c r="B96" s="778" t="s">
        <v>183</v>
      </c>
      <c r="C96" s="155" t="s">
        <v>128</v>
      </c>
      <c r="D96" s="95">
        <f>D92*D94</f>
        <v>4.1355512809881425</v>
      </c>
      <c r="E96" s="96">
        <f t="shared" ref="E96:K96" si="27">E92*E94</f>
        <v>2.9347758391656105</v>
      </c>
      <c r="F96" s="96">
        <f t="shared" si="27"/>
        <v>6.0451908171639968</v>
      </c>
      <c r="G96" s="96">
        <f t="shared" si="27"/>
        <v>7.5126000295153617</v>
      </c>
      <c r="H96" s="96">
        <f t="shared" si="27"/>
        <v>5.5641987860769015</v>
      </c>
      <c r="I96" s="96">
        <f t="shared" si="27"/>
        <v>-5.5755411245361595</v>
      </c>
      <c r="J96" s="96">
        <f t="shared" si="27"/>
        <v>-4.3665743599740106</v>
      </c>
      <c r="K96" s="96">
        <f t="shared" si="27"/>
        <v>-4.6895596275199782</v>
      </c>
      <c r="L96" s="95">
        <f>SUM(D96:INDEX(D96:K96,0,MATCH('RFPR cover'!$C$7,$D$6:$K$6,0)))</f>
        <v>20.616775628373851</v>
      </c>
      <c r="M96" s="97">
        <f>SUM(D96:K96)</f>
        <v>11.560641640879863</v>
      </c>
      <c r="O96"/>
      <c r="P96"/>
      <c r="Q96"/>
      <c r="R96"/>
      <c r="S96"/>
      <c r="T96"/>
    </row>
    <row r="97" spans="1:20">
      <c r="A97" s="35"/>
      <c r="B97" s="778" t="s">
        <v>280</v>
      </c>
      <c r="C97" s="155" t="s">
        <v>128</v>
      </c>
      <c r="D97" s="92">
        <f>D92*(1-D94)</f>
        <v>9.6496196556389968</v>
      </c>
      <c r="E97" s="93">
        <f t="shared" ref="E97:K97" si="28">E92*(1-E94)</f>
        <v>6.8478102913864234</v>
      </c>
      <c r="F97" s="93">
        <f t="shared" si="28"/>
        <v>14.105445240049322</v>
      </c>
      <c r="G97" s="93">
        <f t="shared" si="28"/>
        <v>17.529400068869172</v>
      </c>
      <c r="H97" s="93">
        <f t="shared" si="28"/>
        <v>12.983130500846102</v>
      </c>
      <c r="I97" s="93">
        <f t="shared" si="28"/>
        <v>-13.009595957251037</v>
      </c>
      <c r="J97" s="93">
        <f t="shared" si="28"/>
        <v>-10.188673506606023</v>
      </c>
      <c r="K97" s="93">
        <f t="shared" si="28"/>
        <v>-10.942305797546615</v>
      </c>
      <c r="L97" s="92">
        <f>SUM(D97:INDEX(D97:K97,0,MATCH('RFPR cover'!$C$7,$D$6:$K$6,0)))</f>
        <v>48.105809799538982</v>
      </c>
      <c r="M97" s="94">
        <f>SUM(D97:K97)</f>
        <v>26.974830495386342</v>
      </c>
      <c r="O97"/>
      <c r="P97"/>
      <c r="Q97"/>
      <c r="R97"/>
      <c r="S97"/>
      <c r="T97"/>
    </row>
    <row r="98" spans="1:20">
      <c r="A98" s="35"/>
      <c r="B98" s="771"/>
      <c r="O98"/>
      <c r="P98"/>
      <c r="Q98"/>
      <c r="R98"/>
      <c r="S98"/>
      <c r="T98"/>
    </row>
    <row r="99" spans="1:20">
      <c r="A99" s="35"/>
      <c r="B99" s="779" t="s">
        <v>182</v>
      </c>
      <c r="N99" s="62"/>
      <c r="O99"/>
      <c r="P99"/>
      <c r="Q99"/>
      <c r="R99"/>
      <c r="S99"/>
      <c r="T99"/>
    </row>
    <row r="100" spans="1:20">
      <c r="A100" s="269" t="s">
        <v>151</v>
      </c>
      <c r="B100" s="225" t="str">
        <f t="shared" ref="B100:B105" si="29">B22</f>
        <v>Pensions prepayment (See Appendices within RFPR commentary documentation)</v>
      </c>
      <c r="C100" s="155" t="s">
        <v>128</v>
      </c>
      <c r="D100" s="591">
        <f t="shared" ref="D100:K105" si="30">D22*D$86</f>
        <v>0</v>
      </c>
      <c r="E100" s="591">
        <f t="shared" si="30"/>
        <v>10.113482630405867</v>
      </c>
      <c r="F100" s="591">
        <f t="shared" si="30"/>
        <v>-9.6110450968352854</v>
      </c>
      <c r="G100" s="591">
        <f t="shared" si="30"/>
        <v>-0.50243753357058019</v>
      </c>
      <c r="H100" s="591">
        <f t="shared" si="30"/>
        <v>0</v>
      </c>
      <c r="I100" s="591">
        <f t="shared" si="30"/>
        <v>0</v>
      </c>
      <c r="J100" s="591">
        <f t="shared" si="30"/>
        <v>0</v>
      </c>
      <c r="K100" s="591">
        <f t="shared" si="30"/>
        <v>0</v>
      </c>
      <c r="L100" s="583">
        <f>SUM(D100:INDEX(D100:K100,0,MATCH('RFPR cover'!$C$7,$D$6:$K$6,0)))</f>
        <v>1.7763568394002505E-15</v>
      </c>
      <c r="M100" s="584">
        <f t="shared" ref="M100:M106" si="31">SUM(D100:K100)</f>
        <v>1.7763568394002505E-15</v>
      </c>
      <c r="N100" s="62"/>
      <c r="O100"/>
      <c r="P100"/>
      <c r="Q100"/>
      <c r="R100"/>
      <c r="S100"/>
      <c r="T100"/>
    </row>
    <row r="101" spans="1:20">
      <c r="A101" s="269" t="s">
        <v>152</v>
      </c>
      <c r="B101" s="225" t="str">
        <f t="shared" si="29"/>
        <v>Rail Electrification (See Appendices within RFRS commentary documentation)</v>
      </c>
      <c r="C101" s="155" t="s">
        <v>128</v>
      </c>
      <c r="D101" s="591">
        <f t="shared" si="30"/>
        <v>0</v>
      </c>
      <c r="E101" s="591">
        <f t="shared" si="30"/>
        <v>0</v>
      </c>
      <c r="F101" s="591">
        <f t="shared" si="30"/>
        <v>-36.507486304365457</v>
      </c>
      <c r="G101" s="591">
        <f t="shared" si="30"/>
        <v>-6.5757896162144283</v>
      </c>
      <c r="H101" s="591">
        <f t="shared" si="30"/>
        <v>0</v>
      </c>
      <c r="I101" s="591">
        <f t="shared" si="30"/>
        <v>15.297766048840295</v>
      </c>
      <c r="J101" s="591">
        <f t="shared" si="30"/>
        <v>15.703156849134562</v>
      </c>
      <c r="K101" s="591">
        <f t="shared" si="30"/>
        <v>16.185603268855534</v>
      </c>
      <c r="L101" s="587">
        <f>SUM(D101:INDEX(D101:K101,0,MATCH('RFPR cover'!$C$7,$D$6:$K$6,0)))</f>
        <v>-27.785509871739592</v>
      </c>
      <c r="M101" s="588">
        <f t="shared" si="31"/>
        <v>4.1032502462505036</v>
      </c>
      <c r="N101" s="62"/>
      <c r="O101"/>
      <c r="P101"/>
      <c r="Q101"/>
      <c r="R101"/>
      <c r="S101"/>
      <c r="T101"/>
    </row>
    <row r="102" spans="1:20">
      <c r="A102" s="269" t="s">
        <v>153</v>
      </c>
      <c r="B102" s="225" t="str">
        <f t="shared" si="29"/>
        <v>TIM neutral and Smart meter adjustments to Totex allowance</v>
      </c>
      <c r="C102" s="155" t="s">
        <v>128</v>
      </c>
      <c r="D102" s="591">
        <f t="shared" si="30"/>
        <v>0</v>
      </c>
      <c r="E102" s="591">
        <f t="shared" si="30"/>
        <v>0</v>
      </c>
      <c r="F102" s="591">
        <f t="shared" si="30"/>
        <v>0</v>
      </c>
      <c r="G102" s="591">
        <f t="shared" si="30"/>
        <v>0</v>
      </c>
      <c r="H102" s="591">
        <f t="shared" si="30"/>
        <v>0</v>
      </c>
      <c r="I102" s="591">
        <f t="shared" si="30"/>
        <v>-9.6233327577963185E-2</v>
      </c>
      <c r="J102" s="591">
        <f t="shared" si="30"/>
        <v>2.688077321925721</v>
      </c>
      <c r="K102" s="591">
        <f t="shared" si="30"/>
        <v>2.7707356995749373</v>
      </c>
      <c r="L102" s="587">
        <f>SUM(D102:INDEX(D102:K102,0,MATCH('RFPR cover'!$C$7,$D$6:$K$6,0)))</f>
        <v>-9.6233327577963185E-2</v>
      </c>
      <c r="M102" s="588">
        <f t="shared" si="31"/>
        <v>5.3625796939226955</v>
      </c>
      <c r="N102" s="62"/>
      <c r="O102"/>
      <c r="P102"/>
      <c r="Q102"/>
      <c r="R102"/>
      <c r="S102" s="64"/>
      <c r="T102"/>
    </row>
    <row r="103" spans="1:20">
      <c r="A103" s="269" t="s">
        <v>168</v>
      </c>
      <c r="B103" s="225" t="str">
        <f t="shared" si="29"/>
        <v>[Enduring Value adjustment]</v>
      </c>
      <c r="C103" s="155" t="s">
        <v>128</v>
      </c>
      <c r="D103" s="591">
        <f t="shared" si="30"/>
        <v>0</v>
      </c>
      <c r="E103" s="591">
        <f t="shared" si="30"/>
        <v>0</v>
      </c>
      <c r="F103" s="591">
        <f t="shared" si="30"/>
        <v>0</v>
      </c>
      <c r="G103" s="591">
        <f t="shared" si="30"/>
        <v>0</v>
      </c>
      <c r="H103" s="591">
        <f t="shared" si="30"/>
        <v>0</v>
      </c>
      <c r="I103" s="591">
        <f t="shared" si="30"/>
        <v>0</v>
      </c>
      <c r="J103" s="591">
        <f t="shared" si="30"/>
        <v>0</v>
      </c>
      <c r="K103" s="591">
        <f t="shared" si="30"/>
        <v>0</v>
      </c>
      <c r="L103" s="587">
        <f>SUM(D103:INDEX(D103:K103,0,MATCH('RFPR cover'!$C$7,$D$6:$K$6,0)))</f>
        <v>0</v>
      </c>
      <c r="M103" s="588">
        <f t="shared" si="31"/>
        <v>0</v>
      </c>
      <c r="N103" s="62"/>
      <c r="O103"/>
      <c r="P103"/>
      <c r="Q103"/>
      <c r="R103"/>
      <c r="S103"/>
      <c r="T103"/>
    </row>
    <row r="104" spans="1:20">
      <c r="A104" s="269" t="s">
        <v>169</v>
      </c>
      <c r="B104" s="225" t="str">
        <f t="shared" si="29"/>
        <v>[Enduring Value adjustment]</v>
      </c>
      <c r="C104" s="155" t="s">
        <v>128</v>
      </c>
      <c r="D104" s="591">
        <f t="shared" si="30"/>
        <v>0</v>
      </c>
      <c r="E104" s="591">
        <f t="shared" si="30"/>
        <v>0</v>
      </c>
      <c r="F104" s="591">
        <f t="shared" si="30"/>
        <v>0</v>
      </c>
      <c r="G104" s="591">
        <f t="shared" si="30"/>
        <v>0</v>
      </c>
      <c r="H104" s="591">
        <f t="shared" si="30"/>
        <v>0</v>
      </c>
      <c r="I104" s="591">
        <f t="shared" si="30"/>
        <v>0</v>
      </c>
      <c r="J104" s="591">
        <f t="shared" si="30"/>
        <v>0</v>
      </c>
      <c r="K104" s="591">
        <f t="shared" si="30"/>
        <v>0</v>
      </c>
      <c r="L104" s="587">
        <f>SUM(D104:INDEX(D104:K104,0,MATCH('RFPR cover'!$C$7,$D$6:$K$6,0)))</f>
        <v>0</v>
      </c>
      <c r="M104" s="588">
        <f t="shared" si="31"/>
        <v>0</v>
      </c>
      <c r="N104" s="62"/>
      <c r="O104"/>
      <c r="P104"/>
      <c r="Q104"/>
      <c r="R104"/>
      <c r="S104"/>
      <c r="T104"/>
    </row>
    <row r="105" spans="1:20">
      <c r="A105" s="269" t="s">
        <v>170</v>
      </c>
      <c r="B105" s="225" t="str">
        <f t="shared" si="29"/>
        <v>[Enduring Value adjustment]</v>
      </c>
      <c r="C105" s="155" t="s">
        <v>128</v>
      </c>
      <c r="D105" s="591">
        <f t="shared" si="30"/>
        <v>0</v>
      </c>
      <c r="E105" s="591">
        <f t="shared" si="30"/>
        <v>0</v>
      </c>
      <c r="F105" s="591">
        <f t="shared" si="30"/>
        <v>0</v>
      </c>
      <c r="G105" s="591">
        <f t="shared" si="30"/>
        <v>0</v>
      </c>
      <c r="H105" s="591">
        <f t="shared" si="30"/>
        <v>0</v>
      </c>
      <c r="I105" s="591">
        <f t="shared" si="30"/>
        <v>0</v>
      </c>
      <c r="J105" s="591">
        <f t="shared" si="30"/>
        <v>0</v>
      </c>
      <c r="K105" s="591">
        <f t="shared" si="30"/>
        <v>0</v>
      </c>
      <c r="L105" s="591">
        <f>SUM(D105:INDEX(D105:K105,0,MATCH('RFPR cover'!$C$7,$D$6:$K$6,0)))</f>
        <v>0</v>
      </c>
      <c r="M105" s="592">
        <f t="shared" si="31"/>
        <v>0</v>
      </c>
      <c r="N105" s="62"/>
      <c r="O105"/>
      <c r="P105"/>
      <c r="Q105"/>
      <c r="R105"/>
      <c r="S105"/>
      <c r="T105"/>
    </row>
    <row r="106" spans="1:20">
      <c r="A106" s="35"/>
      <c r="B106" s="779" t="s">
        <v>190</v>
      </c>
      <c r="C106" s="155" t="s">
        <v>128</v>
      </c>
      <c r="D106" s="102">
        <f>SUM(D100:D105)</f>
        <v>0</v>
      </c>
      <c r="E106" s="103">
        <f t="shared" ref="E106:K106" si="32">SUM(E100:E105)</f>
        <v>10.113482630405867</v>
      </c>
      <c r="F106" s="103">
        <f t="shared" si="32"/>
        <v>-46.118531401200741</v>
      </c>
      <c r="G106" s="103">
        <f t="shared" si="32"/>
        <v>-7.0782271497850084</v>
      </c>
      <c r="H106" s="103">
        <f t="shared" si="32"/>
        <v>0</v>
      </c>
      <c r="I106" s="103">
        <f t="shared" si="32"/>
        <v>15.201532721262332</v>
      </c>
      <c r="J106" s="103">
        <f t="shared" si="32"/>
        <v>18.391234171060283</v>
      </c>
      <c r="K106" s="104">
        <f t="shared" si="32"/>
        <v>18.956338968430472</v>
      </c>
      <c r="L106" s="102">
        <f>SUM(D106:INDEX(D106:K106,0,MATCH('RFPR cover'!$C$7,$D$6:$K$6,0)))</f>
        <v>-27.881743199317548</v>
      </c>
      <c r="M106" s="104">
        <f t="shared" si="31"/>
        <v>9.465829940173208</v>
      </c>
      <c r="N106" s="62"/>
    </row>
    <row r="107" spans="1:20">
      <c r="A107" s="35"/>
      <c r="B107" s="771"/>
    </row>
    <row r="108" spans="1:20">
      <c r="A108" s="35"/>
      <c r="B108" s="778" t="s">
        <v>198</v>
      </c>
      <c r="C108" s="155" t="s">
        <v>128</v>
      </c>
      <c r="D108" s="95">
        <f t="shared" ref="D108:K108" si="33">D106*D94</f>
        <v>0</v>
      </c>
      <c r="E108" s="96">
        <f t="shared" si="33"/>
        <v>3.0340447891217606</v>
      </c>
      <c r="F108" s="96">
        <f t="shared" si="33"/>
        <v>-13.835559420360225</v>
      </c>
      <c r="G108" s="96">
        <f t="shared" si="33"/>
        <v>-2.1234681449355031</v>
      </c>
      <c r="H108" s="96">
        <f t="shared" si="33"/>
        <v>0</v>
      </c>
      <c r="I108" s="96">
        <f t="shared" si="33"/>
        <v>4.5604598163787005</v>
      </c>
      <c r="J108" s="96">
        <f t="shared" si="33"/>
        <v>5.517370251318086</v>
      </c>
      <c r="K108" s="96">
        <f t="shared" si="33"/>
        <v>5.686901690529143</v>
      </c>
      <c r="L108" s="95">
        <f>SUM(D108:INDEX(D108:K108,0,MATCH('RFPR cover'!$C$7,$D$6:$K$6,0)))</f>
        <v>-8.3645229597952664</v>
      </c>
      <c r="M108" s="97">
        <f>SUM(D108:K108)</f>
        <v>2.8397489820519626</v>
      </c>
    </row>
    <row r="109" spans="1:20">
      <c r="A109" s="35"/>
      <c r="B109" s="778" t="s">
        <v>309</v>
      </c>
      <c r="C109" s="155" t="s">
        <v>128</v>
      </c>
      <c r="D109" s="92">
        <f t="shared" ref="D109:K109" si="34">D106*(1-D94)</f>
        <v>0</v>
      </c>
      <c r="E109" s="93">
        <f t="shared" si="34"/>
        <v>7.0794378412841068</v>
      </c>
      <c r="F109" s="93">
        <f t="shared" si="34"/>
        <v>-32.282971980840514</v>
      </c>
      <c r="G109" s="93">
        <f t="shared" si="34"/>
        <v>-4.9547590048495058</v>
      </c>
      <c r="H109" s="93">
        <f t="shared" si="34"/>
        <v>0</v>
      </c>
      <c r="I109" s="93">
        <f t="shared" si="34"/>
        <v>10.641072904883632</v>
      </c>
      <c r="J109" s="93">
        <f t="shared" si="34"/>
        <v>12.873863919742197</v>
      </c>
      <c r="K109" s="93">
        <f t="shared" si="34"/>
        <v>13.26943727790133</v>
      </c>
      <c r="L109" s="92">
        <f>SUM(D109:INDEX(D109:K109,0,MATCH('RFPR cover'!$C$7,$D$6:$K$6,0)))</f>
        <v>-19.517220239522281</v>
      </c>
      <c r="M109" s="94">
        <f>SUM(D109:K109)</f>
        <v>6.6260809581212463</v>
      </c>
    </row>
    <row r="110" spans="1:20">
      <c r="A110" s="35"/>
      <c r="B110" s="771"/>
    </row>
    <row r="111" spans="1:20">
      <c r="A111" s="35"/>
      <c r="B111" s="779" t="s">
        <v>181</v>
      </c>
    </row>
    <row r="112" spans="1:20">
      <c r="A112" s="35"/>
      <c r="B112" s="771" t="s">
        <v>180</v>
      </c>
      <c r="C112" s="155" t="s">
        <v>128</v>
      </c>
      <c r="D112" s="95">
        <f>D96+D108</f>
        <v>4.1355512809881425</v>
      </c>
      <c r="E112" s="96">
        <f t="shared" ref="E112:K112" si="35">E96+E108</f>
        <v>5.9688206282873715</v>
      </c>
      <c r="F112" s="96">
        <f t="shared" si="35"/>
        <v>-7.790368603196228</v>
      </c>
      <c r="G112" s="96">
        <f t="shared" si="35"/>
        <v>5.389131884579859</v>
      </c>
      <c r="H112" s="96">
        <f t="shared" si="35"/>
        <v>5.5641987860769015</v>
      </c>
      <c r="I112" s="96">
        <f t="shared" si="35"/>
        <v>-1.015081308157459</v>
      </c>
      <c r="J112" s="96">
        <f t="shared" si="35"/>
        <v>1.1507958913440755</v>
      </c>
      <c r="K112" s="96">
        <f t="shared" si="35"/>
        <v>0.99734206300916473</v>
      </c>
      <c r="L112" s="95">
        <f>SUM(D112:INDEX(D112:K112,0,MATCH('RFPR cover'!$C$7,$D$6:$K$6,0)))</f>
        <v>12.252252668578588</v>
      </c>
      <c r="M112" s="97">
        <f>SUM(D112:K112)</f>
        <v>14.400390622931827</v>
      </c>
    </row>
    <row r="113" spans="1:20">
      <c r="A113" s="35"/>
      <c r="B113" s="771" t="s">
        <v>280</v>
      </c>
      <c r="C113" s="155" t="s">
        <v>128</v>
      </c>
      <c r="D113" s="520">
        <f>D97+D109</f>
        <v>9.6496196556389968</v>
      </c>
      <c r="E113" s="521">
        <f t="shared" ref="E113:K113" si="36">E97+E109</f>
        <v>13.927248132670531</v>
      </c>
      <c r="F113" s="521">
        <f t="shared" si="36"/>
        <v>-18.177526740791194</v>
      </c>
      <c r="G113" s="521">
        <f t="shared" si="36"/>
        <v>12.574641064019666</v>
      </c>
      <c r="H113" s="521">
        <f t="shared" si="36"/>
        <v>12.983130500846102</v>
      </c>
      <c r="I113" s="521">
        <f t="shared" si="36"/>
        <v>-2.3685230523674043</v>
      </c>
      <c r="J113" s="521">
        <f t="shared" si="36"/>
        <v>2.6851904131361746</v>
      </c>
      <c r="K113" s="521">
        <f t="shared" si="36"/>
        <v>2.3271314803547156</v>
      </c>
      <c r="L113" s="520">
        <f>SUM(D113:INDEX(D113:K113,0,MATCH('RFPR cover'!$C$7,$D$6:$K$6,0)))</f>
        <v>28.588589560016697</v>
      </c>
      <c r="M113" s="522">
        <f>SUM(D113:K113)</f>
        <v>33.600911453507585</v>
      </c>
    </row>
    <row r="114" spans="1:20">
      <c r="A114" s="35"/>
      <c r="B114" s="779" t="s">
        <v>11</v>
      </c>
      <c r="C114" s="156" t="s">
        <v>128</v>
      </c>
      <c r="D114" s="145">
        <f>SUM(D112:D113)</f>
        <v>13.785170936627139</v>
      </c>
      <c r="E114" s="146">
        <f t="shared" ref="E114:K114" si="37">SUM(E112:E113)</f>
        <v>19.896068760957903</v>
      </c>
      <c r="F114" s="146">
        <f t="shared" si="37"/>
        <v>-25.967895343987422</v>
      </c>
      <c r="G114" s="146">
        <f t="shared" si="37"/>
        <v>17.963772948599527</v>
      </c>
      <c r="H114" s="146">
        <f t="shared" si="37"/>
        <v>18.547329286923002</v>
      </c>
      <c r="I114" s="146">
        <f t="shared" si="37"/>
        <v>-3.3836043605248634</v>
      </c>
      <c r="J114" s="146">
        <f t="shared" si="37"/>
        <v>3.83598630448025</v>
      </c>
      <c r="K114" s="146">
        <f t="shared" si="37"/>
        <v>3.3244735433638803</v>
      </c>
      <c r="L114" s="145">
        <f>SUM(D114:INDEX(D114:K114,0,MATCH('RFPR cover'!$C$7,$D$6:$K$6,0)))</f>
        <v>40.840842228595285</v>
      </c>
      <c r="M114" s="147">
        <f>SUM(D114:K114)</f>
        <v>48.001302076439416</v>
      </c>
    </row>
    <row r="115" spans="1:20">
      <c r="A115" s="35"/>
      <c r="B115" s="771"/>
    </row>
    <row r="116" spans="1:20">
      <c r="A116" s="35"/>
      <c r="B116" s="774" t="str">
        <f>B38</f>
        <v>n/a</v>
      </c>
      <c r="C116" s="150"/>
      <c r="D116" s="81"/>
      <c r="E116" s="81"/>
      <c r="F116" s="81"/>
      <c r="G116" s="81"/>
      <c r="H116" s="81"/>
      <c r="I116" s="81"/>
      <c r="J116" s="81"/>
      <c r="K116" s="81"/>
      <c r="L116" s="81"/>
      <c r="M116" s="81"/>
      <c r="N116" s="81"/>
    </row>
    <row r="117" spans="1:20" s="35" customFormat="1">
      <c r="B117" s="772"/>
      <c r="C117" s="138"/>
      <c r="D117" s="320"/>
      <c r="E117" s="320"/>
      <c r="F117" s="320"/>
      <c r="G117" s="320"/>
      <c r="H117" s="320"/>
      <c r="I117" s="320"/>
      <c r="J117" s="320"/>
      <c r="K117" s="320"/>
      <c r="L117" s="320"/>
      <c r="M117" s="320"/>
      <c r="N117" s="320"/>
    </row>
    <row r="118" spans="1:20">
      <c r="A118" s="35"/>
      <c r="B118" s="305" t="s">
        <v>34</v>
      </c>
      <c r="C118" s="155" t="s">
        <v>128</v>
      </c>
      <c r="D118" s="670">
        <f t="shared" ref="D118:K119" si="38">D40*D$86</f>
        <v>0</v>
      </c>
      <c r="E118" s="670">
        <f t="shared" si="38"/>
        <v>0</v>
      </c>
      <c r="F118" s="670">
        <f t="shared" si="38"/>
        <v>0</v>
      </c>
      <c r="G118" s="670">
        <f t="shared" si="38"/>
        <v>0</v>
      </c>
      <c r="H118" s="670">
        <f t="shared" si="38"/>
        <v>0</v>
      </c>
      <c r="I118" s="670">
        <f t="shared" si="38"/>
        <v>0</v>
      </c>
      <c r="J118" s="670">
        <f t="shared" si="38"/>
        <v>0</v>
      </c>
      <c r="K118" s="670">
        <f t="shared" si="38"/>
        <v>0</v>
      </c>
      <c r="L118" s="670">
        <f>SUM(D118:INDEX(D118:K118,0,MATCH('RFPR cover'!$C$7,$D$6:$K$6,0)))</f>
        <v>0</v>
      </c>
      <c r="M118" s="671">
        <f>SUM(D118:K118)</f>
        <v>0</v>
      </c>
      <c r="N118" s="62"/>
      <c r="O118" s="62"/>
    </row>
    <row r="119" spans="1:20" ht="25.2">
      <c r="A119" s="35"/>
      <c r="B119" s="776" t="s">
        <v>197</v>
      </c>
      <c r="C119" s="155" t="s">
        <v>128</v>
      </c>
      <c r="D119" s="670">
        <f t="shared" si="38"/>
        <v>0</v>
      </c>
      <c r="E119" s="670">
        <f t="shared" si="38"/>
        <v>0</v>
      </c>
      <c r="F119" s="670">
        <f t="shared" si="38"/>
        <v>0</v>
      </c>
      <c r="G119" s="670">
        <f t="shared" si="38"/>
        <v>0</v>
      </c>
      <c r="H119" s="670">
        <f t="shared" si="38"/>
        <v>0</v>
      </c>
      <c r="I119" s="670">
        <f t="shared" si="38"/>
        <v>0</v>
      </c>
      <c r="J119" s="670">
        <f t="shared" si="38"/>
        <v>0</v>
      </c>
      <c r="K119" s="670">
        <f t="shared" si="38"/>
        <v>0</v>
      </c>
      <c r="L119" s="672">
        <f>SUM(D119:INDEX(D119:K119,0,MATCH('RFPR cover'!$C$7,$D$6:$K$6,0)))</f>
        <v>0</v>
      </c>
      <c r="M119" s="673">
        <f>SUM(D119:K119)</f>
        <v>0</v>
      </c>
      <c r="N119" s="62"/>
      <c r="O119" s="62"/>
    </row>
    <row r="120" spans="1:20">
      <c r="A120" s="35"/>
      <c r="B120" s="777" t="s">
        <v>195</v>
      </c>
      <c r="C120" s="155" t="s">
        <v>128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2"/>
      <c r="O120" s="998"/>
      <c r="P120" s="998"/>
      <c r="Q120" s="998"/>
      <c r="R120"/>
      <c r="S120"/>
      <c r="T120"/>
    </row>
    <row r="121" spans="1:20" ht="13.2">
      <c r="A121" s="35"/>
      <c r="B121" s="777"/>
      <c r="C121" s="155"/>
      <c r="D121" s="58"/>
      <c r="E121" s="58"/>
      <c r="F121" s="58"/>
      <c r="G121" s="58"/>
      <c r="H121" s="58"/>
      <c r="I121" s="58"/>
      <c r="J121" s="58"/>
      <c r="K121" s="58"/>
      <c r="L121" s="58"/>
      <c r="M121" s="58"/>
      <c r="O121" s="63"/>
      <c r="P121" s="63"/>
      <c r="Q121" s="63"/>
      <c r="R121"/>
      <c r="S121"/>
      <c r="T121"/>
    </row>
    <row r="122" spans="1:20">
      <c r="A122" s="35"/>
      <c r="B122" s="771" t="s">
        <v>178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1"/>
      <c r="M122" s="61"/>
      <c r="O122"/>
      <c r="P122"/>
      <c r="Q122"/>
      <c r="R122"/>
      <c r="S122"/>
      <c r="T122"/>
    </row>
    <row r="123" spans="1:20">
      <c r="A123" s="35"/>
      <c r="B123" s="771"/>
      <c r="O123"/>
      <c r="P123"/>
      <c r="Q123"/>
      <c r="R123"/>
      <c r="S123"/>
      <c r="T123"/>
    </row>
    <row r="124" spans="1:20">
      <c r="A124" s="35"/>
      <c r="B124" s="778" t="s">
        <v>183</v>
      </c>
      <c r="C124" s="159" t="s">
        <v>128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5"/>
      <c r="B125" s="778" t="s">
        <v>179</v>
      </c>
      <c r="C125" s="159" t="s">
        <v>128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5"/>
      <c r="B126" s="771"/>
      <c r="O126"/>
      <c r="P126"/>
      <c r="Q126"/>
      <c r="R126"/>
      <c r="S126"/>
      <c r="T126"/>
    </row>
    <row r="127" spans="1:20">
      <c r="A127" s="35"/>
      <c r="B127" s="779" t="s">
        <v>182</v>
      </c>
      <c r="N127" s="62"/>
      <c r="O127"/>
      <c r="P127"/>
      <c r="Q127"/>
      <c r="R127"/>
      <c r="S127"/>
      <c r="T127"/>
    </row>
    <row r="128" spans="1:20">
      <c r="A128" s="269" t="s">
        <v>151</v>
      </c>
      <c r="B128" s="225" t="str">
        <f t="shared" ref="B128:B133" si="42">B50</f>
        <v>[Enduring Value adjustment]</v>
      </c>
      <c r="C128" s="155" t="s">
        <v>128</v>
      </c>
      <c r="D128" s="583">
        <f t="shared" ref="D128:K133" si="43">D50*D$86</f>
        <v>0</v>
      </c>
      <c r="E128" s="583">
        <f t="shared" si="43"/>
        <v>0</v>
      </c>
      <c r="F128" s="583">
        <f t="shared" si="43"/>
        <v>0</v>
      </c>
      <c r="G128" s="583">
        <f t="shared" si="43"/>
        <v>0</v>
      </c>
      <c r="H128" s="583">
        <f t="shared" si="43"/>
        <v>0</v>
      </c>
      <c r="I128" s="583">
        <f t="shared" si="43"/>
        <v>0</v>
      </c>
      <c r="J128" s="583">
        <f t="shared" si="43"/>
        <v>0</v>
      </c>
      <c r="K128" s="583">
        <f t="shared" si="43"/>
        <v>0</v>
      </c>
      <c r="L128" s="583">
        <f>SUM(D128:INDEX(D128:K128,0,MATCH('RFPR cover'!$C$7,$D$6:$K$6,0)))</f>
        <v>0</v>
      </c>
      <c r="M128" s="584">
        <f t="shared" ref="M128:M134" si="44">SUM(D128:K128)</f>
        <v>0</v>
      </c>
      <c r="N128" s="62"/>
      <c r="O128"/>
      <c r="P128"/>
      <c r="Q128"/>
      <c r="R128"/>
      <c r="S128"/>
      <c r="T128"/>
    </row>
    <row r="129" spans="1:20">
      <c r="A129" s="269" t="s">
        <v>152</v>
      </c>
      <c r="B129" s="225" t="str">
        <f t="shared" si="42"/>
        <v>[Enduring Value adjustment]</v>
      </c>
      <c r="C129" s="155" t="s">
        <v>128</v>
      </c>
      <c r="D129" s="583">
        <f t="shared" si="43"/>
        <v>0</v>
      </c>
      <c r="E129" s="583">
        <f t="shared" si="43"/>
        <v>0</v>
      </c>
      <c r="F129" s="583">
        <f t="shared" si="43"/>
        <v>0</v>
      </c>
      <c r="G129" s="583">
        <f t="shared" si="43"/>
        <v>0</v>
      </c>
      <c r="H129" s="583">
        <f t="shared" si="43"/>
        <v>0</v>
      </c>
      <c r="I129" s="583">
        <f t="shared" si="43"/>
        <v>0</v>
      </c>
      <c r="J129" s="583">
        <f t="shared" si="43"/>
        <v>0</v>
      </c>
      <c r="K129" s="583">
        <f t="shared" si="43"/>
        <v>0</v>
      </c>
      <c r="L129" s="587">
        <f>SUM(D129:INDEX(D129:K129,0,MATCH('RFPR cover'!$C$7,$D$6:$K$6,0)))</f>
        <v>0</v>
      </c>
      <c r="M129" s="588">
        <f t="shared" si="44"/>
        <v>0</v>
      </c>
      <c r="N129" s="62"/>
      <c r="O129"/>
      <c r="P129"/>
      <c r="Q129"/>
      <c r="R129"/>
      <c r="S129"/>
      <c r="T129"/>
    </row>
    <row r="130" spans="1:20">
      <c r="A130" s="269" t="s">
        <v>153</v>
      </c>
      <c r="B130" s="225" t="str">
        <f t="shared" si="42"/>
        <v>[Enduring Value adjustment]</v>
      </c>
      <c r="C130" s="155" t="s">
        <v>128</v>
      </c>
      <c r="D130" s="583">
        <f t="shared" si="43"/>
        <v>0</v>
      </c>
      <c r="E130" s="583">
        <f t="shared" si="43"/>
        <v>0</v>
      </c>
      <c r="F130" s="583">
        <f t="shared" si="43"/>
        <v>0</v>
      </c>
      <c r="G130" s="583">
        <f t="shared" si="43"/>
        <v>0</v>
      </c>
      <c r="H130" s="583">
        <f t="shared" si="43"/>
        <v>0</v>
      </c>
      <c r="I130" s="583">
        <f t="shared" si="43"/>
        <v>0</v>
      </c>
      <c r="J130" s="583">
        <f t="shared" si="43"/>
        <v>0</v>
      </c>
      <c r="K130" s="583">
        <f t="shared" si="43"/>
        <v>0</v>
      </c>
      <c r="L130" s="587">
        <f>SUM(D130:INDEX(D130:K130,0,MATCH('RFPR cover'!$C$7,$D$6:$K$6,0)))</f>
        <v>0</v>
      </c>
      <c r="M130" s="588">
        <f t="shared" si="44"/>
        <v>0</v>
      </c>
      <c r="N130" s="62"/>
      <c r="O130"/>
      <c r="P130"/>
      <c r="Q130"/>
      <c r="R130"/>
      <c r="S130" s="64"/>
      <c r="T130"/>
    </row>
    <row r="131" spans="1:20">
      <c r="A131" s="269" t="s">
        <v>168</v>
      </c>
      <c r="B131" s="225" t="str">
        <f t="shared" si="42"/>
        <v>[Enduring Value adjustment]</v>
      </c>
      <c r="C131" s="155" t="s">
        <v>128</v>
      </c>
      <c r="D131" s="583">
        <f t="shared" si="43"/>
        <v>0</v>
      </c>
      <c r="E131" s="583">
        <f t="shared" si="43"/>
        <v>0</v>
      </c>
      <c r="F131" s="583">
        <f t="shared" si="43"/>
        <v>0</v>
      </c>
      <c r="G131" s="583">
        <f t="shared" si="43"/>
        <v>0</v>
      </c>
      <c r="H131" s="583">
        <f t="shared" si="43"/>
        <v>0</v>
      </c>
      <c r="I131" s="583">
        <f t="shared" si="43"/>
        <v>0</v>
      </c>
      <c r="J131" s="583">
        <f t="shared" si="43"/>
        <v>0</v>
      </c>
      <c r="K131" s="583">
        <f t="shared" si="43"/>
        <v>0</v>
      </c>
      <c r="L131" s="587">
        <f>SUM(D131:INDEX(D131:K131,0,MATCH('RFPR cover'!$C$7,$D$6:$K$6,0)))</f>
        <v>0</v>
      </c>
      <c r="M131" s="588">
        <f t="shared" si="44"/>
        <v>0</v>
      </c>
      <c r="N131" s="62"/>
      <c r="O131"/>
      <c r="P131"/>
      <c r="Q131"/>
      <c r="R131"/>
      <c r="S131"/>
      <c r="T131"/>
    </row>
    <row r="132" spans="1:20">
      <c r="A132" s="269" t="s">
        <v>169</v>
      </c>
      <c r="B132" s="225" t="str">
        <f t="shared" si="42"/>
        <v>[Enduring Value adjustment]</v>
      </c>
      <c r="C132" s="155" t="s">
        <v>128</v>
      </c>
      <c r="D132" s="583">
        <f t="shared" si="43"/>
        <v>0</v>
      </c>
      <c r="E132" s="583">
        <f t="shared" si="43"/>
        <v>0</v>
      </c>
      <c r="F132" s="583">
        <f t="shared" si="43"/>
        <v>0</v>
      </c>
      <c r="G132" s="583">
        <f t="shared" si="43"/>
        <v>0</v>
      </c>
      <c r="H132" s="583">
        <f t="shared" si="43"/>
        <v>0</v>
      </c>
      <c r="I132" s="583">
        <f t="shared" si="43"/>
        <v>0</v>
      </c>
      <c r="J132" s="583">
        <f t="shared" si="43"/>
        <v>0</v>
      </c>
      <c r="K132" s="583">
        <f t="shared" si="43"/>
        <v>0</v>
      </c>
      <c r="L132" s="587">
        <f>SUM(D132:INDEX(D132:K132,0,MATCH('RFPR cover'!$C$7,$D$6:$K$6,0)))</f>
        <v>0</v>
      </c>
      <c r="M132" s="588">
        <f t="shared" si="44"/>
        <v>0</v>
      </c>
      <c r="N132" s="62"/>
      <c r="O132"/>
      <c r="P132"/>
      <c r="Q132"/>
      <c r="R132"/>
      <c r="S132"/>
      <c r="T132"/>
    </row>
    <row r="133" spans="1:20">
      <c r="A133" s="269" t="s">
        <v>170</v>
      </c>
      <c r="B133" s="225" t="str">
        <f t="shared" si="42"/>
        <v>[Enduring Value adjustment]</v>
      </c>
      <c r="C133" s="155" t="s">
        <v>128</v>
      </c>
      <c r="D133" s="583">
        <f t="shared" si="43"/>
        <v>0</v>
      </c>
      <c r="E133" s="583">
        <f t="shared" si="43"/>
        <v>0</v>
      </c>
      <c r="F133" s="583">
        <f t="shared" si="43"/>
        <v>0</v>
      </c>
      <c r="G133" s="583">
        <f t="shared" si="43"/>
        <v>0</v>
      </c>
      <c r="H133" s="583">
        <f t="shared" si="43"/>
        <v>0</v>
      </c>
      <c r="I133" s="583">
        <f t="shared" si="43"/>
        <v>0</v>
      </c>
      <c r="J133" s="583">
        <f t="shared" si="43"/>
        <v>0</v>
      </c>
      <c r="K133" s="583">
        <f t="shared" si="43"/>
        <v>0</v>
      </c>
      <c r="L133" s="591">
        <f>SUM(D133:INDEX(D133:K133,0,MATCH('RFPR cover'!$C$7,$D$6:$K$6,0)))</f>
        <v>0</v>
      </c>
      <c r="M133" s="592">
        <f t="shared" si="44"/>
        <v>0</v>
      </c>
      <c r="N133" s="62"/>
      <c r="O133"/>
      <c r="P133"/>
      <c r="Q133"/>
      <c r="R133"/>
      <c r="S133"/>
      <c r="T133"/>
    </row>
    <row r="134" spans="1:20">
      <c r="A134" s="35"/>
      <c r="B134" s="779" t="s">
        <v>190</v>
      </c>
      <c r="C134" s="155" t="s">
        <v>128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2"/>
    </row>
    <row r="135" spans="1:20">
      <c r="A135" s="35"/>
      <c r="B135" s="771"/>
    </row>
    <row r="136" spans="1:20">
      <c r="A136" s="35"/>
      <c r="B136" s="778" t="s">
        <v>198</v>
      </c>
      <c r="C136" s="159" t="s">
        <v>128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5"/>
      <c r="B137" s="778" t="s">
        <v>309</v>
      </c>
      <c r="C137" s="159" t="s">
        <v>128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5"/>
      <c r="B138" s="771"/>
    </row>
    <row r="139" spans="1:20">
      <c r="A139" s="35"/>
      <c r="B139" s="779" t="s">
        <v>181</v>
      </c>
    </row>
    <row r="140" spans="1:20">
      <c r="A140" s="35"/>
      <c r="B140" s="771" t="s">
        <v>180</v>
      </c>
      <c r="C140" s="155" t="s">
        <v>128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5"/>
      <c r="B141" s="771" t="s">
        <v>280</v>
      </c>
      <c r="C141" s="155" t="s">
        <v>128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5"/>
      <c r="B142" s="779" t="s">
        <v>11</v>
      </c>
      <c r="C142" s="156" t="s">
        <v>128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5"/>
      <c r="B143" s="779"/>
      <c r="C143" s="156"/>
      <c r="D143" s="156"/>
      <c r="E143" s="156"/>
      <c r="F143" s="156"/>
      <c r="G143" s="156"/>
      <c r="H143" s="156"/>
      <c r="I143" s="156"/>
      <c r="J143" s="156"/>
      <c r="K143" s="156"/>
      <c r="L143" s="156"/>
      <c r="M143" s="156"/>
    </row>
    <row r="144" spans="1:20">
      <c r="A144" s="35"/>
      <c r="B144" s="774" t="s">
        <v>257</v>
      </c>
      <c r="C144" s="150"/>
      <c r="D144" s="81"/>
      <c r="E144" s="81"/>
      <c r="F144" s="81"/>
      <c r="G144" s="81"/>
      <c r="H144" s="81"/>
      <c r="I144" s="81"/>
      <c r="J144" s="81"/>
      <c r="K144" s="81"/>
      <c r="L144" s="81"/>
      <c r="M144" s="81"/>
      <c r="N144" s="81"/>
    </row>
    <row r="145" spans="1:20">
      <c r="A145" s="35"/>
      <c r="B145" s="771"/>
      <c r="O145"/>
      <c r="P145"/>
      <c r="Q145"/>
      <c r="R145"/>
      <c r="S145"/>
      <c r="T145"/>
    </row>
    <row r="146" spans="1:20">
      <c r="A146" s="35"/>
      <c r="B146" s="779" t="s">
        <v>181</v>
      </c>
    </row>
    <row r="147" spans="1:20">
      <c r="A147" s="35"/>
      <c r="B147" s="771" t="s">
        <v>180</v>
      </c>
      <c r="C147" s="155" t="s">
        <v>128</v>
      </c>
      <c r="D147" s="95">
        <f>D112+D140</f>
        <v>4.1355512809881425</v>
      </c>
      <c r="E147" s="96">
        <f t="shared" ref="E147:K147" si="51">E112+E140</f>
        <v>5.9688206282873715</v>
      </c>
      <c r="F147" s="96">
        <f t="shared" si="51"/>
        <v>-7.790368603196228</v>
      </c>
      <c r="G147" s="96">
        <f t="shared" si="51"/>
        <v>5.389131884579859</v>
      </c>
      <c r="H147" s="96">
        <f t="shared" si="51"/>
        <v>5.5641987860769015</v>
      </c>
      <c r="I147" s="96">
        <f t="shared" si="51"/>
        <v>-1.015081308157459</v>
      </c>
      <c r="J147" s="96">
        <f t="shared" si="51"/>
        <v>1.1507958913440755</v>
      </c>
      <c r="K147" s="96">
        <f t="shared" si="51"/>
        <v>0.99734206300916473</v>
      </c>
      <c r="L147" s="95">
        <f>SUM(D147:INDEX(D147:K147,0,MATCH('RFPR cover'!$C$7,$D$6:$K$6,0)))</f>
        <v>12.252252668578588</v>
      </c>
      <c r="M147" s="97">
        <f>SUM(D147:K147)</f>
        <v>14.400390622931827</v>
      </c>
    </row>
    <row r="148" spans="1:20">
      <c r="A148" s="35"/>
      <c r="B148" s="771" t="s">
        <v>280</v>
      </c>
      <c r="C148" s="155" t="s">
        <v>128</v>
      </c>
      <c r="D148" s="98">
        <f t="shared" ref="D148:K148" si="52">D113+D141</f>
        <v>9.6496196556389968</v>
      </c>
      <c r="E148" s="99">
        <f t="shared" si="52"/>
        <v>13.927248132670531</v>
      </c>
      <c r="F148" s="99">
        <f t="shared" si="52"/>
        <v>-18.177526740791194</v>
      </c>
      <c r="G148" s="99">
        <f t="shared" si="52"/>
        <v>12.574641064019666</v>
      </c>
      <c r="H148" s="99">
        <f t="shared" si="52"/>
        <v>12.983130500846102</v>
      </c>
      <c r="I148" s="99">
        <f t="shared" si="52"/>
        <v>-2.3685230523674043</v>
      </c>
      <c r="J148" s="99">
        <f t="shared" si="52"/>
        <v>2.6851904131361746</v>
      </c>
      <c r="K148" s="99">
        <f t="shared" si="52"/>
        <v>2.3271314803547156</v>
      </c>
      <c r="L148" s="98">
        <f>SUM(D148:INDEX(D148:K148,0,MATCH('RFPR cover'!$C$7,$D$6:$K$6,0)))</f>
        <v>28.588589560016697</v>
      </c>
      <c r="M148" s="100">
        <f>SUM(D148:K148)</f>
        <v>33.600911453507585</v>
      </c>
    </row>
    <row r="149" spans="1:20">
      <c r="A149" s="35"/>
      <c r="B149" s="779" t="s">
        <v>11</v>
      </c>
      <c r="C149" s="156" t="s">
        <v>128</v>
      </c>
      <c r="D149" s="139">
        <f>SUM(D147:D148)</f>
        <v>13.785170936627139</v>
      </c>
      <c r="E149" s="140">
        <f t="shared" ref="E149:K149" si="53">SUM(E147:E148)</f>
        <v>19.896068760957903</v>
      </c>
      <c r="F149" s="140">
        <f t="shared" si="53"/>
        <v>-25.967895343987422</v>
      </c>
      <c r="G149" s="140">
        <f t="shared" si="53"/>
        <v>17.963772948599527</v>
      </c>
      <c r="H149" s="140">
        <f t="shared" si="53"/>
        <v>18.547329286923002</v>
      </c>
      <c r="I149" s="140">
        <f t="shared" si="53"/>
        <v>-3.3836043605248634</v>
      </c>
      <c r="J149" s="140">
        <f t="shared" si="53"/>
        <v>3.83598630448025</v>
      </c>
      <c r="K149" s="140">
        <f t="shared" si="53"/>
        <v>3.3244735433638803</v>
      </c>
      <c r="L149" s="139">
        <f>SUM(D149:INDEX(D149:K149,0,MATCH('RFPR cover'!$C$7,$D$6:$K$6,0)))</f>
        <v>40.840842228595285</v>
      </c>
      <c r="M149" s="141">
        <f>SUM(D149:K149)</f>
        <v>48.001302076439416</v>
      </c>
    </row>
    <row r="150" spans="1:20">
      <c r="A150" s="35"/>
      <c r="B150" s="778"/>
      <c r="D150" s="136"/>
      <c r="E150" s="136"/>
      <c r="F150" s="136"/>
      <c r="G150" s="136"/>
      <c r="H150" s="136"/>
      <c r="I150" s="136"/>
      <c r="J150" s="136"/>
      <c r="K150" s="136"/>
    </row>
    <row r="151" spans="1:20">
      <c r="A151" s="35"/>
      <c r="B151" s="771"/>
    </row>
    <row r="152" spans="1:20">
      <c r="A152" s="81"/>
      <c r="B152" s="770"/>
      <c r="C152" s="150"/>
      <c r="D152" s="81"/>
      <c r="E152" s="81"/>
      <c r="F152" s="81"/>
      <c r="G152" s="81"/>
      <c r="H152" s="81"/>
      <c r="I152" s="81"/>
      <c r="J152" s="81"/>
      <c r="K152" s="81"/>
      <c r="L152" s="81"/>
      <c r="M152" s="81"/>
      <c r="N152" s="81"/>
    </row>
    <row r="153" spans="1:20">
      <c r="B153" s="771"/>
    </row>
    <row r="154" spans="1:20">
      <c r="B154" s="771"/>
    </row>
  </sheetData>
  <mergeCells count="4">
    <mergeCell ref="O14:Q14"/>
    <mergeCell ref="O42:Q42"/>
    <mergeCell ref="O92:Q92"/>
    <mergeCell ref="O120:Q120"/>
  </mergeCells>
  <conditionalFormatting sqref="D6:K6">
    <cfRule type="expression" dxfId="63" priority="7">
      <formula>AND(D$5="Actuals",E$5="Forecast")</formula>
    </cfRule>
  </conditionalFormatting>
  <conditionalFormatting sqref="B118:M142">
    <cfRule type="expression" dxfId="62" priority="3">
      <formula>$B$38="n/a"</formula>
    </cfRule>
  </conditionalFormatting>
  <conditionalFormatting sqref="D5:K5">
    <cfRule type="expression" dxfId="61" priority="2">
      <formula>AND(D$5="Actuals",E$5="Forecast")</formula>
    </cfRule>
  </conditionalFormatting>
  <conditionalFormatting sqref="B38:N64">
    <cfRule type="expression" dxfId="60"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V114"/>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1.36328125" bestFit="1" customWidth="1"/>
    <col min="3" max="3" width="13.36328125" style="136" customWidth="1"/>
    <col min="4" max="11" width="11.08984375" customWidth="1"/>
    <col min="12" max="12" width="12.90625" customWidth="1"/>
    <col min="13" max="13" width="12.7265625" customWidth="1"/>
    <col min="14" max="14" width="5" customWidth="1"/>
  </cols>
  <sheetData>
    <row r="1" spans="1:21" s="37" customFormat="1" ht="21">
      <c r="A1" s="929" t="s">
        <v>262</v>
      </c>
      <c r="B1" s="930"/>
      <c r="C1" s="153"/>
      <c r="D1" s="131"/>
      <c r="E1" s="131"/>
      <c r="F1" s="131"/>
      <c r="G1" s="131"/>
      <c r="H1" s="131"/>
      <c r="I1" s="127"/>
      <c r="J1" s="127"/>
      <c r="K1" s="127"/>
      <c r="L1" s="127"/>
      <c r="M1" s="127"/>
      <c r="N1" s="128"/>
    </row>
    <row r="2" spans="1:21" s="37" customFormat="1" ht="21">
      <c r="A2" s="931" t="str">
        <f>'RFPR cover'!C5</f>
        <v>WPD-SWALES</v>
      </c>
      <c r="B2" s="932"/>
      <c r="C2" s="154"/>
      <c r="D2" s="36"/>
      <c r="E2" s="36"/>
      <c r="F2" s="36"/>
      <c r="G2" s="36"/>
      <c r="H2" s="36"/>
      <c r="I2" s="27"/>
      <c r="J2" s="27"/>
      <c r="K2" s="27"/>
      <c r="L2" s="27"/>
      <c r="M2" s="27"/>
      <c r="N2" s="123"/>
    </row>
    <row r="3" spans="1:21" s="37" customFormat="1" ht="21">
      <c r="A3" s="933">
        <f>'RFPR cover'!C7</f>
        <v>2021</v>
      </c>
      <c r="B3" s="934"/>
      <c r="C3" s="135"/>
      <c r="D3" s="132"/>
      <c r="E3" s="132"/>
      <c r="F3" s="132"/>
      <c r="G3" s="132"/>
      <c r="H3" s="132"/>
      <c r="I3" s="28"/>
      <c r="J3" s="28"/>
      <c r="K3" s="28"/>
      <c r="L3" s="28"/>
      <c r="M3" s="28"/>
      <c r="N3" s="125"/>
    </row>
    <row r="4" spans="1:21" s="2" customFormat="1" ht="12.75" customHeight="1">
      <c r="B4" s="3"/>
      <c r="C4" s="136"/>
    </row>
    <row r="5" spans="1:21" s="2" customFormat="1" ht="12.75" customHeigh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21"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2021</v>
      </c>
      <c r="M6" s="119" t="s">
        <v>109</v>
      </c>
    </row>
    <row r="7" spans="1:21" s="2" customFormat="1">
      <c r="A7" s="35"/>
      <c r="C7" s="136"/>
    </row>
    <row r="8" spans="1:21" s="2" customFormat="1">
      <c r="A8" s="35"/>
      <c r="B8" s="116" t="s">
        <v>199</v>
      </c>
      <c r="C8" s="150"/>
      <c r="D8" s="80"/>
      <c r="E8" s="80"/>
      <c r="F8" s="80"/>
      <c r="G8" s="80"/>
      <c r="H8" s="80"/>
      <c r="I8" s="80"/>
      <c r="J8" s="80"/>
      <c r="K8" s="80"/>
      <c r="L8" s="80"/>
      <c r="M8" s="80"/>
      <c r="N8" s="80"/>
    </row>
    <row r="9" spans="1:21" s="2" customFormat="1">
      <c r="A9" s="35"/>
      <c r="B9" s="367" t="s">
        <v>390</v>
      </c>
      <c r="C9" s="367"/>
      <c r="D9" s="367"/>
      <c r="E9" s="367"/>
      <c r="F9" s="367"/>
      <c r="G9" s="367"/>
      <c r="H9" s="367"/>
      <c r="I9" s="367"/>
      <c r="J9" s="367"/>
      <c r="K9" s="367"/>
      <c r="L9" s="367"/>
      <c r="M9" s="367"/>
      <c r="N9" s="367"/>
    </row>
    <row r="10" spans="1:21" s="2" customFormat="1">
      <c r="A10" s="35"/>
      <c r="B10" s="12"/>
      <c r="C10" s="136"/>
    </row>
    <row r="11" spans="1:21" s="2" customFormat="1">
      <c r="A11" s="224" t="s">
        <v>151</v>
      </c>
      <c r="B11" s="35" t="str">
        <f>Data!B153</f>
        <v>Broad measure of customer service</v>
      </c>
      <c r="C11" s="155" t="str">
        <f>'RFPR cover'!$C$14</f>
        <v>£m 12/13</v>
      </c>
      <c r="D11" s="593">
        <v>2.592000000000001</v>
      </c>
      <c r="E11" s="594">
        <v>2.4577</v>
      </c>
      <c r="F11" s="594">
        <v>2.7549999999999999</v>
      </c>
      <c r="G11" s="594">
        <v>2.6829999999999998</v>
      </c>
      <c r="H11" s="594">
        <v>2.7174999999999998</v>
      </c>
      <c r="I11" s="594">
        <v>2.7174999999999998</v>
      </c>
      <c r="J11" s="594">
        <v>2.7174999999999998</v>
      </c>
      <c r="K11" s="594">
        <v>2.7174999999999998</v>
      </c>
      <c r="L11" s="670">
        <f>SUM(D11:INDEX(D11:K11,0,MATCH('RFPR cover'!$C$7,$D$6:$K$6,0)))</f>
        <v>15.922699999999999</v>
      </c>
      <c r="M11" s="671">
        <f t="shared" ref="M11:M17" si="1">SUM(D11:K11)</f>
        <v>21.357700000000001</v>
      </c>
      <c r="P11" s="944"/>
      <c r="Q11" s="944"/>
      <c r="R11" s="944"/>
      <c r="S11" s="944"/>
      <c r="T11" s="944"/>
      <c r="U11" s="944"/>
    </row>
    <row r="12" spans="1:21" s="2" customFormat="1">
      <c r="A12" s="224" t="s">
        <v>152</v>
      </c>
      <c r="B12" s="35" t="str">
        <f>Data!B154</f>
        <v>Interruptions-related quality of service</v>
      </c>
      <c r="C12" s="155" t="str">
        <f>'RFPR cover'!$C$14</f>
        <v>£m 12/13</v>
      </c>
      <c r="D12" s="595">
        <v>4.3155413062815349</v>
      </c>
      <c r="E12" s="596">
        <v>4.6832621226325175</v>
      </c>
      <c r="F12" s="596">
        <v>2.5046019026671491</v>
      </c>
      <c r="G12" s="596">
        <v>4.8500493827160494</v>
      </c>
      <c r="H12" s="596">
        <v>4.8865545610039849</v>
      </c>
      <c r="I12" s="596">
        <v>5.2488722187437791</v>
      </c>
      <c r="J12" s="596">
        <v>4.423034938901929</v>
      </c>
      <c r="K12" s="596">
        <v>4.3573559265562505</v>
      </c>
      <c r="L12" s="674">
        <f>SUM(D12:INDEX(D12:K12,0,MATCH('RFPR cover'!$C$7,$D$6:$K$6,0)))</f>
        <v>26.48888149404501</v>
      </c>
      <c r="M12" s="675">
        <f t="shared" si="1"/>
        <v>35.269272359503191</v>
      </c>
      <c r="P12" s="944"/>
      <c r="Q12" s="944"/>
      <c r="R12" s="944"/>
      <c r="S12" s="944"/>
      <c r="T12" s="944"/>
      <c r="U12" s="944"/>
    </row>
    <row r="13" spans="1:21" s="2" customFormat="1">
      <c r="A13" s="224" t="s">
        <v>153</v>
      </c>
      <c r="B13" s="35" t="str">
        <f>Data!B155</f>
        <v>Incentive on connections engagement</v>
      </c>
      <c r="C13" s="155" t="str">
        <f>'RFPR cover'!$C$14</f>
        <v>£m 12/13</v>
      </c>
      <c r="D13" s="595">
        <v>0</v>
      </c>
      <c r="E13" s="596">
        <v>0</v>
      </c>
      <c r="F13" s="596">
        <v>0</v>
      </c>
      <c r="G13" s="596">
        <v>0</v>
      </c>
      <c r="H13" s="596">
        <v>0</v>
      </c>
      <c r="I13" s="596">
        <v>0</v>
      </c>
      <c r="J13" s="596">
        <v>0</v>
      </c>
      <c r="K13" s="596">
        <v>0</v>
      </c>
      <c r="L13" s="674">
        <f>SUM(D13:INDEX(D13:K13,0,MATCH('RFPR cover'!$C$7,$D$6:$K$6,0)))</f>
        <v>0</v>
      </c>
      <c r="M13" s="675">
        <f t="shared" si="1"/>
        <v>0</v>
      </c>
      <c r="P13" s="944"/>
      <c r="Q13" s="944"/>
      <c r="R13" s="944"/>
      <c r="S13" s="944"/>
      <c r="T13" s="944"/>
      <c r="U13" s="944"/>
    </row>
    <row r="14" spans="1:21" s="2" customFormat="1">
      <c r="A14" s="224" t="s">
        <v>168</v>
      </c>
      <c r="B14" s="35" t="str">
        <f>Data!B156</f>
        <v>Time to Connect Incentive</v>
      </c>
      <c r="C14" s="155" t="str">
        <f>'RFPR cover'!$C$14</f>
        <v>£m 12/13</v>
      </c>
      <c r="D14" s="595">
        <v>0.45710000000000017</v>
      </c>
      <c r="E14" s="596">
        <v>0.66798362121582</v>
      </c>
      <c r="F14" s="596">
        <v>0.74190000000000011</v>
      </c>
      <c r="G14" s="596">
        <v>0.78600000000000014</v>
      </c>
      <c r="H14" s="596">
        <v>0.8</v>
      </c>
      <c r="I14" s="596">
        <v>0.68389910881500193</v>
      </c>
      <c r="J14" s="596">
        <v>0.78600201502838163</v>
      </c>
      <c r="K14" s="596">
        <v>0.78600201502838163</v>
      </c>
      <c r="L14" s="674">
        <f>SUM(D14:INDEX(D14:K14,0,MATCH('RFPR cover'!$C$7,$D$6:$K$6,0)))</f>
        <v>4.1368827300308224</v>
      </c>
      <c r="M14" s="675">
        <f t="shared" si="1"/>
        <v>5.7088867600875863</v>
      </c>
      <c r="P14" s="944"/>
      <c r="Q14" s="944"/>
      <c r="R14" s="944"/>
      <c r="S14" s="944"/>
      <c r="T14" s="944"/>
      <c r="U14" s="944"/>
    </row>
    <row r="15" spans="1:21" s="2" customFormat="1">
      <c r="A15" s="224" t="s">
        <v>169</v>
      </c>
      <c r="B15" s="35" t="str">
        <f>Data!B157</f>
        <v>Losses discretionary reward scheme</v>
      </c>
      <c r="C15" s="155" t="str">
        <f>'RFPR cover'!$C$14</f>
        <v>£m 12/13</v>
      </c>
      <c r="D15" s="595">
        <v>0</v>
      </c>
      <c r="E15" s="596">
        <v>0.04</v>
      </c>
      <c r="F15" s="596">
        <v>0</v>
      </c>
      <c r="G15" s="596">
        <v>0</v>
      </c>
      <c r="H15" s="596">
        <v>0</v>
      </c>
      <c r="I15" s="596">
        <v>0</v>
      </c>
      <c r="J15" s="596">
        <v>0</v>
      </c>
      <c r="K15" s="596">
        <v>0</v>
      </c>
      <c r="L15" s="674">
        <f>SUM(D15:INDEX(D15:K15,0,MATCH('RFPR cover'!$C$7,$D$6:$K$6,0)))</f>
        <v>0.04</v>
      </c>
      <c r="M15" s="675">
        <f t="shared" si="1"/>
        <v>0.04</v>
      </c>
      <c r="P15" s="944"/>
      <c r="Q15" s="944"/>
      <c r="R15" s="944"/>
      <c r="S15" s="944"/>
      <c r="T15" s="944"/>
      <c r="U15" s="944"/>
    </row>
    <row r="16" spans="1:21" s="2" customFormat="1">
      <c r="A16" s="224" t="s">
        <v>170</v>
      </c>
      <c r="B16" s="35" t="str">
        <f>Data!B158</f>
        <v/>
      </c>
      <c r="C16" s="155" t="str">
        <f>'RFPR cover'!$C$14</f>
        <v>£m 12/13</v>
      </c>
      <c r="D16" s="595"/>
      <c r="E16" s="596"/>
      <c r="F16" s="596"/>
      <c r="G16" s="596"/>
      <c r="H16" s="596"/>
      <c r="I16" s="596"/>
      <c r="J16" s="596"/>
      <c r="K16" s="596"/>
      <c r="L16" s="674">
        <f>SUM(D16:INDEX(D16:K16,0,MATCH('RFPR cover'!$C$7,$D$6:$K$6,0)))</f>
        <v>0</v>
      </c>
      <c r="M16" s="675">
        <f t="shared" si="1"/>
        <v>0</v>
      </c>
    </row>
    <row r="17" spans="1:16" s="2" customFormat="1">
      <c r="A17" s="224" t="s">
        <v>478</v>
      </c>
      <c r="B17" s="35" t="str">
        <f>Data!B159</f>
        <v/>
      </c>
      <c r="C17" s="155" t="str">
        <f>'RFPR cover'!$C$14</f>
        <v>£m 12/13</v>
      </c>
      <c r="D17" s="847"/>
      <c r="E17" s="848"/>
      <c r="F17" s="848"/>
      <c r="G17" s="848"/>
      <c r="H17" s="848"/>
      <c r="I17" s="848"/>
      <c r="J17" s="848"/>
      <c r="K17" s="849"/>
      <c r="L17" s="674">
        <f>SUM(D17:INDEX(D17:K17,0,MATCH('RFPR cover'!$C$7,$D$6:$K$6,0)))</f>
        <v>0</v>
      </c>
      <c r="M17" s="675">
        <f t="shared" si="1"/>
        <v>0</v>
      </c>
    </row>
    <row r="18" spans="1:16" s="2" customFormat="1">
      <c r="A18" s="35"/>
      <c r="B18" s="12" t="s">
        <v>203</v>
      </c>
      <c r="C18" s="156" t="str">
        <f>'RFPR cover'!$C$14</f>
        <v>£m 12/13</v>
      </c>
      <c r="D18" s="609">
        <f>SUM(D11:D17)</f>
        <v>7.3646413062815359</v>
      </c>
      <c r="E18" s="609">
        <f t="shared" ref="E18:K18" si="2">SUM(E11:E17)</f>
        <v>7.8489457438483372</v>
      </c>
      <c r="F18" s="609">
        <f t="shared" si="2"/>
        <v>6.0015019026671492</v>
      </c>
      <c r="G18" s="609">
        <f t="shared" si="2"/>
        <v>8.3190493827160488</v>
      </c>
      <c r="H18" s="609">
        <f t="shared" si="2"/>
        <v>8.404054561003985</v>
      </c>
      <c r="I18" s="609">
        <f t="shared" si="2"/>
        <v>8.6502713275587801</v>
      </c>
      <c r="J18" s="609">
        <f t="shared" si="2"/>
        <v>7.9265369539303112</v>
      </c>
      <c r="K18" s="609">
        <f t="shared" si="2"/>
        <v>7.8608579415846318</v>
      </c>
      <c r="L18" s="609">
        <f>SUM(L11:L17)</f>
        <v>46.588464224075828</v>
      </c>
      <c r="M18" s="609">
        <f>SUM(M11:M17)</f>
        <v>62.375859119590778</v>
      </c>
    </row>
    <row r="19" spans="1:16" s="2" customFormat="1">
      <c r="A19" s="35"/>
      <c r="B19" s="12"/>
      <c r="C19" s="156"/>
      <c r="D19" s="156"/>
      <c r="E19" s="156"/>
      <c r="F19" s="156"/>
      <c r="G19" s="156"/>
      <c r="H19" s="156"/>
      <c r="I19" s="156"/>
      <c r="J19" s="156"/>
      <c r="K19" s="156"/>
      <c r="L19" s="156"/>
      <c r="M19" s="156"/>
    </row>
    <row r="20" spans="1:16" s="2" customFormat="1">
      <c r="A20" s="35"/>
      <c r="B20" s="12" t="s">
        <v>372</v>
      </c>
      <c r="C20" s="156"/>
      <c r="D20" s="156"/>
      <c r="E20" s="156"/>
      <c r="F20" s="156"/>
      <c r="G20" s="156"/>
      <c r="H20" s="156"/>
      <c r="I20" s="156"/>
      <c r="J20" s="156"/>
      <c r="K20" s="156"/>
      <c r="L20" s="156"/>
      <c r="M20" s="156"/>
    </row>
    <row r="21" spans="1:16" s="2" customFormat="1">
      <c r="A21" s="269" t="str">
        <f>A11</f>
        <v>a</v>
      </c>
      <c r="B21" s="999" t="s">
        <v>639</v>
      </c>
      <c r="C21" s="999"/>
      <c r="D21" s="999"/>
      <c r="E21" s="999"/>
      <c r="F21" s="999"/>
      <c r="G21" s="999"/>
      <c r="H21" s="999"/>
      <c r="I21" s="999"/>
      <c r="J21" s="999"/>
      <c r="K21" s="999"/>
      <c r="L21" s="999"/>
      <c r="M21" s="999"/>
    </row>
    <row r="22" spans="1:16" s="2" customFormat="1">
      <c r="A22" s="269" t="str">
        <f>A12</f>
        <v>b</v>
      </c>
      <c r="B22" s="999" t="s">
        <v>630</v>
      </c>
      <c r="C22" s="999"/>
      <c r="D22" s="999"/>
      <c r="E22" s="999"/>
      <c r="F22" s="999"/>
      <c r="G22" s="999"/>
      <c r="H22" s="999"/>
      <c r="I22" s="999"/>
      <c r="J22" s="999"/>
      <c r="K22" s="999"/>
      <c r="L22" s="999"/>
      <c r="M22" s="999"/>
    </row>
    <row r="23" spans="1:16" s="2" customFormat="1">
      <c r="A23" s="269" t="str">
        <f>A13</f>
        <v>c</v>
      </c>
      <c r="B23" s="999"/>
      <c r="C23" s="999"/>
      <c r="D23" s="999"/>
      <c r="E23" s="999"/>
      <c r="F23" s="999"/>
      <c r="G23" s="999"/>
      <c r="H23" s="999"/>
      <c r="I23" s="999"/>
      <c r="J23" s="999"/>
      <c r="K23" s="999"/>
      <c r="L23" s="999"/>
      <c r="M23" s="999"/>
    </row>
    <row r="24" spans="1:16" s="2" customFormat="1">
      <c r="A24" s="269" t="str">
        <f>A14</f>
        <v>d</v>
      </c>
      <c r="B24" s="999"/>
      <c r="C24" s="999"/>
      <c r="D24" s="999"/>
      <c r="E24" s="999"/>
      <c r="F24" s="999"/>
      <c r="G24" s="999"/>
      <c r="H24" s="999"/>
      <c r="I24" s="999"/>
      <c r="J24" s="999"/>
      <c r="K24" s="999"/>
      <c r="L24" s="999"/>
      <c r="M24" s="999"/>
    </row>
    <row r="25" spans="1:16" s="2" customFormat="1">
      <c r="A25" s="269" t="str">
        <f>A15</f>
        <v>e</v>
      </c>
      <c r="B25" s="999"/>
      <c r="C25" s="999"/>
      <c r="D25" s="999"/>
      <c r="E25" s="999"/>
      <c r="F25" s="999"/>
      <c r="G25" s="999"/>
      <c r="H25" s="999"/>
      <c r="I25" s="999"/>
      <c r="J25" s="999"/>
      <c r="K25" s="999"/>
      <c r="L25" s="999"/>
      <c r="M25" s="999"/>
    </row>
    <row r="26" spans="1:16" s="2" customFormat="1">
      <c r="A26" s="269" t="s">
        <v>170</v>
      </c>
      <c r="B26" s="843"/>
      <c r="C26" s="843"/>
      <c r="D26" s="843"/>
      <c r="E26" s="843"/>
      <c r="F26" s="843"/>
      <c r="G26" s="843"/>
      <c r="H26" s="843"/>
      <c r="I26" s="843"/>
      <c r="J26" s="843"/>
      <c r="K26" s="843"/>
      <c r="L26" s="843"/>
      <c r="M26" s="843"/>
    </row>
    <row r="27" spans="1:16" s="2" customFormat="1">
      <c r="A27" s="269" t="s">
        <v>478</v>
      </c>
      <c r="B27" s="843"/>
      <c r="C27" s="843"/>
      <c r="D27" s="843"/>
      <c r="E27" s="843"/>
      <c r="F27" s="843"/>
      <c r="G27" s="843"/>
      <c r="H27" s="843"/>
      <c r="I27" s="843"/>
      <c r="J27" s="843"/>
      <c r="K27" s="843"/>
      <c r="L27" s="843"/>
      <c r="M27" s="843"/>
    </row>
    <row r="28" spans="1:16" s="532" customFormat="1">
      <c r="A28" s="38"/>
      <c r="B28" s="536"/>
      <c r="C28" s="536"/>
      <c r="D28" s="536"/>
      <c r="E28" s="536"/>
      <c r="F28" s="536"/>
      <c r="G28" s="536"/>
      <c r="H28" s="536"/>
      <c r="I28" s="536"/>
      <c r="J28" s="536"/>
      <c r="K28" s="536"/>
      <c r="L28" s="536"/>
      <c r="M28" s="536"/>
    </row>
    <row r="29" spans="1:16" s="2" customFormat="1">
      <c r="B29" s="12"/>
      <c r="C29" s="136"/>
      <c r="D29" s="51"/>
      <c r="E29" s="51"/>
      <c r="F29" s="51"/>
      <c r="G29" s="51"/>
      <c r="H29" s="51"/>
      <c r="I29" s="51"/>
      <c r="J29" s="51"/>
      <c r="K29" s="51"/>
    </row>
    <row r="30" spans="1:16" s="2" customFormat="1">
      <c r="A30" s="35"/>
      <c r="B30" s="116" t="s">
        <v>200</v>
      </c>
      <c r="C30" s="150"/>
      <c r="D30" s="80"/>
      <c r="E30" s="80"/>
      <c r="F30" s="80"/>
      <c r="G30" s="80"/>
      <c r="H30" s="80"/>
      <c r="I30" s="80"/>
      <c r="J30" s="80"/>
      <c r="K30" s="80"/>
      <c r="L30" s="80"/>
      <c r="M30" s="80"/>
      <c r="N30" s="80"/>
    </row>
    <row r="31" spans="1:16" s="2" customFormat="1">
      <c r="A31" s="35"/>
      <c r="B31" s="35"/>
      <c r="C31" s="35"/>
      <c r="D31" s="35"/>
      <c r="E31" s="35"/>
      <c r="F31" s="35"/>
      <c r="G31" s="35"/>
      <c r="H31" s="35"/>
      <c r="I31" s="35"/>
      <c r="J31" s="35"/>
      <c r="K31" s="35"/>
      <c r="L31" s="35"/>
      <c r="M31" s="35"/>
      <c r="N31" s="35"/>
      <c r="O31" s="35"/>
      <c r="P31" s="35"/>
    </row>
    <row r="32" spans="1:16" s="2" customFormat="1">
      <c r="A32" s="35"/>
      <c r="B32" s="367" t="s">
        <v>211</v>
      </c>
      <c r="C32" s="291"/>
      <c r="D32" s="293"/>
      <c r="E32" s="293"/>
      <c r="F32" s="293"/>
      <c r="G32" s="293"/>
      <c r="H32" s="293"/>
      <c r="I32" s="293"/>
      <c r="J32" s="293"/>
      <c r="K32" s="293"/>
      <c r="L32" s="293"/>
      <c r="M32" s="293"/>
      <c r="N32" s="293"/>
    </row>
    <row r="33" spans="1:14" s="2" customFormat="1">
      <c r="A33" s="35"/>
      <c r="B33" s="368" t="s">
        <v>241</v>
      </c>
      <c r="C33" s="291"/>
      <c r="D33" s="293"/>
      <c r="E33" s="293"/>
      <c r="F33" s="293"/>
      <c r="G33" s="293"/>
      <c r="H33" s="293"/>
      <c r="I33" s="293"/>
      <c r="J33" s="293"/>
      <c r="K33" s="293"/>
      <c r="L33" s="293"/>
      <c r="M33" s="293"/>
      <c r="N33" s="293"/>
    </row>
    <row r="34" spans="1:14" s="2" customFormat="1">
      <c r="A34" s="35"/>
      <c r="B34" s="368" t="s">
        <v>479</v>
      </c>
      <c r="C34" s="291"/>
      <c r="D34" s="293"/>
      <c r="E34" s="293"/>
      <c r="F34" s="293"/>
      <c r="G34" s="293"/>
      <c r="H34" s="293"/>
      <c r="I34" s="293"/>
      <c r="J34" s="293"/>
      <c r="K34" s="293"/>
      <c r="L34" s="293"/>
      <c r="M34" s="293"/>
      <c r="N34" s="293"/>
    </row>
    <row r="35" spans="1:14" s="2" customFormat="1">
      <c r="A35" s="35"/>
      <c r="B35" s="368" t="s">
        <v>209</v>
      </c>
      <c r="C35" s="291"/>
      <c r="D35" s="293"/>
      <c r="E35" s="293"/>
      <c r="F35" s="293"/>
      <c r="G35" s="293"/>
      <c r="H35" s="293"/>
      <c r="I35" s="293"/>
      <c r="J35" s="293"/>
      <c r="K35" s="293"/>
      <c r="L35" s="293"/>
      <c r="M35" s="293"/>
      <c r="N35" s="293"/>
    </row>
    <row r="36" spans="1:14" s="2" customFormat="1">
      <c r="A36" s="35"/>
      <c r="B36" s="368" t="s">
        <v>202</v>
      </c>
      <c r="C36" s="291"/>
      <c r="D36" s="293"/>
      <c r="E36" s="293"/>
      <c r="F36" s="293"/>
      <c r="G36" s="293"/>
      <c r="H36" s="293"/>
      <c r="I36" s="293"/>
      <c r="J36" s="293"/>
      <c r="K36" s="293"/>
      <c r="L36" s="293"/>
      <c r="M36" s="293"/>
      <c r="N36" s="293"/>
    </row>
    <row r="37" spans="1:14" s="2" customFormat="1">
      <c r="A37" s="35"/>
      <c r="B37" s="368" t="s">
        <v>208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5" t="str">
        <f>$B$11&amp;""</f>
        <v>Broad measure of customer service</v>
      </c>
      <c r="C39" s="155" t="str">
        <f>'RFPR cover'!$C$14</f>
        <v>£m 12/13</v>
      </c>
      <c r="D39" s="670">
        <f>D51</f>
        <v>2.0995200000000009</v>
      </c>
      <c r="E39" s="670">
        <f t="shared" ref="E39:K39" si="4">E51</f>
        <v>1.9907370000000002</v>
      </c>
      <c r="F39" s="670">
        <f t="shared" si="4"/>
        <v>2.2315499999999999</v>
      </c>
      <c r="G39" s="670">
        <f t="shared" si="4"/>
        <v>2.1732300000000002</v>
      </c>
      <c r="H39" s="670">
        <f t="shared" si="4"/>
        <v>2.2011750000000001</v>
      </c>
      <c r="I39" s="670">
        <f t="shared" si="4"/>
        <v>2.2011750000000001</v>
      </c>
      <c r="J39" s="670">
        <f t="shared" si="4"/>
        <v>2.2011750000000001</v>
      </c>
      <c r="K39" s="670">
        <f t="shared" si="4"/>
        <v>2.2011750000000001</v>
      </c>
      <c r="L39" s="670">
        <f>SUM(D39:INDEX(D39:K39,0,MATCH('RFPR cover'!$C$7,$D$6:$K$6,0)))</f>
        <v>12.897387000000002</v>
      </c>
      <c r="M39" s="671">
        <f t="shared" ref="M39:M45" si="5">SUM(D39:K39)</f>
        <v>17.299737</v>
      </c>
    </row>
    <row r="40" spans="1:14" s="2" customFormat="1">
      <c r="A40" s="160" t="str">
        <f t="shared" si="3"/>
        <v>b</v>
      </c>
      <c r="B40" s="35" t="str">
        <f>$B$12&amp;""</f>
        <v>Interruptions-related quality of service</v>
      </c>
      <c r="C40" s="155" t="str">
        <f>'RFPR cover'!$C$14</f>
        <v>£m 12/13</v>
      </c>
      <c r="D40" s="670">
        <f>D55</f>
        <v>3.4955884580880436</v>
      </c>
      <c r="E40" s="670">
        <f t="shared" ref="E40:K40" si="6">E55</f>
        <v>3.7934423193323394</v>
      </c>
      <c r="F40" s="670">
        <f t="shared" si="6"/>
        <v>2.0287275411603911</v>
      </c>
      <c r="G40" s="670">
        <f t="shared" si="6"/>
        <v>3.9285400000000004</v>
      </c>
      <c r="H40" s="670">
        <f t="shared" si="6"/>
        <v>3.9581091944132281</v>
      </c>
      <c r="I40" s="670">
        <f t="shared" si="6"/>
        <v>4.2515864971824611</v>
      </c>
      <c r="J40" s="670">
        <f t="shared" si="6"/>
        <v>3.5826583005105626</v>
      </c>
      <c r="K40" s="670">
        <f t="shared" si="6"/>
        <v>3.5294583005105631</v>
      </c>
      <c r="L40" s="674">
        <f>SUM(D40:INDEX(D40:K40,0,MATCH('RFPR cover'!$C$7,$D$6:$K$6,0)))</f>
        <v>21.455994010176465</v>
      </c>
      <c r="M40" s="675">
        <f t="shared" si="5"/>
        <v>28.568110611197589</v>
      </c>
    </row>
    <row r="41" spans="1:14" s="2" customFormat="1">
      <c r="A41" s="160" t="str">
        <f t="shared" si="3"/>
        <v>c</v>
      </c>
      <c r="B41" s="35" t="str">
        <f>$B$13&amp;""</f>
        <v>Incentive on connections engagement</v>
      </c>
      <c r="C41" s="155" t="str">
        <f>'RFPR cover'!$C$14</f>
        <v>£m 12/13</v>
      </c>
      <c r="D41" s="670">
        <f>D59</f>
        <v>0</v>
      </c>
      <c r="E41" s="670">
        <f t="shared" ref="E41:K41" si="7">E59</f>
        <v>0</v>
      </c>
      <c r="F41" s="670">
        <f t="shared" si="7"/>
        <v>0</v>
      </c>
      <c r="G41" s="670">
        <f t="shared" si="7"/>
        <v>0</v>
      </c>
      <c r="H41" s="670">
        <f t="shared" si="7"/>
        <v>0</v>
      </c>
      <c r="I41" s="670">
        <f t="shared" si="7"/>
        <v>0</v>
      </c>
      <c r="J41" s="670">
        <f t="shared" si="7"/>
        <v>0</v>
      </c>
      <c r="K41" s="670">
        <f t="shared" si="7"/>
        <v>0</v>
      </c>
      <c r="L41" s="674">
        <f>SUM(D41:INDEX(D41:K41,0,MATCH('RFPR cover'!$C$7,$D$6:$K$6,0)))</f>
        <v>0</v>
      </c>
      <c r="M41" s="675">
        <f t="shared" si="5"/>
        <v>0</v>
      </c>
    </row>
    <row r="42" spans="1:14" s="2" customFormat="1">
      <c r="A42" s="160" t="str">
        <f t="shared" si="3"/>
        <v>d</v>
      </c>
      <c r="B42" s="35" t="str">
        <f>$B$14&amp;""</f>
        <v>Time to Connect Incentive</v>
      </c>
      <c r="C42" s="155" t="str">
        <f>'RFPR cover'!$C$14</f>
        <v>£m 12/13</v>
      </c>
      <c r="D42" s="670">
        <f>D63</f>
        <v>0.37025100000000016</v>
      </c>
      <c r="E42" s="670">
        <f t="shared" ref="E42:K42" si="8">E63</f>
        <v>0.54106673318481424</v>
      </c>
      <c r="F42" s="670">
        <f t="shared" si="8"/>
        <v>0.60093900000000011</v>
      </c>
      <c r="G42" s="670">
        <f t="shared" si="8"/>
        <v>0.63666000000000011</v>
      </c>
      <c r="H42" s="670">
        <f t="shared" si="8"/>
        <v>0.64800000000000013</v>
      </c>
      <c r="I42" s="670">
        <f t="shared" si="8"/>
        <v>0.55395827814015164</v>
      </c>
      <c r="J42" s="670">
        <f t="shared" si="8"/>
        <v>0.63666163217298921</v>
      </c>
      <c r="K42" s="670">
        <f t="shared" si="8"/>
        <v>0.63666163217298921</v>
      </c>
      <c r="L42" s="674">
        <f>SUM(D42:INDEX(D42:K42,0,MATCH('RFPR cover'!$C$7,$D$6:$K$6,0)))</f>
        <v>3.3508750113249661</v>
      </c>
      <c r="M42" s="675">
        <f t="shared" si="5"/>
        <v>4.6241982756709445</v>
      </c>
    </row>
    <row r="43" spans="1:14" s="2" customFormat="1">
      <c r="A43" s="160" t="str">
        <f t="shared" si="3"/>
        <v>e</v>
      </c>
      <c r="B43" s="35" t="str">
        <f>$B$15&amp;""</f>
        <v>Losses discretionary reward scheme</v>
      </c>
      <c r="C43" s="155" t="str">
        <f>'RFPR cover'!$C$14</f>
        <v>£m 12/13</v>
      </c>
      <c r="D43" s="670">
        <f>D67</f>
        <v>0</v>
      </c>
      <c r="E43" s="670">
        <f t="shared" ref="E43:K43" si="9">E67</f>
        <v>3.2400000000000005E-2</v>
      </c>
      <c r="F43" s="670">
        <f t="shared" si="9"/>
        <v>0</v>
      </c>
      <c r="G43" s="670">
        <f t="shared" si="9"/>
        <v>0</v>
      </c>
      <c r="H43" s="670">
        <f t="shared" si="9"/>
        <v>0</v>
      </c>
      <c r="I43" s="670">
        <f t="shared" si="9"/>
        <v>0</v>
      </c>
      <c r="J43" s="670">
        <f t="shared" si="9"/>
        <v>0</v>
      </c>
      <c r="K43" s="670">
        <f t="shared" si="9"/>
        <v>0</v>
      </c>
      <c r="L43" s="674">
        <f>SUM(D43:INDEX(D43:K43,0,MATCH('RFPR cover'!$C$7,$D$6:$K$6,0)))</f>
        <v>3.2400000000000005E-2</v>
      </c>
      <c r="M43" s="675">
        <f t="shared" si="5"/>
        <v>3.2400000000000005E-2</v>
      </c>
    </row>
    <row r="44" spans="1:14" s="2" customFormat="1">
      <c r="A44" s="160" t="str">
        <f t="shared" si="3"/>
        <v>f</v>
      </c>
      <c r="B44" s="35" t="str">
        <f>$B$16&amp;""</f>
        <v/>
      </c>
      <c r="C44" s="155" t="str">
        <f>'RFPR cover'!$C$14</f>
        <v>£m 12/13</v>
      </c>
      <c r="D44" s="670">
        <f>D71</f>
        <v>0</v>
      </c>
      <c r="E44" s="670">
        <f t="shared" ref="E44:K44" si="10">E71</f>
        <v>0</v>
      </c>
      <c r="F44" s="670">
        <f t="shared" si="10"/>
        <v>0</v>
      </c>
      <c r="G44" s="670">
        <f t="shared" si="10"/>
        <v>0</v>
      </c>
      <c r="H44" s="670">
        <f t="shared" si="10"/>
        <v>0</v>
      </c>
      <c r="I44" s="670">
        <f t="shared" si="10"/>
        <v>0</v>
      </c>
      <c r="J44" s="670">
        <f t="shared" si="10"/>
        <v>0</v>
      </c>
      <c r="K44" s="670">
        <f t="shared" si="10"/>
        <v>0</v>
      </c>
      <c r="L44" s="674">
        <f>SUM(D44:INDEX(D44:K44,0,MATCH('RFPR cover'!$C$7,$D$6:$K$6,0)))</f>
        <v>0</v>
      </c>
      <c r="M44" s="675">
        <f t="shared" si="5"/>
        <v>0</v>
      </c>
    </row>
    <row r="45" spans="1:14" s="2" customFormat="1">
      <c r="A45" s="160" t="str">
        <f t="shared" si="3"/>
        <v>g</v>
      </c>
      <c r="B45" s="35" t="str">
        <f>$B$17&amp;""</f>
        <v/>
      </c>
      <c r="C45" s="155" t="str">
        <f>'RFPR cover'!$C$14</f>
        <v>£m 12/13</v>
      </c>
      <c r="D45" s="670">
        <f>D75</f>
        <v>0</v>
      </c>
      <c r="E45" s="670">
        <f t="shared" ref="E45:K45" si="11">E75</f>
        <v>0</v>
      </c>
      <c r="F45" s="670">
        <f t="shared" si="11"/>
        <v>0</v>
      </c>
      <c r="G45" s="670">
        <f t="shared" si="11"/>
        <v>0</v>
      </c>
      <c r="H45" s="670">
        <f t="shared" si="11"/>
        <v>0</v>
      </c>
      <c r="I45" s="670">
        <f t="shared" si="11"/>
        <v>0</v>
      </c>
      <c r="J45" s="670">
        <f t="shared" si="11"/>
        <v>0</v>
      </c>
      <c r="K45" s="670">
        <f t="shared" si="11"/>
        <v>0</v>
      </c>
      <c r="L45" s="674">
        <f>SUM(D45:INDEX(D45:K45,0,MATCH('RFPR cover'!$C$7,$D$6:$K$6,0)))</f>
        <v>0</v>
      </c>
      <c r="M45" s="675">
        <f t="shared" si="5"/>
        <v>0</v>
      </c>
    </row>
    <row r="46" spans="1:14" s="2" customFormat="1">
      <c r="B46" s="12" t="s">
        <v>204</v>
      </c>
      <c r="C46" s="156" t="str">
        <f>'RFPR cover'!$C$14</f>
        <v>£m 12/13</v>
      </c>
      <c r="D46" s="609">
        <f>SUM(D39:D45)</f>
        <v>5.9653594580880451</v>
      </c>
      <c r="E46" s="609">
        <f t="shared" ref="E46:M46" si="12">SUM(E39:E45)</f>
        <v>6.3576460525171541</v>
      </c>
      <c r="F46" s="609">
        <f t="shared" si="12"/>
        <v>4.8612165411603918</v>
      </c>
      <c r="G46" s="609">
        <f t="shared" si="12"/>
        <v>6.7384300000000001</v>
      </c>
      <c r="H46" s="610">
        <f t="shared" si="12"/>
        <v>6.8072841944132279</v>
      </c>
      <c r="I46" s="610">
        <f t="shared" si="12"/>
        <v>7.0067197753226127</v>
      </c>
      <c r="J46" s="610">
        <f t="shared" si="12"/>
        <v>6.4204949326835514</v>
      </c>
      <c r="K46" s="610">
        <f t="shared" si="12"/>
        <v>6.3672949326835528</v>
      </c>
      <c r="L46" s="609">
        <f t="shared" si="12"/>
        <v>37.736656021501432</v>
      </c>
      <c r="M46" s="609">
        <f t="shared" si="12"/>
        <v>50.524445886868534</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80">
        <f>INDEX($D$11:$K$17,MATCH($A49,$A$11:$A$17,0),0)</f>
        <v>2.592000000000001</v>
      </c>
      <c r="E49" s="780">
        <f t="shared" ref="E49:K49" si="13">INDEX($D$11:$K$17,MATCH($A49,$A$11:$A$17,0),0)</f>
        <v>2.4577</v>
      </c>
      <c r="F49" s="780">
        <f t="shared" si="13"/>
        <v>2.7549999999999999</v>
      </c>
      <c r="G49" s="780">
        <f t="shared" si="13"/>
        <v>2.6829999999999998</v>
      </c>
      <c r="H49" s="780">
        <f t="shared" si="13"/>
        <v>2.7174999999999998</v>
      </c>
      <c r="I49" s="780">
        <f t="shared" si="13"/>
        <v>2.7174999999999998</v>
      </c>
      <c r="J49" s="780">
        <f t="shared" si="13"/>
        <v>2.7174999999999998</v>
      </c>
      <c r="K49" s="780">
        <f t="shared" si="13"/>
        <v>2.7174999999999998</v>
      </c>
      <c r="L49" s="780">
        <f>SUM(D49:INDEX(D49:K49,0,MATCH('RFPR cover'!$C$7,$D$6:$K$6,0)))</f>
        <v>15.922699999999999</v>
      </c>
      <c r="M49" s="781">
        <f>SUM(D49:K49)</f>
        <v>21.357700000000001</v>
      </c>
    </row>
    <row r="50" spans="1:13" s="2" customFormat="1">
      <c r="A50" s="160"/>
      <c r="B50" s="35" t="s">
        <v>201</v>
      </c>
      <c r="C50" s="294" t="s">
        <v>202</v>
      </c>
      <c r="D50" s="884">
        <f>IF($C50=$B$33,$B$33,INDEX(Data!$G$14:$G$30,MATCH('R5 - Output Incentives'!D$6+RIGHT('R5 - Output Incentives'!$C50,2),Data!$C$14:$C$30,0),0))</f>
        <v>0.19</v>
      </c>
      <c r="E50" s="885">
        <f>IF($C50=$B$33,$B$33,INDEX(Data!$G$14:$G$30,MATCH('R5 - Output Incentives'!E$6+RIGHT('R5 - Output Incentives'!$C50,2),Data!$C$14:$C$30,0),0))</f>
        <v>0.19</v>
      </c>
      <c r="F50" s="885">
        <f>IF($C50=$B$33,$B$33,INDEX(Data!$G$14:$G$30,MATCH('R5 - Output Incentives'!F$6+RIGHT('R5 - Output Incentives'!$C50,2),Data!$C$14:$C$30,0),0))</f>
        <v>0.19</v>
      </c>
      <c r="G50" s="885">
        <f>IF($C50=$B$33,$B$33,INDEX(Data!$G$14:$G$30,MATCH('R5 - Output Incentives'!G$6+RIGHT('R5 - Output Incentives'!$C50,2),Data!$C$14:$C$30,0),0))</f>
        <v>0.19</v>
      </c>
      <c r="H50" s="885">
        <f>IF($C50=$B$33,$B$33,INDEX(Data!$G$14:$G$30,MATCH('R5 - Output Incentives'!H$6+RIGHT('R5 - Output Incentives'!$C50,2),Data!$C$14:$C$30,0),0))</f>
        <v>0.19</v>
      </c>
      <c r="I50" s="885">
        <f>IF($C50=$B$33,$B$33,INDEX(Data!$G$14:$G$30,MATCH('R5 - Output Incentives'!I$6+RIGHT('R5 - Output Incentives'!$C50,2),Data!$C$14:$C$30,0),0))</f>
        <v>0.19</v>
      </c>
      <c r="J50" s="885">
        <f>IF($C50=$B$33,$B$33,INDEX(Data!$G$14:$G$30,MATCH('R5 - Output Incentives'!J$6+RIGHT('R5 - Output Incentives'!$C50,2),Data!$C$14:$C$30,0),0))</f>
        <v>0.19</v>
      </c>
      <c r="K50" s="886">
        <f>IF($C50=$B$33,$B$33,INDEX(Data!$G$14:$G$30,MATCH('R5 - Output Incentives'!K$6+RIGHT('R5 - Output Incentives'!$C50,2),Data!$C$14:$C$30,0),0))</f>
        <v>0.19</v>
      </c>
      <c r="L50" s="782"/>
      <c r="M50" s="783"/>
    </row>
    <row r="51" spans="1:13" s="2" customFormat="1">
      <c r="A51" s="160"/>
      <c r="B51" s="35" t="s">
        <v>210</v>
      </c>
      <c r="C51" s="155"/>
      <c r="D51" s="609">
        <f>IFERROR(D49*(1-D50),0)</f>
        <v>2.0995200000000009</v>
      </c>
      <c r="E51" s="610">
        <f t="shared" ref="E51:K51" si="14">IFERROR(E49*(1-E50),0)</f>
        <v>1.9907370000000002</v>
      </c>
      <c r="F51" s="610">
        <f t="shared" si="14"/>
        <v>2.2315499999999999</v>
      </c>
      <c r="G51" s="610">
        <f t="shared" si="14"/>
        <v>2.1732300000000002</v>
      </c>
      <c r="H51" s="610">
        <f t="shared" si="14"/>
        <v>2.2011750000000001</v>
      </c>
      <c r="I51" s="610">
        <f t="shared" si="14"/>
        <v>2.2011750000000001</v>
      </c>
      <c r="J51" s="610">
        <f t="shared" si="14"/>
        <v>2.2011750000000001</v>
      </c>
      <c r="K51" s="610">
        <f t="shared" si="14"/>
        <v>2.2011750000000001</v>
      </c>
      <c r="L51" s="668">
        <f>SUM(D51:INDEX(D51:K51,0,MATCH('RFPR cover'!$C$7,$D$6:$K$6,0)))</f>
        <v>12.897387000000002</v>
      </c>
      <c r="M51" s="669">
        <f>SUM(D51:K51)</f>
        <v>17.299737</v>
      </c>
    </row>
    <row r="52" spans="1:13" s="2" customFormat="1">
      <c r="A52" s="160"/>
      <c r="B52" s="50"/>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80">
        <f>INDEX($D$11:$K$17,MATCH($A53,$A$11:$A$17,0),0)</f>
        <v>4.3155413062815349</v>
      </c>
      <c r="E53" s="780">
        <f t="shared" ref="E53:K53" si="15">INDEX($D$11:$K$17,MATCH($A53,$A$11:$A$17,0),0)</f>
        <v>4.6832621226325175</v>
      </c>
      <c r="F53" s="780">
        <f t="shared" si="15"/>
        <v>2.5046019026671491</v>
      </c>
      <c r="G53" s="780">
        <f t="shared" si="15"/>
        <v>4.8500493827160494</v>
      </c>
      <c r="H53" s="780">
        <f t="shared" si="15"/>
        <v>4.8865545610039849</v>
      </c>
      <c r="I53" s="780">
        <f t="shared" si="15"/>
        <v>5.2488722187437791</v>
      </c>
      <c r="J53" s="780">
        <f t="shared" si="15"/>
        <v>4.423034938901929</v>
      </c>
      <c r="K53" s="780">
        <f t="shared" si="15"/>
        <v>4.3573559265562505</v>
      </c>
      <c r="L53" s="670">
        <f>SUM(D53:INDEX(D53:K53,0,MATCH('RFPR cover'!$C$7,$D$6:$K$6,0)))</f>
        <v>26.48888149404501</v>
      </c>
      <c r="M53" s="671">
        <f>SUM(D53:K53)</f>
        <v>35.269272359503191</v>
      </c>
    </row>
    <row r="54" spans="1:13" s="2" customFormat="1">
      <c r="A54" s="160"/>
      <c r="B54" s="35" t="s">
        <v>201</v>
      </c>
      <c r="C54" s="294" t="s">
        <v>202</v>
      </c>
      <c r="D54" s="884">
        <f>IF($C54=$B$33,$B$33,INDEX(Data!$G$14:$G$30,MATCH('R5 - Output Incentives'!D$6+RIGHT('R5 - Output Incentives'!$C54,2),Data!$C$14:$C$30,0),0))</f>
        <v>0.19</v>
      </c>
      <c r="E54" s="885">
        <f>IF($C54=$B$33,$B$33,INDEX(Data!$G$14:$G$30,MATCH('R5 - Output Incentives'!E$6+RIGHT('R5 - Output Incentives'!$C54,2),Data!$C$14:$C$30,0),0))</f>
        <v>0.19</v>
      </c>
      <c r="F54" s="885">
        <f>IF($C54=$B$33,$B$33,INDEX(Data!$G$14:$G$30,MATCH('R5 - Output Incentives'!F$6+RIGHT('R5 - Output Incentives'!$C54,2),Data!$C$14:$C$30,0),0))</f>
        <v>0.19</v>
      </c>
      <c r="G54" s="885">
        <f>IF($C54=$B$33,$B$33,INDEX(Data!$G$14:$G$30,MATCH('R5 - Output Incentives'!G$6+RIGHT('R5 - Output Incentives'!$C54,2),Data!$C$14:$C$30,0),0))</f>
        <v>0.19</v>
      </c>
      <c r="H54" s="885">
        <f>IF($C54=$B$33,$B$33,INDEX(Data!$G$14:$G$30,MATCH('R5 - Output Incentives'!H$6+RIGHT('R5 - Output Incentives'!$C54,2),Data!$C$14:$C$30,0),0))</f>
        <v>0.19</v>
      </c>
      <c r="I54" s="885">
        <f>IF($C54=$B$33,$B$33,INDEX(Data!$G$14:$G$30,MATCH('R5 - Output Incentives'!I$6+RIGHT('R5 - Output Incentives'!$C54,2),Data!$C$14:$C$30,0),0))</f>
        <v>0.19</v>
      </c>
      <c r="J54" s="885">
        <f>IF($C54=$B$33,$B$33,INDEX(Data!$G$14:$G$30,MATCH('R5 - Output Incentives'!J$6+RIGHT('R5 - Output Incentives'!$C54,2),Data!$C$14:$C$30,0),0))</f>
        <v>0.19</v>
      </c>
      <c r="K54" s="886">
        <f>IF($C54=$B$33,$B$33,INDEX(Data!$G$14:$G$30,MATCH('R5 - Output Incentives'!K$6+RIGHT('R5 - Output Incentives'!$C54,2),Data!$C$14:$C$30,0),0))</f>
        <v>0.19</v>
      </c>
      <c r="L54" s="782"/>
      <c r="M54" s="783"/>
    </row>
    <row r="55" spans="1:13" s="2" customFormat="1">
      <c r="A55" s="160"/>
      <c r="B55" s="35" t="s">
        <v>210</v>
      </c>
      <c r="C55" s="155"/>
      <c r="D55" s="609">
        <f>IFERROR(D53*(1-D54),0)</f>
        <v>3.4955884580880436</v>
      </c>
      <c r="E55" s="610">
        <f t="shared" ref="E55:K55" si="16">IFERROR(E53*(1-E54),0)</f>
        <v>3.7934423193323394</v>
      </c>
      <c r="F55" s="610">
        <f t="shared" si="16"/>
        <v>2.0287275411603911</v>
      </c>
      <c r="G55" s="610">
        <f t="shared" si="16"/>
        <v>3.9285400000000004</v>
      </c>
      <c r="H55" s="610">
        <f t="shared" si="16"/>
        <v>3.9581091944132281</v>
      </c>
      <c r="I55" s="610">
        <f t="shared" si="16"/>
        <v>4.2515864971824611</v>
      </c>
      <c r="J55" s="610">
        <f t="shared" si="16"/>
        <v>3.5826583005105626</v>
      </c>
      <c r="K55" s="610">
        <f t="shared" si="16"/>
        <v>3.5294583005105631</v>
      </c>
      <c r="L55" s="668">
        <f>SUM(D55:INDEX(D55:K55,0,MATCH('RFPR cover'!$C$7,$D$6:$K$6,0)))</f>
        <v>21.455994010176465</v>
      </c>
      <c r="M55" s="669">
        <f>SUM(D55:K55)</f>
        <v>28.568110611197589</v>
      </c>
    </row>
    <row r="56" spans="1:13" s="2" customFormat="1">
      <c r="A56" s="160"/>
      <c r="B56" s="50"/>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80">
        <f>INDEX($D$11:$K$17,MATCH($A57,$A$11:$A$17,0),0)</f>
        <v>0</v>
      </c>
      <c r="E57" s="780">
        <f t="shared" ref="E57:K57" si="17">INDEX($D$11:$K$17,MATCH($A57,$A$11:$A$17,0),0)</f>
        <v>0</v>
      </c>
      <c r="F57" s="780">
        <f t="shared" si="17"/>
        <v>0</v>
      </c>
      <c r="G57" s="780">
        <f t="shared" si="17"/>
        <v>0</v>
      </c>
      <c r="H57" s="780">
        <f t="shared" si="17"/>
        <v>0</v>
      </c>
      <c r="I57" s="780">
        <f t="shared" si="17"/>
        <v>0</v>
      </c>
      <c r="J57" s="780">
        <f t="shared" si="17"/>
        <v>0</v>
      </c>
      <c r="K57" s="780">
        <f t="shared" si="17"/>
        <v>0</v>
      </c>
      <c r="L57" s="670">
        <f>SUM(D57:INDEX(D57:K57,0,MATCH('RFPR cover'!$C$7,$D$6:$K$6,0)))</f>
        <v>0</v>
      </c>
      <c r="M57" s="671">
        <f>SUM(D57:K57)</f>
        <v>0</v>
      </c>
    </row>
    <row r="58" spans="1:13" s="2" customFormat="1">
      <c r="A58" s="160"/>
      <c r="B58" s="35" t="s">
        <v>201</v>
      </c>
      <c r="C58" s="294" t="s">
        <v>208</v>
      </c>
      <c r="D58" s="884">
        <f>IF($C58=$B$33,$B$33,INDEX(Data!$G$14:$G$30,MATCH('R5 - Output Incentives'!D$6+RIGHT('R5 - Output Incentives'!$C58,2),Data!$C$14:$C$30,0),0))</f>
        <v>0.19</v>
      </c>
      <c r="E58" s="885">
        <f>IF($C58=$B$33,$B$33,INDEX(Data!$G$14:$G$30,MATCH('R5 - Output Incentives'!E$6+RIGHT('R5 - Output Incentives'!$C58,2),Data!$C$14:$C$30,0),0))</f>
        <v>0.19</v>
      </c>
      <c r="F58" s="885">
        <f>IF($C58=$B$33,$B$33,INDEX(Data!$G$14:$G$30,MATCH('R5 - Output Incentives'!F$6+RIGHT('R5 - Output Incentives'!$C58,2),Data!$C$14:$C$30,0),0))</f>
        <v>0.19</v>
      </c>
      <c r="G58" s="885">
        <f>IF($C58=$B$33,$B$33,INDEX(Data!$G$14:$G$30,MATCH('R5 - Output Incentives'!G$6+RIGHT('R5 - Output Incentives'!$C58,2),Data!$C$14:$C$30,0),0))</f>
        <v>0.19</v>
      </c>
      <c r="H58" s="885">
        <f>IF($C58=$B$33,$B$33,INDEX(Data!$G$14:$G$30,MATCH('R5 - Output Incentives'!H$6+RIGHT('R5 - Output Incentives'!$C58,2),Data!$C$14:$C$30,0),0))</f>
        <v>0.19</v>
      </c>
      <c r="I58" s="885">
        <f>IF($C58=$B$33,$B$33,INDEX(Data!$G$14:$G$30,MATCH('R5 - Output Incentives'!I$6+RIGHT('R5 - Output Incentives'!$C58,2),Data!$C$14:$C$30,0),0))</f>
        <v>0.19</v>
      </c>
      <c r="J58" s="885">
        <f>IF($C58=$B$33,$B$33,INDEX(Data!$G$14:$G$30,MATCH('R5 - Output Incentives'!J$6+RIGHT('R5 - Output Incentives'!$C58,2),Data!$C$14:$C$30,0),0))</f>
        <v>0.19</v>
      </c>
      <c r="K58" s="886">
        <f>IF($C58=$B$33,$B$33,INDEX(Data!$G$14:$G$30,MATCH('R5 - Output Incentives'!K$6+RIGHT('R5 - Output Incentives'!$C58,2),Data!$C$14:$C$30,0),0))</f>
        <v>0.19</v>
      </c>
      <c r="L58" s="782"/>
      <c r="M58" s="783"/>
    </row>
    <row r="59" spans="1:13" s="2" customFormat="1">
      <c r="A59" s="160"/>
      <c r="B59" s="35" t="s">
        <v>210</v>
      </c>
      <c r="C59" s="155"/>
      <c r="D59" s="609">
        <f>IFERROR(D57*(1-D58),0)</f>
        <v>0</v>
      </c>
      <c r="E59" s="610">
        <f t="shared" ref="E59:K59" si="18">IFERROR(E57*(1-E58),0)</f>
        <v>0</v>
      </c>
      <c r="F59" s="610">
        <f t="shared" si="18"/>
        <v>0</v>
      </c>
      <c r="G59" s="610">
        <f t="shared" si="18"/>
        <v>0</v>
      </c>
      <c r="H59" s="610">
        <f t="shared" si="18"/>
        <v>0</v>
      </c>
      <c r="I59" s="610">
        <f t="shared" si="18"/>
        <v>0</v>
      </c>
      <c r="J59" s="610">
        <f t="shared" si="18"/>
        <v>0</v>
      </c>
      <c r="K59" s="610">
        <f t="shared" si="18"/>
        <v>0</v>
      </c>
      <c r="L59" s="668">
        <f>SUM(D59:INDEX(D59:K59,0,MATCH('RFPR cover'!$C$7,$D$6:$K$6,0)))</f>
        <v>0</v>
      </c>
      <c r="M59" s="669">
        <f>SUM(D59:K59)</f>
        <v>0</v>
      </c>
    </row>
    <row r="60" spans="1:13" s="2" customFormat="1">
      <c r="A60" s="160"/>
      <c r="B60" s="50"/>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80">
        <f>INDEX($D$11:$K$17,MATCH($A61,$A$11:$A$17,0),0)</f>
        <v>0.45710000000000017</v>
      </c>
      <c r="E61" s="780">
        <f t="shared" ref="E61:K61" si="19">INDEX($D$11:$K$17,MATCH($A61,$A$11:$A$17,0),0)</f>
        <v>0.66798362121582</v>
      </c>
      <c r="F61" s="780">
        <f t="shared" si="19"/>
        <v>0.74190000000000011</v>
      </c>
      <c r="G61" s="780">
        <f t="shared" si="19"/>
        <v>0.78600000000000014</v>
      </c>
      <c r="H61" s="780">
        <f t="shared" si="19"/>
        <v>0.8</v>
      </c>
      <c r="I61" s="780">
        <f t="shared" si="19"/>
        <v>0.68389910881500193</v>
      </c>
      <c r="J61" s="780">
        <f t="shared" si="19"/>
        <v>0.78600201502838163</v>
      </c>
      <c r="K61" s="780">
        <f t="shared" si="19"/>
        <v>0.78600201502838163</v>
      </c>
      <c r="L61" s="670">
        <f>SUM(D61:INDEX(D61:K61,0,MATCH('RFPR cover'!$C$7,$D$6:$K$6,0)))</f>
        <v>4.1368827300308224</v>
      </c>
      <c r="M61" s="671">
        <f>SUM(D61:K61)</f>
        <v>5.7088867600875863</v>
      </c>
    </row>
    <row r="62" spans="1:13" s="2" customFormat="1">
      <c r="A62" s="160"/>
      <c r="B62" s="35" t="s">
        <v>201</v>
      </c>
      <c r="C62" s="294" t="s">
        <v>202</v>
      </c>
      <c r="D62" s="884">
        <f>IF($C62=$B$33,$B$33,INDEX(Data!$G$14:$G$30,MATCH('R5 - Output Incentives'!D$6+RIGHT('R5 - Output Incentives'!$C62,2),Data!$C$14:$C$30,0),0))</f>
        <v>0.19</v>
      </c>
      <c r="E62" s="885">
        <f>IF($C62=$B$33,$B$33,INDEX(Data!$G$14:$G$30,MATCH('R5 - Output Incentives'!E$6+RIGHT('R5 - Output Incentives'!$C62,2),Data!$C$14:$C$30,0),0))</f>
        <v>0.19</v>
      </c>
      <c r="F62" s="885">
        <f>IF($C62=$B$33,$B$33,INDEX(Data!$G$14:$G$30,MATCH('R5 - Output Incentives'!F$6+RIGHT('R5 - Output Incentives'!$C62,2),Data!$C$14:$C$30,0),0))</f>
        <v>0.19</v>
      </c>
      <c r="G62" s="885">
        <f>IF($C62=$B$33,$B$33,INDEX(Data!$G$14:$G$30,MATCH('R5 - Output Incentives'!G$6+RIGHT('R5 - Output Incentives'!$C62,2),Data!$C$14:$C$30,0),0))</f>
        <v>0.19</v>
      </c>
      <c r="H62" s="885">
        <f>IF($C62=$B$33,$B$33,INDEX(Data!$G$14:$G$30,MATCH('R5 - Output Incentives'!H$6+RIGHT('R5 - Output Incentives'!$C62,2),Data!$C$14:$C$30,0),0))</f>
        <v>0.19</v>
      </c>
      <c r="I62" s="885">
        <f>IF($C62=$B$33,$B$33,INDEX(Data!$G$14:$G$30,MATCH('R5 - Output Incentives'!I$6+RIGHT('R5 - Output Incentives'!$C62,2),Data!$C$14:$C$30,0),0))</f>
        <v>0.19</v>
      </c>
      <c r="J62" s="885">
        <f>IF($C62=$B$33,$B$33,INDEX(Data!$G$14:$G$30,MATCH('R5 - Output Incentives'!J$6+RIGHT('R5 - Output Incentives'!$C62,2),Data!$C$14:$C$30,0),0))</f>
        <v>0.19</v>
      </c>
      <c r="K62" s="886">
        <f>IF($C62=$B$33,$B$33,INDEX(Data!$G$14:$G$30,MATCH('R5 - Output Incentives'!K$6+RIGHT('R5 - Output Incentives'!$C62,2),Data!$C$14:$C$30,0),0))</f>
        <v>0.19</v>
      </c>
      <c r="L62" s="782"/>
      <c r="M62" s="783"/>
    </row>
    <row r="63" spans="1:13" s="2" customFormat="1">
      <c r="A63" s="160"/>
      <c r="B63" s="35" t="s">
        <v>210</v>
      </c>
      <c r="C63" s="155"/>
      <c r="D63" s="609">
        <f>IFERROR(D61*(1-D62),0)</f>
        <v>0.37025100000000016</v>
      </c>
      <c r="E63" s="610">
        <f t="shared" ref="E63:K63" si="20">IFERROR(E61*(1-E62),0)</f>
        <v>0.54106673318481424</v>
      </c>
      <c r="F63" s="610">
        <f t="shared" si="20"/>
        <v>0.60093900000000011</v>
      </c>
      <c r="G63" s="610">
        <f t="shared" si="20"/>
        <v>0.63666000000000011</v>
      </c>
      <c r="H63" s="610">
        <f t="shared" si="20"/>
        <v>0.64800000000000013</v>
      </c>
      <c r="I63" s="610">
        <f t="shared" si="20"/>
        <v>0.55395827814015164</v>
      </c>
      <c r="J63" s="610">
        <f t="shared" si="20"/>
        <v>0.63666163217298921</v>
      </c>
      <c r="K63" s="610">
        <f t="shared" si="20"/>
        <v>0.63666163217298921</v>
      </c>
      <c r="L63" s="668">
        <f>SUM(D63:INDEX(D63:K63,0,MATCH('RFPR cover'!$C$7,$D$6:$K$6,0)))</f>
        <v>3.3508750113249661</v>
      </c>
      <c r="M63" s="669">
        <f>SUM(D63:K63)</f>
        <v>4.6241982756709445</v>
      </c>
    </row>
    <row r="64" spans="1:13" s="2" customFormat="1">
      <c r="A64" s="160"/>
      <c r="B64" s="50"/>
      <c r="C64" s="156"/>
      <c r="D64" s="156"/>
      <c r="E64" s="156"/>
      <c r="F64" s="156"/>
      <c r="G64" s="156"/>
      <c r="H64" s="156"/>
      <c r="I64" s="156"/>
      <c r="J64" s="156"/>
      <c r="K64" s="156"/>
      <c r="L64" s="156"/>
      <c r="M64" s="156"/>
    </row>
    <row r="65" spans="1:14" s="2" customFormat="1">
      <c r="A65" s="160" t="str">
        <f>$A$15</f>
        <v>e</v>
      </c>
      <c r="B65" s="171" t="str">
        <f>INDEX($B$11:$B$15,MATCH($A65,$A$11:$A$15,0),0)&amp;""</f>
        <v>Losses discretionary reward scheme</v>
      </c>
      <c r="C65" s="155" t="str">
        <f>'RFPR cover'!$C$14</f>
        <v>£m 12/13</v>
      </c>
      <c r="D65" s="780">
        <f>INDEX($D$11:$K$17,MATCH($A65,$A$11:$A$17,0),0)</f>
        <v>0</v>
      </c>
      <c r="E65" s="780">
        <f t="shared" ref="E65:K65" si="21">INDEX($D$11:$K$17,MATCH($A65,$A$11:$A$17,0),0)</f>
        <v>0.04</v>
      </c>
      <c r="F65" s="780">
        <f t="shared" si="21"/>
        <v>0</v>
      </c>
      <c r="G65" s="780">
        <f t="shared" si="21"/>
        <v>0</v>
      </c>
      <c r="H65" s="780">
        <f t="shared" si="21"/>
        <v>0</v>
      </c>
      <c r="I65" s="780">
        <f t="shared" si="21"/>
        <v>0</v>
      </c>
      <c r="J65" s="780">
        <f t="shared" si="21"/>
        <v>0</v>
      </c>
      <c r="K65" s="780">
        <f t="shared" si="21"/>
        <v>0</v>
      </c>
      <c r="L65" s="670">
        <f>SUM(D65:INDEX(D65:K65,0,MATCH('RFPR cover'!$C$7,$D$6:$K$6,0)))</f>
        <v>0.04</v>
      </c>
      <c r="M65" s="671">
        <f>SUM(D65:K65)</f>
        <v>0.04</v>
      </c>
    </row>
    <row r="66" spans="1:14" s="2" customFormat="1">
      <c r="A66" s="160"/>
      <c r="B66" s="35" t="s">
        <v>201</v>
      </c>
      <c r="C66" s="294" t="s">
        <v>209</v>
      </c>
      <c r="D66" s="884">
        <f>IF($C66=$B$33,$B$33,INDEX(Data!$G$14:$G$30,MATCH('R5 - Output Incentives'!D$6+RIGHT('R5 - Output Incentives'!$C66,2),Data!$C$14:$C$30,0),0))</f>
        <v>0.2</v>
      </c>
      <c r="E66" s="885">
        <f>IF($C66=$B$33,$B$33,INDEX(Data!$G$14:$G$30,MATCH('R5 - Output Incentives'!E$6+RIGHT('R5 - Output Incentives'!$C66,2),Data!$C$14:$C$30,0),0))</f>
        <v>0.19</v>
      </c>
      <c r="F66" s="885">
        <f>IF($C66=$B$33,$B$33,INDEX(Data!$G$14:$G$30,MATCH('R5 - Output Incentives'!F$6+RIGHT('R5 - Output Incentives'!$C66,2),Data!$C$14:$C$30,0),0))</f>
        <v>0.19</v>
      </c>
      <c r="G66" s="885">
        <f>IF($C66=$B$33,$B$33,INDEX(Data!$G$14:$G$30,MATCH('R5 - Output Incentives'!G$6+RIGHT('R5 - Output Incentives'!$C66,2),Data!$C$14:$C$30,0),0))</f>
        <v>0.19</v>
      </c>
      <c r="H66" s="885">
        <f>IF($C66=$B$33,$B$33,INDEX(Data!$G$14:$G$30,MATCH('R5 - Output Incentives'!H$6+RIGHT('R5 - Output Incentives'!$C66,2),Data!$C$14:$C$30,0),0))</f>
        <v>0.19</v>
      </c>
      <c r="I66" s="885">
        <f>IF($C66=$B$33,$B$33,INDEX(Data!$G$14:$G$30,MATCH('R5 - Output Incentives'!I$6+RIGHT('R5 - Output Incentives'!$C66,2),Data!$C$14:$C$30,0),0))</f>
        <v>0.19</v>
      </c>
      <c r="J66" s="885">
        <f>IF($C66=$B$33,$B$33,INDEX(Data!$G$14:$G$30,MATCH('R5 - Output Incentives'!J$6+RIGHT('R5 - Output Incentives'!$C66,2),Data!$C$14:$C$30,0),0))</f>
        <v>0.19</v>
      </c>
      <c r="K66" s="886">
        <f>IF($C66=$B$33,$B$33,INDEX(Data!$G$14:$G$30,MATCH('R5 - Output Incentives'!K$6+RIGHT('R5 - Output Incentives'!$C66,2),Data!$C$14:$C$30,0),0))</f>
        <v>0.19</v>
      </c>
      <c r="L66" s="782"/>
      <c r="M66" s="783"/>
    </row>
    <row r="67" spans="1:14" s="2" customFormat="1">
      <c r="A67" s="160"/>
      <c r="B67" s="35" t="s">
        <v>210</v>
      </c>
      <c r="C67" s="155"/>
      <c r="D67" s="609">
        <f>IFERROR(D65*(1-D66),0)</f>
        <v>0</v>
      </c>
      <c r="E67" s="610">
        <f t="shared" ref="E67:K67" si="22">IFERROR(E65*(1-E66),0)</f>
        <v>3.2400000000000005E-2</v>
      </c>
      <c r="F67" s="610">
        <f t="shared" si="22"/>
        <v>0</v>
      </c>
      <c r="G67" s="610">
        <f t="shared" si="22"/>
        <v>0</v>
      </c>
      <c r="H67" s="610">
        <f t="shared" si="22"/>
        <v>0</v>
      </c>
      <c r="I67" s="610">
        <f t="shared" si="22"/>
        <v>0</v>
      </c>
      <c r="J67" s="610">
        <f t="shared" si="22"/>
        <v>0</v>
      </c>
      <c r="K67" s="610">
        <f t="shared" si="22"/>
        <v>0</v>
      </c>
      <c r="L67" s="668">
        <f>SUM(D67:INDEX(D67:K67,0,MATCH('RFPR cover'!$C$7,$D$6:$K$6,0)))</f>
        <v>3.2400000000000005E-2</v>
      </c>
      <c r="M67" s="669">
        <f>SUM(D67:K67)</f>
        <v>3.2400000000000005E-2</v>
      </c>
    </row>
    <row r="68" spans="1:14" s="2" customFormat="1">
      <c r="A68" s="160"/>
      <c r="B68" s="50"/>
      <c r="C68" s="156"/>
      <c r="D68" s="156"/>
      <c r="E68" s="156"/>
      <c r="F68" s="156"/>
      <c r="G68" s="156"/>
      <c r="H68" s="156"/>
      <c r="I68" s="156"/>
      <c r="J68" s="156"/>
      <c r="K68" s="156"/>
      <c r="L68" s="156"/>
      <c r="M68" s="156"/>
    </row>
    <row r="69" spans="1:14" s="2" customFormat="1">
      <c r="A69" s="160" t="str">
        <f>$A$16</f>
        <v>f</v>
      </c>
      <c r="B69" s="171" t="str">
        <f>INDEX($B$11:$B$17,MATCH($A69,$A$11:$A$17,0),0)&amp;""</f>
        <v/>
      </c>
      <c r="C69" s="155" t="str">
        <f>'RFPR cover'!$C$14</f>
        <v>£m 12/13</v>
      </c>
      <c r="D69" s="780">
        <f>INDEX($D$11:$K$17,MATCH($A69,$A$11:$A$17,0),0)</f>
        <v>0</v>
      </c>
      <c r="E69" s="780">
        <f t="shared" ref="E69:K69" si="23">INDEX($D$11:$K$17,MATCH($A69,$A$11:$A$17,0),0)</f>
        <v>0</v>
      </c>
      <c r="F69" s="780">
        <f t="shared" si="23"/>
        <v>0</v>
      </c>
      <c r="G69" s="780">
        <f t="shared" si="23"/>
        <v>0</v>
      </c>
      <c r="H69" s="780">
        <f t="shared" si="23"/>
        <v>0</v>
      </c>
      <c r="I69" s="780">
        <f t="shared" si="23"/>
        <v>0</v>
      </c>
      <c r="J69" s="780">
        <f t="shared" si="23"/>
        <v>0</v>
      </c>
      <c r="K69" s="780">
        <f t="shared" si="23"/>
        <v>0</v>
      </c>
      <c r="L69" s="670">
        <f>SUM(D69:INDEX(D69:K69,0,MATCH('RFPR cover'!$C$7,$D$6:$K$6,0)))</f>
        <v>0</v>
      </c>
      <c r="M69" s="671">
        <f>SUM(D69:K69)</f>
        <v>0</v>
      </c>
    </row>
    <row r="70" spans="1:14" s="2" customFormat="1">
      <c r="A70" s="160"/>
      <c r="B70" s="35" t="s">
        <v>201</v>
      </c>
      <c r="C70" s="294" t="s">
        <v>209</v>
      </c>
      <c r="D70" s="884">
        <f>IF($C70=$B$33,$B$33,INDEX(Data!$G$14:$G$30,MATCH('R5 - Output Incentives'!D$6+RIGHT('R5 - Output Incentives'!$C70,2),Data!$C$14:$C$30,0),0))</f>
        <v>0.2</v>
      </c>
      <c r="E70" s="885">
        <f>IF($C70=$B$33,$B$33,INDEX(Data!$G$14:$G$30,MATCH('R5 - Output Incentives'!E$6+RIGHT('R5 - Output Incentives'!$C70,2),Data!$C$14:$C$30,0),0))</f>
        <v>0.19</v>
      </c>
      <c r="F70" s="885">
        <f>IF($C70=$B$33,$B$33,INDEX(Data!$G$14:$G$30,MATCH('R5 - Output Incentives'!F$6+RIGHT('R5 - Output Incentives'!$C70,2),Data!$C$14:$C$30,0),0))</f>
        <v>0.19</v>
      </c>
      <c r="G70" s="885">
        <f>IF($C70=$B$33,$B$33,INDEX(Data!$G$14:$G$30,MATCH('R5 - Output Incentives'!G$6+RIGHT('R5 - Output Incentives'!$C70,2),Data!$C$14:$C$30,0),0))</f>
        <v>0.19</v>
      </c>
      <c r="H70" s="885">
        <f>IF($C70=$B$33,$B$33,INDEX(Data!$G$14:$G$30,MATCH('R5 - Output Incentives'!H$6+RIGHT('R5 - Output Incentives'!$C70,2),Data!$C$14:$C$30,0),0))</f>
        <v>0.19</v>
      </c>
      <c r="I70" s="885">
        <f>IF($C70=$B$33,$B$33,INDEX(Data!$G$14:$G$30,MATCH('R5 - Output Incentives'!I$6+RIGHT('R5 - Output Incentives'!$C70,2),Data!$C$14:$C$30,0),0))</f>
        <v>0.19</v>
      </c>
      <c r="J70" s="885">
        <f>IF($C70=$B$33,$B$33,INDEX(Data!$G$14:$G$30,MATCH('R5 - Output Incentives'!J$6+RIGHT('R5 - Output Incentives'!$C70,2),Data!$C$14:$C$30,0),0))</f>
        <v>0.19</v>
      </c>
      <c r="K70" s="886">
        <f>IF($C70=$B$33,$B$33,INDEX(Data!$G$14:$G$30,MATCH('R5 - Output Incentives'!K$6+RIGHT('R5 - Output Incentives'!$C70,2),Data!$C$14:$C$30,0),0))</f>
        <v>0.19</v>
      </c>
      <c r="L70" s="782"/>
      <c r="M70" s="783"/>
    </row>
    <row r="71" spans="1:14" s="2" customFormat="1">
      <c r="A71" s="160"/>
      <c r="B71" s="35" t="s">
        <v>210</v>
      </c>
      <c r="C71" s="155"/>
      <c r="D71" s="609">
        <f>IFERROR(D69*(1-D70),0)</f>
        <v>0</v>
      </c>
      <c r="E71" s="610">
        <f t="shared" ref="E71:K71" si="24">IFERROR(E69*(1-E70),0)</f>
        <v>0</v>
      </c>
      <c r="F71" s="610">
        <f t="shared" si="24"/>
        <v>0</v>
      </c>
      <c r="G71" s="610">
        <f t="shared" si="24"/>
        <v>0</v>
      </c>
      <c r="H71" s="610">
        <f t="shared" si="24"/>
        <v>0</v>
      </c>
      <c r="I71" s="610">
        <f t="shared" si="24"/>
        <v>0</v>
      </c>
      <c r="J71" s="610">
        <f t="shared" si="24"/>
        <v>0</v>
      </c>
      <c r="K71" s="610">
        <f t="shared" si="24"/>
        <v>0</v>
      </c>
      <c r="L71" s="668">
        <f>SUM(D71:INDEX(D71:K71,0,MATCH('RFPR cover'!$C$7,$D$6:$K$6,0)))</f>
        <v>0</v>
      </c>
      <c r="M71" s="669">
        <f>SUM(D71:K71)</f>
        <v>0</v>
      </c>
    </row>
    <row r="72" spans="1:14" s="2" customFormat="1">
      <c r="A72" s="160"/>
      <c r="B72" s="50"/>
      <c r="C72" s="156"/>
      <c r="D72" s="156"/>
      <c r="E72" s="156"/>
      <c r="F72" s="156"/>
      <c r="G72" s="156"/>
      <c r="H72" s="156"/>
      <c r="I72" s="156"/>
      <c r="J72" s="156"/>
      <c r="K72" s="156"/>
      <c r="L72" s="156"/>
      <c r="M72" s="156"/>
    </row>
    <row r="73" spans="1:14" s="2" customFormat="1">
      <c r="A73" s="160" t="s">
        <v>478</v>
      </c>
      <c r="B73" s="171" t="str">
        <f>INDEX($B$11:$B$17,MATCH($A73,$A$11:$A$17,0),0)&amp;""</f>
        <v/>
      </c>
      <c r="C73" s="155" t="str">
        <f>'RFPR cover'!$C$14</f>
        <v>£m 12/13</v>
      </c>
      <c r="D73" s="780">
        <f>INDEX($D$11:$K$17,MATCH($A73,$A$11:$A$17,0),0)</f>
        <v>0</v>
      </c>
      <c r="E73" s="780">
        <f t="shared" ref="E73:K73" si="25">INDEX($D$11:$K$17,MATCH($A73,$A$11:$A$17,0),0)</f>
        <v>0</v>
      </c>
      <c r="F73" s="780">
        <f t="shared" si="25"/>
        <v>0</v>
      </c>
      <c r="G73" s="780">
        <f t="shared" si="25"/>
        <v>0</v>
      </c>
      <c r="H73" s="780">
        <f t="shared" si="25"/>
        <v>0</v>
      </c>
      <c r="I73" s="780">
        <f t="shared" si="25"/>
        <v>0</v>
      </c>
      <c r="J73" s="780">
        <f t="shared" si="25"/>
        <v>0</v>
      </c>
      <c r="K73" s="780">
        <f t="shared" si="25"/>
        <v>0</v>
      </c>
      <c r="L73" s="670">
        <f>SUM(D73:INDEX(D73:K73,0,MATCH('RFPR cover'!$C$7,$D$6:$K$6,0)))</f>
        <v>0</v>
      </c>
      <c r="M73" s="671">
        <f>SUM(D73:K73)</f>
        <v>0</v>
      </c>
    </row>
    <row r="74" spans="1:14" s="2" customFormat="1">
      <c r="A74" s="160"/>
      <c r="B74" s="35" t="s">
        <v>201</v>
      </c>
      <c r="C74" s="294" t="s">
        <v>209</v>
      </c>
      <c r="D74" s="884">
        <f>IF($C74=$B$33,$B$33,INDEX(Data!$G$14:$G$30,MATCH('R5 - Output Incentives'!D$6+RIGHT('R5 - Output Incentives'!$C74,2),Data!$C$14:$C$30,0),0))</f>
        <v>0.2</v>
      </c>
      <c r="E74" s="885">
        <f>IF($C74=$B$33,$B$33,INDEX(Data!$G$14:$G$30,MATCH('R5 - Output Incentives'!E$6+RIGHT('R5 - Output Incentives'!$C74,2),Data!$C$14:$C$30,0),0))</f>
        <v>0.19</v>
      </c>
      <c r="F74" s="885">
        <f>IF($C74=$B$33,$B$33,INDEX(Data!$G$14:$G$30,MATCH('R5 - Output Incentives'!F$6+RIGHT('R5 - Output Incentives'!$C74,2),Data!$C$14:$C$30,0),0))</f>
        <v>0.19</v>
      </c>
      <c r="G74" s="885">
        <f>IF($C74=$B$33,$B$33,INDEX(Data!$G$14:$G$30,MATCH('R5 - Output Incentives'!G$6+RIGHT('R5 - Output Incentives'!$C74,2),Data!$C$14:$C$30,0),0))</f>
        <v>0.19</v>
      </c>
      <c r="H74" s="885">
        <f>IF($C74=$B$33,$B$33,INDEX(Data!$G$14:$G$30,MATCH('R5 - Output Incentives'!H$6+RIGHT('R5 - Output Incentives'!$C74,2),Data!$C$14:$C$30,0),0))</f>
        <v>0.19</v>
      </c>
      <c r="I74" s="885">
        <f>IF($C74=$B$33,$B$33,INDEX(Data!$G$14:$G$30,MATCH('R5 - Output Incentives'!I$6+RIGHT('R5 - Output Incentives'!$C74,2),Data!$C$14:$C$30,0),0))</f>
        <v>0.19</v>
      </c>
      <c r="J74" s="885">
        <f>IF($C74=$B$33,$B$33,INDEX(Data!$G$14:$G$30,MATCH('R5 - Output Incentives'!J$6+RIGHT('R5 - Output Incentives'!$C74,2),Data!$C$14:$C$30,0),0))</f>
        <v>0.19</v>
      </c>
      <c r="K74" s="886">
        <f>IF($C74=$B$33,$B$33,INDEX(Data!$G$14:$G$30,MATCH('R5 - Output Incentives'!K$6+RIGHT('R5 - Output Incentives'!$C74,2),Data!$C$14:$C$30,0),0))</f>
        <v>0.19</v>
      </c>
      <c r="L74" s="782"/>
      <c r="M74" s="783"/>
    </row>
    <row r="75" spans="1:14" s="2" customFormat="1">
      <c r="A75" s="160"/>
      <c r="B75" s="35" t="s">
        <v>210</v>
      </c>
      <c r="C75" s="155"/>
      <c r="D75" s="609">
        <f>IFERROR(D73*(1-D74),0)</f>
        <v>0</v>
      </c>
      <c r="E75" s="610">
        <f t="shared" ref="E75:K75" si="26">IFERROR(E73*(1-E74),0)</f>
        <v>0</v>
      </c>
      <c r="F75" s="610">
        <f t="shared" si="26"/>
        <v>0</v>
      </c>
      <c r="G75" s="610">
        <f t="shared" si="26"/>
        <v>0</v>
      </c>
      <c r="H75" s="610">
        <f t="shared" si="26"/>
        <v>0</v>
      </c>
      <c r="I75" s="610">
        <f t="shared" si="26"/>
        <v>0</v>
      </c>
      <c r="J75" s="610">
        <f t="shared" si="26"/>
        <v>0</v>
      </c>
      <c r="K75" s="610">
        <f t="shared" si="26"/>
        <v>0</v>
      </c>
      <c r="L75" s="668">
        <f>SUM(D75:INDEX(D75:K75,0,MATCH('RFPR cover'!$C$7,$D$6:$K$6,0)))</f>
        <v>0</v>
      </c>
      <c r="M75" s="669">
        <f>SUM(D75:K75)</f>
        <v>0</v>
      </c>
    </row>
    <row r="76" spans="1:14" s="532" customFormat="1" ht="14.25" customHeight="1">
      <c r="A76" s="531"/>
      <c r="C76" s="533"/>
      <c r="D76" s="534"/>
      <c r="E76" s="534"/>
      <c r="F76" s="534"/>
      <c r="G76" s="534"/>
      <c r="H76" s="534"/>
      <c r="I76" s="534"/>
      <c r="J76" s="534"/>
      <c r="K76" s="534"/>
      <c r="L76" s="535"/>
      <c r="M76" s="535"/>
    </row>
    <row r="77" spans="1:14" s="2" customFormat="1">
      <c r="B77" s="116" t="s">
        <v>395</v>
      </c>
      <c r="C77" s="150"/>
      <c r="D77" s="133"/>
      <c r="E77" s="133"/>
      <c r="F77" s="133"/>
      <c r="G77" s="133"/>
      <c r="H77" s="133"/>
      <c r="I77" s="133"/>
      <c r="J77" s="133"/>
      <c r="K77" s="133"/>
      <c r="L77" s="80"/>
      <c r="M77" s="80"/>
      <c r="N77" s="80"/>
    </row>
    <row r="78" spans="1:14" s="2" customFormat="1">
      <c r="B78" s="367" t="s">
        <v>394</v>
      </c>
      <c r="C78" s="291"/>
      <c r="D78" s="292"/>
      <c r="E78" s="292"/>
      <c r="F78" s="292"/>
      <c r="G78" s="292"/>
      <c r="H78" s="292"/>
      <c r="I78" s="292"/>
      <c r="J78" s="292"/>
      <c r="K78" s="292"/>
      <c r="L78" s="293"/>
      <c r="M78" s="293"/>
      <c r="N78" s="293"/>
    </row>
    <row r="79" spans="1:14" s="2" customFormat="1">
      <c r="B79" s="367" t="s">
        <v>396</v>
      </c>
      <c r="C79" s="291"/>
      <c r="D79" s="292"/>
      <c r="E79" s="292"/>
      <c r="F79" s="292"/>
      <c r="G79" s="292"/>
      <c r="H79" s="292"/>
      <c r="I79" s="292"/>
      <c r="J79" s="292"/>
      <c r="K79" s="292"/>
      <c r="L79" s="293"/>
      <c r="M79" s="293"/>
      <c r="N79" s="293"/>
    </row>
    <row r="80" spans="1:14" s="532" customFormat="1">
      <c r="B80" s="537"/>
      <c r="C80" s="538"/>
      <c r="D80" s="539"/>
      <c r="E80" s="539"/>
      <c r="F80" s="539"/>
      <c r="G80" s="539"/>
      <c r="H80" s="539"/>
      <c r="I80" s="539"/>
      <c r="J80" s="539"/>
      <c r="K80" s="539"/>
    </row>
    <row r="81" spans="1:22" s="2" customFormat="1">
      <c r="B81" s="12"/>
      <c r="C81" s="540" t="s">
        <v>397</v>
      </c>
      <c r="D81" s="543" t="str">
        <f t="shared" ref="D81:K81" si="27">IF($C50=$B$33,D$6,IF(D$6-RIGHT($C50,1)&lt;$D$6,"Pre-RIIO",D$6-RIGHT($C50,1)))</f>
        <v>Pre-RIIO</v>
      </c>
      <c r="E81" s="544" t="str">
        <f t="shared" si="27"/>
        <v>Pre-RIIO</v>
      </c>
      <c r="F81" s="544">
        <f t="shared" si="27"/>
        <v>2016</v>
      </c>
      <c r="G81" s="544">
        <f t="shared" si="27"/>
        <v>2017</v>
      </c>
      <c r="H81" s="544">
        <f t="shared" si="27"/>
        <v>2018</v>
      </c>
      <c r="I81" s="544">
        <f t="shared" si="27"/>
        <v>2019</v>
      </c>
      <c r="J81" s="544">
        <f t="shared" si="27"/>
        <v>2020</v>
      </c>
      <c r="K81" s="545">
        <f t="shared" si="27"/>
        <v>2021</v>
      </c>
    </row>
    <row r="82" spans="1:22" s="2" customFormat="1">
      <c r="A82" s="3" t="str">
        <f>A11</f>
        <v>a</v>
      </c>
      <c r="B82" s="129" t="str">
        <f>B11&amp;""</f>
        <v>Broad measure of customer service</v>
      </c>
      <c r="C82" s="136" t="s">
        <v>128</v>
      </c>
      <c r="D82" s="637">
        <v>1.5318180553499996</v>
      </c>
      <c r="E82" s="638">
        <v>1.6797453762794363</v>
      </c>
      <c r="F82" s="638">
        <v>2.7483410074588748</v>
      </c>
      <c r="G82" s="638">
        <v>2.6569000740000011</v>
      </c>
      <c r="H82" s="616">
        <v>3.0954185756615917</v>
      </c>
      <c r="I82" s="616">
        <v>3.1066327332175332</v>
      </c>
      <c r="J82" s="616">
        <v>3.2280357004189226</v>
      </c>
      <c r="K82" s="616">
        <f>+I11*Data!H$34</f>
        <v>3.2671863594564212</v>
      </c>
      <c r="O82" s="946"/>
      <c r="P82" s="946"/>
      <c r="Q82" s="946"/>
      <c r="R82" s="946"/>
      <c r="S82" s="946"/>
      <c r="T82" s="946"/>
      <c r="U82" s="946"/>
      <c r="V82" s="946"/>
    </row>
    <row r="83" spans="1:22" s="2" customFormat="1">
      <c r="A83" s="3"/>
      <c r="B83" s="129"/>
      <c r="C83" s="136"/>
      <c r="D83" s="136"/>
      <c r="E83" s="136"/>
      <c r="F83" s="136"/>
      <c r="G83" s="136"/>
      <c r="H83" s="136"/>
      <c r="I83" s="136"/>
      <c r="J83" s="136"/>
      <c r="K83" s="136"/>
      <c r="L83" s="136"/>
      <c r="O83" s="946"/>
      <c r="P83" s="946"/>
      <c r="Q83" s="946"/>
      <c r="R83" s="946"/>
      <c r="S83" s="946"/>
      <c r="T83" s="946"/>
      <c r="U83" s="946"/>
      <c r="V83" s="946"/>
    </row>
    <row r="84" spans="1:22" s="2" customFormat="1">
      <c r="A84" s="3"/>
      <c r="B84" s="129"/>
      <c r="C84" s="540" t="s">
        <v>397</v>
      </c>
      <c r="D84" s="543" t="str">
        <f t="shared" ref="D84:K84" si="28">IF($C54=$B$33,D$6,IF(D$6-RIGHT($C54,1)&lt;$D$6,"Pre-RIIO",D$6-RIGHT($C54,1)))</f>
        <v>Pre-RIIO</v>
      </c>
      <c r="E84" s="544" t="str">
        <f t="shared" si="28"/>
        <v>Pre-RIIO</v>
      </c>
      <c r="F84" s="544">
        <f t="shared" si="28"/>
        <v>2016</v>
      </c>
      <c r="G84" s="544">
        <f t="shared" si="28"/>
        <v>2017</v>
      </c>
      <c r="H84" s="544">
        <f t="shared" si="28"/>
        <v>2018</v>
      </c>
      <c r="I84" s="544">
        <f t="shared" si="28"/>
        <v>2019</v>
      </c>
      <c r="J84" s="544">
        <f t="shared" si="28"/>
        <v>2020</v>
      </c>
      <c r="K84" s="545">
        <f t="shared" si="28"/>
        <v>2021</v>
      </c>
      <c r="O84" s="946"/>
      <c r="P84" s="946"/>
      <c r="Q84" s="946"/>
      <c r="R84" s="946"/>
      <c r="S84" s="946"/>
      <c r="T84" s="946"/>
      <c r="U84" s="946"/>
      <c r="V84" s="946"/>
    </row>
    <row r="85" spans="1:22" s="2" customFormat="1">
      <c r="A85" s="3" t="str">
        <f>A12</f>
        <v>b</v>
      </c>
      <c r="B85" s="129" t="str">
        <f>B12&amp;""</f>
        <v>Interruptions-related quality of service</v>
      </c>
      <c r="C85" s="136" t="s">
        <v>128</v>
      </c>
      <c r="D85" s="637">
        <v>4.8450475039499992</v>
      </c>
      <c r="E85" s="638">
        <v>4.7026683197999999</v>
      </c>
      <c r="F85" s="638">
        <v>5.2112505332402117</v>
      </c>
      <c r="G85" s="638">
        <v>5.8535884616814347</v>
      </c>
      <c r="H85" s="616">
        <v>3.2193322062076191</v>
      </c>
      <c r="I85" s="616">
        <f>+G12*(1+(Data!H$63*Data!$E$83)+(Data!$C$83*(1-Data!$E$83)))*(1+(Data!I$63*Data!$E$83)+(Data!$C$83*(1-Data!$E$83)))*1.217</f>
        <v>6.3075545434771403</v>
      </c>
      <c r="J85" s="616">
        <f>+H12*(1+(Data!I$63*Data!$E$83)+(Data!$C$83*(1-Data!$E$83)))*(1+(Data!J$63*Data!$E$83)+(Data!$C$83*(1-Data!$E$83)))*1.238</f>
        <v>6.4313919937153905</v>
      </c>
      <c r="K85" s="616">
        <f>+I12*(1+(Data!J$63*Data!$E$83)+(Data!$C$83*(1-Data!$E$83)))*(1+(Data!K$63*Data!$E$83)+(Data!$C$83*(1-Data!$E$83)))*Data!J$34</f>
        <v>7.0618237297232271</v>
      </c>
      <c r="O85" s="946"/>
      <c r="P85" s="946"/>
      <c r="Q85" s="946"/>
      <c r="R85" s="946"/>
      <c r="S85" s="946"/>
      <c r="T85" s="945"/>
      <c r="U85" s="945"/>
      <c r="V85" s="946"/>
    </row>
    <row r="86" spans="1:22" s="2" customFormat="1">
      <c r="A86" s="3"/>
      <c r="B86" s="129"/>
      <c r="C86" s="136"/>
      <c r="D86" s="136"/>
      <c r="E86" s="136"/>
      <c r="F86" s="136"/>
      <c r="G86" s="136"/>
      <c r="H86" s="136"/>
      <c r="I86" s="136"/>
      <c r="J86" s="136"/>
      <c r="K86" s="136"/>
      <c r="L86" s="136"/>
      <c r="O86" s="946"/>
      <c r="P86" s="946"/>
      <c r="Q86" s="946"/>
      <c r="R86" s="946"/>
      <c r="S86" s="946"/>
      <c r="T86" s="946"/>
      <c r="U86" s="946"/>
      <c r="V86" s="946"/>
    </row>
    <row r="87" spans="1:22" s="2" customFormat="1">
      <c r="A87" s="3"/>
      <c r="B87" s="129"/>
      <c r="C87" s="540" t="s">
        <v>397</v>
      </c>
      <c r="D87" s="543" t="str">
        <f t="shared" ref="D87:K87" si="29">IF($C58=$B$33,D$6,IF(D$6-RIGHT($C58,1)&lt;$D$6,"Pre-RIIO",D$6-RIGHT($C58,1)))</f>
        <v>Pre-RIIO</v>
      </c>
      <c r="E87" s="544" t="str">
        <f t="shared" si="29"/>
        <v>Pre-RIIO</v>
      </c>
      <c r="F87" s="544" t="str">
        <f t="shared" si="29"/>
        <v>Pre-RIIO</v>
      </c>
      <c r="G87" s="544">
        <f t="shared" si="29"/>
        <v>2016</v>
      </c>
      <c r="H87" s="544">
        <f t="shared" si="29"/>
        <v>2017</v>
      </c>
      <c r="I87" s="544">
        <f t="shared" si="29"/>
        <v>2018</v>
      </c>
      <c r="J87" s="544">
        <f t="shared" si="29"/>
        <v>2019</v>
      </c>
      <c r="K87" s="545">
        <f t="shared" si="29"/>
        <v>2020</v>
      </c>
      <c r="O87" s="946"/>
      <c r="P87" s="946"/>
      <c r="Q87" s="946"/>
      <c r="R87" s="946"/>
      <c r="S87" s="946"/>
      <c r="T87" s="946"/>
      <c r="U87" s="946"/>
      <c r="V87" s="946"/>
    </row>
    <row r="88" spans="1:22" s="2" customFormat="1">
      <c r="A88" s="3" t="str">
        <f>A13</f>
        <v>c</v>
      </c>
      <c r="B88" s="129" t="str">
        <f>B13&amp;""</f>
        <v>Incentive on connections engagement</v>
      </c>
      <c r="C88" s="136" t="s">
        <v>128</v>
      </c>
      <c r="D88" s="637">
        <v>0</v>
      </c>
      <c r="E88" s="638">
        <v>0</v>
      </c>
      <c r="F88" s="638">
        <v>0</v>
      </c>
      <c r="G88" s="638">
        <v>0</v>
      </c>
      <c r="H88" s="616">
        <v>0</v>
      </c>
      <c r="I88" s="616">
        <v>0</v>
      </c>
      <c r="J88" s="616">
        <v>0</v>
      </c>
      <c r="K88" s="616">
        <v>0</v>
      </c>
      <c r="O88" s="946"/>
      <c r="P88" s="946"/>
      <c r="Q88" s="946"/>
      <c r="R88" s="946"/>
      <c r="S88" s="946"/>
      <c r="T88" s="946"/>
      <c r="U88" s="946"/>
      <c r="V88" s="946"/>
    </row>
    <row r="89" spans="1:22" s="2" customFormat="1">
      <c r="A89" s="3"/>
      <c r="B89" s="129"/>
      <c r="C89" s="136"/>
      <c r="D89" s="136"/>
      <c r="E89" s="136"/>
      <c r="F89" s="136"/>
      <c r="G89" s="136"/>
      <c r="H89" s="136"/>
      <c r="I89" s="136"/>
      <c r="J89" s="136"/>
      <c r="K89" s="136"/>
      <c r="L89" s="136"/>
      <c r="O89" s="946"/>
      <c r="P89" s="946"/>
      <c r="Q89" s="946"/>
      <c r="R89" s="946"/>
      <c r="S89" s="946"/>
      <c r="T89" s="946"/>
      <c r="U89" s="946"/>
      <c r="V89" s="946"/>
    </row>
    <row r="90" spans="1:22" s="2" customFormat="1">
      <c r="A90" s="3"/>
      <c r="B90" s="129"/>
      <c r="C90" s="540" t="s">
        <v>397</v>
      </c>
      <c r="D90" s="543" t="str">
        <f t="shared" ref="D90:K90" si="30">IF($C62=$B$33,D$6,IF(D$6-RIGHT($C62,1)&lt;$D$6,"Pre-RIIO",D$6-RIGHT($C62,1)))</f>
        <v>Pre-RIIO</v>
      </c>
      <c r="E90" s="544" t="str">
        <f t="shared" si="30"/>
        <v>Pre-RIIO</v>
      </c>
      <c r="F90" s="544">
        <f t="shared" si="30"/>
        <v>2016</v>
      </c>
      <c r="G90" s="544">
        <f t="shared" si="30"/>
        <v>2017</v>
      </c>
      <c r="H90" s="544">
        <f t="shared" si="30"/>
        <v>2018</v>
      </c>
      <c r="I90" s="544">
        <f t="shared" si="30"/>
        <v>2019</v>
      </c>
      <c r="J90" s="544">
        <f t="shared" si="30"/>
        <v>2020</v>
      </c>
      <c r="K90" s="545">
        <f t="shared" si="30"/>
        <v>2021</v>
      </c>
      <c r="O90" s="946"/>
      <c r="P90" s="946"/>
      <c r="Q90" s="946"/>
      <c r="R90" s="946"/>
      <c r="S90" s="946"/>
      <c r="T90" s="946"/>
      <c r="U90" s="946"/>
      <c r="V90" s="946"/>
    </row>
    <row r="91" spans="1:22" s="2" customFormat="1">
      <c r="A91" s="3" t="str">
        <f>A14</f>
        <v>d</v>
      </c>
      <c r="B91" s="129" t="str">
        <f>B14&amp;""</f>
        <v>Time to Connect Incentive</v>
      </c>
      <c r="C91" s="136" t="s">
        <v>128</v>
      </c>
      <c r="D91" s="637">
        <v>0</v>
      </c>
      <c r="E91" s="638">
        <v>0</v>
      </c>
      <c r="F91" s="638">
        <v>0.48467078491876997</v>
      </c>
      <c r="G91" s="638">
        <v>0.72333570000000003</v>
      </c>
      <c r="H91" s="616">
        <v>0.83357206580157361</v>
      </c>
      <c r="I91" s="616">
        <v>0.91010560130785745</v>
      </c>
      <c r="J91" s="616">
        <v>0.95029569837539596</v>
      </c>
      <c r="K91" s="616">
        <f>+I14*Data!H$34</f>
        <v>0.82223581952705693</v>
      </c>
      <c r="O91" s="946"/>
      <c r="P91" s="946"/>
      <c r="Q91" s="946"/>
      <c r="R91" s="946"/>
      <c r="S91" s="946"/>
      <c r="T91" s="946"/>
      <c r="U91" s="946"/>
      <c r="V91" s="946"/>
    </row>
    <row r="92" spans="1:22" s="2" customFormat="1">
      <c r="A92" s="3"/>
      <c r="B92" s="129"/>
      <c r="C92" s="136"/>
      <c r="D92" s="136"/>
      <c r="E92" s="136"/>
      <c r="F92" s="136"/>
      <c r="G92" s="136"/>
      <c r="H92" s="136"/>
      <c r="I92" s="136"/>
      <c r="J92" s="136"/>
      <c r="K92" s="136"/>
      <c r="L92" s="136"/>
    </row>
    <row r="93" spans="1:22" s="2" customFormat="1">
      <c r="A93" s="3"/>
      <c r="B93" s="129"/>
      <c r="C93" s="540" t="s">
        <v>397</v>
      </c>
      <c r="D93" s="543" t="str">
        <f>IF($C66=$B$33,D$6,IF(D$6-RIGHT($C66,1)&lt;$D$6,"Pre-RIIO",D$6-RIGHT($C66,1)))</f>
        <v>Pre-RIIO</v>
      </c>
      <c r="E93" s="544">
        <f t="shared" ref="E93:K93" si="31">IF($C66=$B$33,E$6,IF(E$6-RIGHT($C66,1)&lt;$D$6,"Pre-RIIO",E$6-RIGHT($C66,1)))</f>
        <v>2016</v>
      </c>
      <c r="F93" s="544">
        <f t="shared" si="31"/>
        <v>2017</v>
      </c>
      <c r="G93" s="544">
        <f t="shared" si="31"/>
        <v>2018</v>
      </c>
      <c r="H93" s="544">
        <f t="shared" si="31"/>
        <v>2019</v>
      </c>
      <c r="I93" s="544">
        <f t="shared" si="31"/>
        <v>2020</v>
      </c>
      <c r="J93" s="544">
        <f t="shared" si="31"/>
        <v>2021</v>
      </c>
      <c r="K93" s="545">
        <f t="shared" si="31"/>
        <v>2022</v>
      </c>
    </row>
    <row r="94" spans="1:22" s="2" customFormat="1">
      <c r="A94" s="3" t="str">
        <f>A15</f>
        <v>e</v>
      </c>
      <c r="B94" s="129" t="str">
        <f>B15&amp;""</f>
        <v>Losses discretionary reward scheme</v>
      </c>
      <c r="C94" s="136" t="s">
        <v>128</v>
      </c>
      <c r="D94" s="637">
        <v>0</v>
      </c>
      <c r="E94" s="638">
        <v>0</v>
      </c>
      <c r="F94" s="638">
        <v>4.4839999999999998E-2</v>
      </c>
      <c r="G94" s="638">
        <v>0</v>
      </c>
      <c r="H94" s="616">
        <v>0</v>
      </c>
      <c r="I94" s="616">
        <v>0</v>
      </c>
      <c r="J94" s="616">
        <f>+I15*Data!H$34</f>
        <v>0</v>
      </c>
      <c r="K94" s="616">
        <f>+J15*Data!I$34</f>
        <v>0</v>
      </c>
    </row>
    <row r="95" spans="1:22" s="2" customFormat="1">
      <c r="A95" s="3"/>
      <c r="B95" s="129"/>
      <c r="C95" s="136"/>
      <c r="D95" s="136"/>
      <c r="E95" s="136"/>
      <c r="F95" s="136"/>
      <c r="G95" s="136"/>
      <c r="H95" s="136"/>
      <c r="I95" s="136"/>
      <c r="J95" s="136"/>
      <c r="K95" s="136"/>
      <c r="L95" s="136"/>
    </row>
    <row r="96" spans="1:22" s="2" customFormat="1">
      <c r="A96" s="3"/>
      <c r="B96" s="129"/>
      <c r="C96" s="540" t="s">
        <v>397</v>
      </c>
      <c r="D96" s="543" t="str">
        <f>IF($C70=$B$33,D$6,IF(D$6-RIGHT($C70,1)&lt;$D$6,"Pre-RIIO",D$6-RIGHT($C70,1)))</f>
        <v>Pre-RIIO</v>
      </c>
      <c r="E96" s="543">
        <f t="shared" ref="E96:K96" si="32">IF($C70=$B$33,E$6,IF(E$6-RIGHT($C70,1)&lt;$D$6,"Pre-RIIO",E$6-RIGHT($C70,1)))</f>
        <v>2016</v>
      </c>
      <c r="F96" s="543">
        <f t="shared" si="32"/>
        <v>2017</v>
      </c>
      <c r="G96" s="543">
        <f t="shared" si="32"/>
        <v>2018</v>
      </c>
      <c r="H96" s="543">
        <f t="shared" si="32"/>
        <v>2019</v>
      </c>
      <c r="I96" s="543">
        <f t="shared" si="32"/>
        <v>2020</v>
      </c>
      <c r="J96" s="543">
        <f t="shared" si="32"/>
        <v>2021</v>
      </c>
      <c r="K96" s="543">
        <f t="shared" si="32"/>
        <v>2022</v>
      </c>
    </row>
    <row r="97" spans="1:13" s="2" customFormat="1">
      <c r="A97" s="3" t="str">
        <f>A16</f>
        <v>f</v>
      </c>
      <c r="B97" s="129" t="str">
        <f>B16&amp;""</f>
        <v/>
      </c>
      <c r="C97" s="136" t="s">
        <v>128</v>
      </c>
      <c r="D97" s="637"/>
      <c r="E97" s="638"/>
      <c r="F97" s="638"/>
      <c r="G97" s="638"/>
      <c r="H97" s="616"/>
      <c r="I97" s="616"/>
      <c r="J97" s="616"/>
      <c r="K97" s="616"/>
    </row>
    <row r="98" spans="1:13" s="2" customFormat="1">
      <c r="A98" s="3"/>
      <c r="B98" s="129"/>
      <c r="C98" s="136"/>
      <c r="D98" s="136"/>
      <c r="E98" s="136"/>
      <c r="F98" s="136"/>
      <c r="G98" s="136"/>
      <c r="H98" s="136"/>
      <c r="I98" s="136"/>
      <c r="J98" s="136"/>
      <c r="K98" s="136"/>
      <c r="L98" s="136"/>
    </row>
    <row r="99" spans="1:13" s="2" customFormat="1">
      <c r="A99" s="3"/>
      <c r="B99" s="129"/>
      <c r="C99" s="540" t="s">
        <v>397</v>
      </c>
      <c r="D99" s="543" t="str">
        <f>IF($C74=$B$33,D$6,IF(D$6-RIGHT($C74,1)&lt;$D$6,"Pre-RIIO",D$6-RIGHT($C74,1)))</f>
        <v>Pre-RIIO</v>
      </c>
      <c r="E99" s="543">
        <f t="shared" ref="E99:K99" si="33">IF($C74=$B$33,E$6,IF(E$6-RIGHT($C74,1)&lt;$D$6,"Pre-RIIO",E$6-RIGHT($C74,1)))</f>
        <v>2016</v>
      </c>
      <c r="F99" s="543">
        <f t="shared" si="33"/>
        <v>2017</v>
      </c>
      <c r="G99" s="543">
        <f t="shared" si="33"/>
        <v>2018</v>
      </c>
      <c r="H99" s="543">
        <f t="shared" si="33"/>
        <v>2019</v>
      </c>
      <c r="I99" s="543">
        <f t="shared" si="33"/>
        <v>2020</v>
      </c>
      <c r="J99" s="543">
        <f t="shared" si="33"/>
        <v>2021</v>
      </c>
      <c r="K99" s="543">
        <f t="shared" si="33"/>
        <v>2022</v>
      </c>
    </row>
    <row r="100" spans="1:13" s="2" customFormat="1">
      <c r="A100" s="3" t="str">
        <f>A17</f>
        <v>g</v>
      </c>
      <c r="B100" s="129" t="str">
        <f>B17&amp;""</f>
        <v/>
      </c>
      <c r="C100" s="136" t="s">
        <v>128</v>
      </c>
      <c r="D100" s="637"/>
      <c r="E100" s="638"/>
      <c r="F100" s="638"/>
      <c r="G100" s="638"/>
      <c r="H100" s="616"/>
      <c r="I100" s="616"/>
      <c r="J100" s="616"/>
      <c r="K100" s="616"/>
    </row>
    <row r="101" spans="1:13" s="2" customFormat="1">
      <c r="A101" s="3"/>
      <c r="B101" s="129"/>
      <c r="C101" s="136"/>
      <c r="D101" s="136"/>
      <c r="E101" s="136"/>
      <c r="F101" s="136"/>
      <c r="G101" s="136"/>
      <c r="H101" s="136"/>
      <c r="I101" s="136"/>
      <c r="J101" s="136"/>
      <c r="K101" s="136"/>
      <c r="L101" s="136"/>
      <c r="M101" s="136"/>
    </row>
    <row r="102" spans="1:13" s="2" customFormat="1">
      <c r="B102" s="12" t="s">
        <v>158</v>
      </c>
      <c r="C102" s="157" t="s">
        <v>128</v>
      </c>
      <c r="D102" s="609">
        <f>SUM(D82,D85,D88,D91,D94,D97,D100)</f>
        <v>6.3768655592999988</v>
      </c>
      <c r="E102" s="609">
        <f t="shared" ref="E102:K102" si="34">SUM(E82,E85,E88,E91,E94,E97,E100)</f>
        <v>6.3824136960794364</v>
      </c>
      <c r="F102" s="609">
        <f t="shared" si="34"/>
        <v>8.489102325617857</v>
      </c>
      <c r="G102" s="609">
        <f t="shared" si="34"/>
        <v>9.2338242356814355</v>
      </c>
      <c r="H102" s="610">
        <f>SUM(H82,H85,H88,H91,H94,H97,H100)</f>
        <v>7.1483228476707845</v>
      </c>
      <c r="I102" s="610">
        <f t="shared" si="34"/>
        <v>10.324292878002531</v>
      </c>
      <c r="J102" s="610">
        <f t="shared" si="34"/>
        <v>10.609723392509709</v>
      </c>
      <c r="K102" s="610">
        <f t="shared" si="34"/>
        <v>11.151245908706706</v>
      </c>
    </row>
    <row r="103" spans="1:13" s="2" customFormat="1">
      <c r="C103" s="136"/>
    </row>
    <row r="104" spans="1:13" s="2" customFormat="1">
      <c r="A104" s="35"/>
      <c r="B104" s="12" t="s">
        <v>372</v>
      </c>
      <c r="C104" s="156"/>
      <c r="D104" s="156"/>
      <c r="E104" s="156"/>
      <c r="F104" s="156"/>
      <c r="G104" s="156"/>
      <c r="H104" s="156"/>
      <c r="I104" s="156"/>
      <c r="J104" s="156"/>
      <c r="K104" s="156"/>
      <c r="L104" s="156"/>
      <c r="M104" s="156"/>
    </row>
    <row r="105" spans="1:13" s="2" customFormat="1">
      <c r="A105" s="269" t="str">
        <f>A82</f>
        <v>a</v>
      </c>
      <c r="B105" s="953" t="str">
        <f t="shared" ref="B105:B106" si="35">+B21</f>
        <v>WPD remain in discussion with Ofgem regarding the 2019/20 and 2020/21 SECV incentive awards. As a result Actuals for these years reflect a forecast award based on the prior 3 year average performance.</v>
      </c>
      <c r="C105" s="943"/>
      <c r="D105" s="943"/>
      <c r="E105" s="943"/>
      <c r="F105" s="943"/>
      <c r="G105" s="943"/>
      <c r="H105" s="943"/>
      <c r="I105" s="943"/>
      <c r="J105" s="943"/>
      <c r="K105" s="943"/>
      <c r="L105" s="943"/>
      <c r="M105" s="943"/>
    </row>
    <row r="106" spans="1:13" s="2" customFormat="1">
      <c r="A106" s="269" t="str">
        <f>A85</f>
        <v>b</v>
      </c>
      <c r="B106" s="943" t="str">
        <f t="shared" si="35"/>
        <v xml:space="preserve">The 2020 actuals have been updated following final Ofgem approval of Interruptions related quality of service performance in October 2020. This has increased the Output Incentive in 2020 by +£0.3m. </v>
      </c>
      <c r="C106" s="943"/>
      <c r="D106" s="943"/>
      <c r="E106" s="943"/>
      <c r="F106" s="943"/>
      <c r="G106" s="943"/>
      <c r="H106" s="943"/>
      <c r="I106" s="943"/>
      <c r="J106" s="943"/>
      <c r="K106" s="943"/>
      <c r="L106" s="943"/>
      <c r="M106" s="943"/>
    </row>
    <row r="107" spans="1:13" s="2" customFormat="1">
      <c r="A107" s="269" t="str">
        <f>A88</f>
        <v>c</v>
      </c>
      <c r="B107" s="943"/>
      <c r="C107" s="943"/>
      <c r="D107" s="943"/>
      <c r="E107" s="943"/>
      <c r="F107" s="943"/>
      <c r="G107" s="943"/>
      <c r="H107" s="943"/>
      <c r="I107" s="943"/>
      <c r="J107" s="943"/>
      <c r="K107" s="943"/>
      <c r="L107" s="943"/>
      <c r="M107" s="943"/>
    </row>
    <row r="108" spans="1:13" s="2" customFormat="1">
      <c r="A108" s="269" t="str">
        <f>A91</f>
        <v>d</v>
      </c>
      <c r="B108" s="943"/>
      <c r="C108" s="943"/>
      <c r="D108" s="943"/>
      <c r="E108" s="943"/>
      <c r="F108" s="943"/>
      <c r="G108" s="943"/>
      <c r="H108" s="943"/>
      <c r="I108" s="943"/>
      <c r="J108" s="943"/>
      <c r="K108" s="943"/>
      <c r="L108" s="943"/>
      <c r="M108" s="943"/>
    </row>
    <row r="109" spans="1:13" s="2" customFormat="1">
      <c r="A109" s="269" t="str">
        <f>A94</f>
        <v>e</v>
      </c>
      <c r="B109" s="943"/>
      <c r="C109" s="943"/>
      <c r="D109" s="943"/>
      <c r="E109" s="943"/>
      <c r="F109" s="943"/>
      <c r="G109" s="943"/>
      <c r="H109" s="943"/>
      <c r="I109" s="943"/>
      <c r="J109" s="943"/>
      <c r="K109" s="943"/>
      <c r="L109" s="943"/>
      <c r="M109" s="943"/>
    </row>
    <row r="110" spans="1:13" s="2" customFormat="1">
      <c r="A110" s="269" t="str">
        <f>A97</f>
        <v>f</v>
      </c>
      <c r="B110" s="999"/>
      <c r="C110" s="999"/>
      <c r="D110" s="999"/>
      <c r="E110" s="999"/>
      <c r="F110" s="999"/>
      <c r="G110" s="999"/>
      <c r="H110" s="999"/>
      <c r="I110" s="999"/>
      <c r="J110" s="999"/>
      <c r="K110" s="999"/>
      <c r="L110" s="999"/>
      <c r="M110" s="999"/>
    </row>
    <row r="111" spans="1:13" s="2" customFormat="1">
      <c r="A111" s="269" t="str">
        <f>A100</f>
        <v>g</v>
      </c>
      <c r="B111" s="999"/>
      <c r="C111" s="999"/>
      <c r="D111" s="999"/>
      <c r="E111" s="999"/>
      <c r="F111" s="999"/>
      <c r="G111" s="999"/>
      <c r="H111" s="999"/>
      <c r="I111" s="999"/>
      <c r="J111" s="999"/>
      <c r="K111" s="999"/>
      <c r="L111" s="999"/>
      <c r="M111" s="999"/>
    </row>
    <row r="112" spans="1:13" s="532" customFormat="1">
      <c r="A112" s="531"/>
      <c r="C112" s="533"/>
      <c r="D112" s="534"/>
      <c r="E112" s="534"/>
      <c r="F112" s="534"/>
      <c r="G112" s="534"/>
      <c r="H112" s="534"/>
      <c r="I112" s="534"/>
      <c r="J112" s="534"/>
      <c r="K112" s="534"/>
      <c r="L112" s="535"/>
      <c r="M112" s="535"/>
    </row>
    <row r="113" spans="1:14" s="532" customFormat="1">
      <c r="A113" s="531"/>
      <c r="C113" s="533"/>
      <c r="D113" s="533"/>
      <c r="E113" s="533"/>
      <c r="F113" s="533"/>
      <c r="G113" s="533"/>
      <c r="H113" s="533"/>
      <c r="I113" s="533"/>
      <c r="J113" s="533"/>
      <c r="K113" s="533"/>
      <c r="L113" s="533"/>
      <c r="M113" s="533"/>
    </row>
    <row r="114" spans="1:14" s="2" customFormat="1">
      <c r="A114" s="80"/>
      <c r="B114" s="80"/>
      <c r="C114" s="150"/>
      <c r="D114" s="80"/>
      <c r="E114" s="80"/>
      <c r="F114" s="80"/>
      <c r="G114" s="80"/>
      <c r="H114" s="80"/>
      <c r="I114" s="80"/>
      <c r="J114" s="80"/>
      <c r="K114" s="80"/>
      <c r="L114" s="80"/>
      <c r="M114" s="80"/>
      <c r="N114" s="80"/>
    </row>
  </sheetData>
  <mergeCells count="7">
    <mergeCell ref="B110:M110"/>
    <mergeCell ref="B111:M111"/>
    <mergeCell ref="B21:M21"/>
    <mergeCell ref="B22:M22"/>
    <mergeCell ref="B23:M23"/>
    <mergeCell ref="B24:M24"/>
    <mergeCell ref="B25:M25"/>
  </mergeCells>
  <conditionalFormatting sqref="D6:K6">
    <cfRule type="expression" dxfId="59" priority="31">
      <formula>AND(D$5="Actuals",E$5="Forecast")</formula>
    </cfRule>
  </conditionalFormatting>
  <conditionalFormatting sqref="D5:K5">
    <cfRule type="expression" dxfId="58"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C285FE4-1466-4BF7-8FA9-67F63A3D57B8}">
  <ds:schemaRefs>
    <ds:schemaRef ds:uri="f35b5cbd-7b0b-4440-92cd-b510cab4ec6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b1b6b1d3-9b1c-419f-ba2e-fefc168d435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Armstrong, Scott R. (Reg Finance)</cp:lastModifiedBy>
  <cp:lastPrinted>2018-10-02T10:25:02Z</cp:lastPrinted>
  <dcterms:created xsi:type="dcterms:W3CDTF">2018-06-13T08:32:09Z</dcterms:created>
  <dcterms:modified xsi:type="dcterms:W3CDTF">2021-07-28T12:16:09Z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