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hvdcs01\rrp\ED1 RRPs\RRP 2020 21\RFPR\FOR WEBSITE\"/>
    </mc:Choice>
  </mc:AlternateContent>
  <bookViews>
    <workbookView xWindow="0" yWindow="0" windowWidth="28800" windowHeight="1230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5" l="1"/>
  <c r="I23" i="15" s="1"/>
  <c r="I20" i="20" l="1"/>
  <c r="I21" i="20" s="1"/>
  <c r="K14" i="20"/>
  <c r="K16" i="20" s="1"/>
  <c r="J14" i="20"/>
  <c r="J16" i="20" s="1"/>
  <c r="I14" i="20"/>
  <c r="I16" i="20" s="1"/>
  <c r="I85" i="5" l="1"/>
  <c r="J85" i="5"/>
  <c r="J19" i="20" l="1"/>
  <c r="J20" i="20" l="1"/>
  <c r="J21" i="20" s="1"/>
  <c r="K19" i="20"/>
  <c r="B105" i="5"/>
  <c r="K20" i="20" l="1"/>
  <c r="K21" i="20" s="1"/>
  <c r="I43" i="28"/>
  <c r="B21" i="1" l="1"/>
  <c r="B3" i="1" l="1"/>
  <c r="H21" i="20" l="1"/>
  <c r="G21" i="20"/>
  <c r="F21" i="20"/>
  <c r="E21" i="20"/>
  <c r="D21" i="20"/>
  <c r="H14" i="20"/>
  <c r="H16" i="20" s="1"/>
  <c r="G14" i="20"/>
  <c r="G16" i="20" s="1"/>
  <c r="F14" i="20"/>
  <c r="F16" i="20" s="1"/>
  <c r="E14" i="20"/>
  <c r="E16" i="20" s="1"/>
  <c r="D14" i="20"/>
  <c r="D16" i="20" s="1"/>
  <c r="A3" i="20"/>
  <c r="A2" i="20"/>
  <c r="D36" i="19"/>
  <c r="D35" i="19"/>
  <c r="K19" i="19"/>
  <c r="J19" i="19"/>
  <c r="I19" i="19"/>
  <c r="H19" i="19"/>
  <c r="G19" i="19"/>
  <c r="F19" i="19"/>
  <c r="E19" i="19"/>
  <c r="D19" i="19"/>
  <c r="A3" i="19"/>
  <c r="A2" i="19"/>
  <c r="K13" i="11"/>
  <c r="J13" i="11"/>
  <c r="H13" i="11"/>
  <c r="G13" i="11"/>
  <c r="F13" i="11"/>
  <c r="E13" i="11"/>
  <c r="D13" i="11"/>
  <c r="B3" i="11"/>
  <c r="A3" i="11"/>
  <c r="A2" i="11"/>
  <c r="K63" i="29"/>
  <c r="J63" i="29"/>
  <c r="I63" i="29"/>
  <c r="H63" i="29"/>
  <c r="G63" i="29"/>
  <c r="F63" i="29"/>
  <c r="E63" i="29"/>
  <c r="D63" i="29"/>
  <c r="K19" i="29"/>
  <c r="J19" i="29"/>
  <c r="I19" i="29"/>
  <c r="H19" i="29"/>
  <c r="G19" i="29"/>
  <c r="F19" i="29"/>
  <c r="E19" i="29"/>
  <c r="D19" i="29"/>
  <c r="A3" i="29"/>
  <c r="A2" i="29"/>
  <c r="K31" i="10"/>
  <c r="J31" i="10"/>
  <c r="I31" i="10"/>
  <c r="H31" i="10"/>
  <c r="G31" i="10"/>
  <c r="F31" i="10"/>
  <c r="E31" i="10"/>
  <c r="D31" i="10"/>
  <c r="K28" i="10"/>
  <c r="J28" i="10"/>
  <c r="I28" i="10"/>
  <c r="H28" i="10"/>
  <c r="G28" i="10"/>
  <c r="F28" i="10"/>
  <c r="E28" i="10"/>
  <c r="D28" i="10"/>
  <c r="K24" i="10"/>
  <c r="J24" i="10"/>
  <c r="I24" i="10"/>
  <c r="H24" i="10"/>
  <c r="G24" i="10"/>
  <c r="F24" i="10"/>
  <c r="E24" i="10"/>
  <c r="D24" i="10"/>
  <c r="K21" i="10"/>
  <c r="J21" i="10"/>
  <c r="I21" i="10"/>
  <c r="H21" i="10"/>
  <c r="G21" i="10"/>
  <c r="F21" i="10"/>
  <c r="E21" i="10"/>
  <c r="D21" i="10"/>
  <c r="D18" i="10"/>
  <c r="A3" i="10"/>
  <c r="A2" i="10"/>
  <c r="K17" i="3"/>
  <c r="J17" i="3"/>
  <c r="J18" i="4" s="1"/>
  <c r="I17" i="3"/>
  <c r="H17" i="3"/>
  <c r="H18" i="4" s="1"/>
  <c r="G17" i="3"/>
  <c r="F17" i="3"/>
  <c r="F18" i="4" s="1"/>
  <c r="E17" i="3"/>
  <c r="D17" i="3"/>
  <c r="D18" i="4" s="1"/>
  <c r="I12" i="3"/>
  <c r="I17" i="4" s="1"/>
  <c r="H12" i="3"/>
  <c r="H17" i="4" s="1"/>
  <c r="G12" i="3"/>
  <c r="F12" i="3"/>
  <c r="F17" i="4" s="1"/>
  <c r="E12" i="3"/>
  <c r="D12" i="3"/>
  <c r="D17" i="4" s="1"/>
  <c r="B3" i="3"/>
  <c r="A3" i="3"/>
  <c r="A2" i="3"/>
  <c r="A111" i="5"/>
  <c r="A110" i="5"/>
  <c r="A109" i="5"/>
  <c r="A108" i="5"/>
  <c r="A107" i="5"/>
  <c r="A106" i="5"/>
  <c r="A105" i="5"/>
  <c r="I102" i="5"/>
  <c r="I15" i="4" s="1"/>
  <c r="H102" i="5"/>
  <c r="H15" i="4" s="1"/>
  <c r="G102" i="5"/>
  <c r="F102" i="5"/>
  <c r="F15" i="4" s="1"/>
  <c r="E102" i="5"/>
  <c r="E15" i="4" s="1"/>
  <c r="D102" i="5"/>
  <c r="D15" i="4" s="1"/>
  <c r="A100" i="5"/>
  <c r="A97" i="5"/>
  <c r="A94" i="5"/>
  <c r="A91" i="5"/>
  <c r="A88" i="5"/>
  <c r="A85" i="5"/>
  <c r="A82" i="5"/>
  <c r="K73" i="5"/>
  <c r="J73" i="5"/>
  <c r="I73" i="5"/>
  <c r="H73" i="5"/>
  <c r="G73" i="5"/>
  <c r="F73" i="5"/>
  <c r="E73" i="5"/>
  <c r="D73" i="5"/>
  <c r="K69" i="5"/>
  <c r="J69" i="5"/>
  <c r="I69" i="5"/>
  <c r="H69" i="5"/>
  <c r="G69" i="5"/>
  <c r="F69" i="5"/>
  <c r="E69" i="5"/>
  <c r="D69" i="5"/>
  <c r="A69" i="5"/>
  <c r="K65" i="5"/>
  <c r="J65" i="5"/>
  <c r="I65" i="5"/>
  <c r="H65" i="5"/>
  <c r="G65" i="5"/>
  <c r="F65" i="5"/>
  <c r="E65" i="5"/>
  <c r="D65" i="5"/>
  <c r="A65" i="5"/>
  <c r="K61" i="5"/>
  <c r="J61" i="5"/>
  <c r="I61" i="5"/>
  <c r="H61" i="5"/>
  <c r="G61" i="5"/>
  <c r="F61" i="5"/>
  <c r="E61" i="5"/>
  <c r="D61" i="5"/>
  <c r="A61" i="5"/>
  <c r="K57" i="5"/>
  <c r="J57" i="5"/>
  <c r="I57" i="5"/>
  <c r="H57" i="5"/>
  <c r="G57" i="5"/>
  <c r="F57" i="5"/>
  <c r="E57" i="5"/>
  <c r="D57" i="5"/>
  <c r="A57" i="5"/>
  <c r="H53" i="5"/>
  <c r="G53" i="5"/>
  <c r="F53" i="5"/>
  <c r="E53" i="5"/>
  <c r="D53" i="5"/>
  <c r="A53" i="5"/>
  <c r="H49" i="5"/>
  <c r="G49" i="5"/>
  <c r="F49" i="5"/>
  <c r="E49" i="5"/>
  <c r="D49" i="5"/>
  <c r="A49" i="5"/>
  <c r="A45" i="5"/>
  <c r="A44" i="5"/>
  <c r="A43" i="5"/>
  <c r="A42" i="5"/>
  <c r="A41" i="5"/>
  <c r="A40" i="5"/>
  <c r="A39" i="5"/>
  <c r="A25" i="5"/>
  <c r="A24" i="5"/>
  <c r="A23" i="5"/>
  <c r="A22" i="5"/>
  <c r="A21" i="5"/>
  <c r="H18" i="5"/>
  <c r="G18" i="5"/>
  <c r="F18" i="5"/>
  <c r="E18" i="5"/>
  <c r="D18" i="5"/>
  <c r="M17" i="5"/>
  <c r="M16" i="5"/>
  <c r="M15" i="5"/>
  <c r="M14" i="5"/>
  <c r="M13"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s="1"/>
  <c r="J44" i="2"/>
  <c r="I44" i="2"/>
  <c r="I58" i="2" s="1"/>
  <c r="H44" i="2"/>
  <c r="H58" i="2" s="1"/>
  <c r="G44" i="2"/>
  <c r="F44" i="2"/>
  <c r="F46" i="2" s="1"/>
  <c r="E44" i="2"/>
  <c r="E58" i="2" s="1"/>
  <c r="D44" i="2"/>
  <c r="M42" i="2"/>
  <c r="K42" i="2"/>
  <c r="J42" i="2"/>
  <c r="I42" i="2"/>
  <c r="H42" i="2"/>
  <c r="G42" i="2"/>
  <c r="F42" i="2"/>
  <c r="E42" i="2"/>
  <c r="D42" i="2"/>
  <c r="M41" i="2"/>
  <c r="M40" i="2"/>
  <c r="K28" i="2"/>
  <c r="J28" i="2"/>
  <c r="I28" i="2"/>
  <c r="H28" i="2"/>
  <c r="G28" i="2"/>
  <c r="F28" i="2"/>
  <c r="E28" i="2"/>
  <c r="D28" i="2"/>
  <c r="M27" i="2"/>
  <c r="M26" i="2"/>
  <c r="M25" i="2"/>
  <c r="M24" i="2"/>
  <c r="M23" i="2"/>
  <c r="M22" i="2"/>
  <c r="K16" i="2"/>
  <c r="J16" i="2"/>
  <c r="I16" i="2"/>
  <c r="H16" i="2"/>
  <c r="G16" i="2"/>
  <c r="F16" i="2"/>
  <c r="E16" i="2"/>
  <c r="D16" i="2"/>
  <c r="K14" i="2"/>
  <c r="J14" i="2"/>
  <c r="I14" i="2"/>
  <c r="H14" i="2"/>
  <c r="G14" i="2"/>
  <c r="F14" i="2"/>
  <c r="E14" i="2"/>
  <c r="D14" i="2"/>
  <c r="M13" i="2"/>
  <c r="M12" i="2"/>
  <c r="L6" i="2"/>
  <c r="A3" i="2"/>
  <c r="A2" i="2"/>
  <c r="K80" i="15"/>
  <c r="J80" i="15"/>
  <c r="K78" i="15"/>
  <c r="J78" i="15"/>
  <c r="H78" i="15"/>
  <c r="G78" i="15"/>
  <c r="F78" i="15"/>
  <c r="E78" i="15"/>
  <c r="D78" i="15"/>
  <c r="K48" i="15"/>
  <c r="J48" i="15"/>
  <c r="K46" i="15"/>
  <c r="J46" i="15"/>
  <c r="I46" i="15"/>
  <c r="I48" i="15" s="1"/>
  <c r="H46" i="15"/>
  <c r="G46" i="15"/>
  <c r="F46" i="15"/>
  <c r="E46" i="15"/>
  <c r="D46" i="15"/>
  <c r="K23" i="15"/>
  <c r="J23" i="15"/>
  <c r="K18" i="15"/>
  <c r="J18" i="15"/>
  <c r="H18" i="15"/>
  <c r="H23" i="15" s="1"/>
  <c r="G18" i="15"/>
  <c r="G23" i="15" s="1"/>
  <c r="F18" i="15"/>
  <c r="F23" i="15" s="1"/>
  <c r="E18" i="15"/>
  <c r="E23" i="15" s="1"/>
  <c r="D18" i="15"/>
  <c r="D23" i="15" s="1"/>
  <c r="A3" i="15"/>
  <c r="A2" i="15"/>
  <c r="K68" i="4"/>
  <c r="J68" i="4"/>
  <c r="K66" i="4"/>
  <c r="J66" i="4"/>
  <c r="K64" i="4"/>
  <c r="J64" i="4"/>
  <c r="H64" i="4"/>
  <c r="G64" i="4"/>
  <c r="F64" i="4"/>
  <c r="E64" i="4"/>
  <c r="D64" i="4"/>
  <c r="K45" i="4"/>
  <c r="J45" i="4"/>
  <c r="I45" i="4"/>
  <c r="H45" i="4"/>
  <c r="H66" i="4" s="1"/>
  <c r="H68" i="4" s="1"/>
  <c r="G45" i="4"/>
  <c r="F45" i="4"/>
  <c r="F66" i="4" s="1"/>
  <c r="F68" i="4" s="1"/>
  <c r="E45" i="4"/>
  <c r="D45" i="4"/>
  <c r="D66" i="4" s="1"/>
  <c r="D68" i="4" s="1"/>
  <c r="K28" i="4"/>
  <c r="J28" i="4"/>
  <c r="K18" i="4"/>
  <c r="I18" i="4"/>
  <c r="G18" i="4"/>
  <c r="E18" i="4"/>
  <c r="G17" i="4"/>
  <c r="E17" i="4"/>
  <c r="G15" i="4"/>
  <c r="K14" i="4"/>
  <c r="J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F157" i="28" s="1"/>
  <c r="B192" i="28"/>
  <c r="E182" i="28"/>
  <c r="B182" i="28"/>
  <c r="F159" i="28"/>
  <c r="F158"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3" i="28"/>
  <c r="J42" i="28"/>
  <c r="I42" i="28"/>
  <c r="H42" i="28"/>
  <c r="G42" i="28"/>
  <c r="F42" i="28"/>
  <c r="E42" i="28"/>
  <c r="J38" i="28"/>
  <c r="I38" i="28"/>
  <c r="H38" i="28"/>
  <c r="G38" i="28"/>
  <c r="F38" i="28"/>
  <c r="E38" i="28"/>
  <c r="D30" i="28"/>
  <c r="D29" i="28"/>
  <c r="D28" i="28"/>
  <c r="D27" i="28"/>
  <c r="D26" i="28"/>
  <c r="D25" i="28"/>
  <c r="D24" i="28"/>
  <c r="D23" i="28"/>
  <c r="D22" i="28"/>
  <c r="D21" i="28"/>
  <c r="D20" i="28"/>
  <c r="D19" i="28"/>
  <c r="D18" i="28"/>
  <c r="D17" i="28"/>
  <c r="D16" i="28"/>
  <c r="D15" i="28"/>
  <c r="D14" i="28"/>
  <c r="A3" i="28"/>
  <c r="A2" i="28"/>
  <c r="C14" i="13"/>
  <c r="C42" i="2" s="1"/>
  <c r="C13" i="13"/>
  <c r="D6" i="15" s="1"/>
  <c r="C12" i="13"/>
  <c r="C11" i="13"/>
  <c r="C10" i="13"/>
  <c r="C6" i="13"/>
  <c r="E156" i="28" s="1"/>
  <c r="A3" i="13"/>
  <c r="A2" i="13"/>
  <c r="E66" i="4" l="1"/>
  <c r="E68" i="4" s="1"/>
  <c r="D29" i="10"/>
  <c r="E16" i="10" s="1"/>
  <c r="E18" i="10" s="1"/>
  <c r="E29" i="10" s="1"/>
  <c r="F16" i="10" s="1"/>
  <c r="F18" i="10" s="1"/>
  <c r="F29" i="10" s="1"/>
  <c r="G16" i="10" s="1"/>
  <c r="G18" i="10" s="1"/>
  <c r="G29" i="10" s="1"/>
  <c r="H16" i="10" s="1"/>
  <c r="H18" i="10" s="1"/>
  <c r="H29" i="10" s="1"/>
  <c r="I16" i="10" s="1"/>
  <c r="I18" i="10" s="1"/>
  <c r="I29" i="10" s="1"/>
  <c r="J16" i="10" s="1"/>
  <c r="J18" i="10" s="1"/>
  <c r="J29" i="10" s="1"/>
  <c r="K16" i="10" s="1"/>
  <c r="K18" i="10" s="1"/>
  <c r="K29" i="10" s="1"/>
  <c r="H48" i="15"/>
  <c r="H80" i="15" s="1"/>
  <c r="K31" i="2"/>
  <c r="I31" i="2"/>
  <c r="J18" i="2"/>
  <c r="D26" i="4"/>
  <c r="D28" i="4" s="1"/>
  <c r="D48" i="15"/>
  <c r="D80" i="15" s="1"/>
  <c r="G66" i="4"/>
  <c r="G68" i="4" s="1"/>
  <c r="G26" i="4"/>
  <c r="G28" i="4" s="1"/>
  <c r="E26" i="4"/>
  <c r="E28" i="4" s="1"/>
  <c r="F26" i="4"/>
  <c r="F28" i="4" s="1"/>
  <c r="E31" i="2"/>
  <c r="M69" i="5"/>
  <c r="M73" i="5"/>
  <c r="H26" i="4"/>
  <c r="H28" i="4" s="1"/>
  <c r="F48" i="15"/>
  <c r="F80" i="15" s="1"/>
  <c r="M14" i="2"/>
  <c r="M28" i="2"/>
  <c r="M61" i="5"/>
  <c r="M65" i="5"/>
  <c r="M57" i="5"/>
  <c r="F31" i="2"/>
  <c r="G19" i="2"/>
  <c r="D19" i="2"/>
  <c r="E48" i="15"/>
  <c r="E80" i="15" s="1"/>
  <c r="G48" i="15"/>
  <c r="G80" i="15" s="1"/>
  <c r="I59" i="2"/>
  <c r="K46" i="2"/>
  <c r="G18" i="2"/>
  <c r="K18" i="2"/>
  <c r="G30" i="2"/>
  <c r="F47" i="2"/>
  <c r="G31" i="2"/>
  <c r="E46" i="2"/>
  <c r="E62" i="2" s="1"/>
  <c r="I46" i="2"/>
  <c r="I62" i="2" s="1"/>
  <c r="E59" i="2"/>
  <c r="E6" i="15"/>
  <c r="D5" i="15"/>
  <c r="E154" i="28"/>
  <c r="E159" i="28"/>
  <c r="C51" i="1"/>
  <c r="C55" i="1"/>
  <c r="C61" i="1"/>
  <c r="C11" i="4"/>
  <c r="J47" i="29"/>
  <c r="F47" i="29"/>
  <c r="J42" i="10"/>
  <c r="F42" i="10"/>
  <c r="I47" i="29"/>
  <c r="E47" i="29"/>
  <c r="I42" i="10"/>
  <c r="E42" i="10"/>
  <c r="H47" i="29"/>
  <c r="D47" i="29"/>
  <c r="H42" i="10"/>
  <c r="D42" i="10"/>
  <c r="K42" i="10"/>
  <c r="K47" i="29"/>
  <c r="G42" i="10"/>
  <c r="G47" i="29"/>
  <c r="C33" i="28"/>
  <c r="C50" i="1"/>
  <c r="C54" i="1"/>
  <c r="C66" i="1"/>
  <c r="E157" i="28"/>
  <c r="E153" i="28"/>
  <c r="D6" i="20"/>
  <c r="D6" i="19"/>
  <c r="D6" i="3"/>
  <c r="D6" i="10"/>
  <c r="D5" i="10" s="1"/>
  <c r="D6" i="11"/>
  <c r="D6" i="29"/>
  <c r="D5" i="29" s="1"/>
  <c r="D6" i="4"/>
  <c r="D6" i="1"/>
  <c r="D6" i="2"/>
  <c r="D6" i="5"/>
  <c r="B48" i="28"/>
  <c r="B10" i="2" s="1"/>
  <c r="B88" i="2" s="1"/>
  <c r="B149" i="28"/>
  <c r="E158" i="28"/>
  <c r="C48" i="1"/>
  <c r="C53" i="1"/>
  <c r="C12" i="2"/>
  <c r="F58" i="2"/>
  <c r="F62" i="2" s="1"/>
  <c r="F59" i="2"/>
  <c r="J58" i="2"/>
  <c r="J59" i="2"/>
  <c r="J47" i="2"/>
  <c r="J46" i="2"/>
  <c r="J41" i="10"/>
  <c r="F41" i="10"/>
  <c r="I41" i="10"/>
  <c r="E41" i="10"/>
  <c r="H41" i="10"/>
  <c r="D41" i="10"/>
  <c r="G41" i="10"/>
  <c r="K41" i="10"/>
  <c r="C8" i="20"/>
  <c r="C14" i="19"/>
  <c r="C87" i="29"/>
  <c r="C75" i="29"/>
  <c r="C69" i="29"/>
  <c r="C62" i="29"/>
  <c r="C47" i="10"/>
  <c r="C29" i="10"/>
  <c r="C25" i="10"/>
  <c r="C21" i="10"/>
  <c r="C17" i="10"/>
  <c r="C16" i="10"/>
  <c r="C28" i="3"/>
  <c r="C19" i="19"/>
  <c r="C84" i="29"/>
  <c r="C74" i="29"/>
  <c r="C68" i="29"/>
  <c r="C61" i="29"/>
  <c r="C51" i="10"/>
  <c r="C46" i="10"/>
  <c r="C28" i="10"/>
  <c r="C24" i="10"/>
  <c r="C20" i="10"/>
  <c r="C11" i="10"/>
  <c r="C18" i="19"/>
  <c r="C90" i="29"/>
  <c r="C82" i="29"/>
  <c r="C73" i="29"/>
  <c r="C67" i="29"/>
  <c r="C54" i="29"/>
  <c r="C50" i="10"/>
  <c r="C45" i="10"/>
  <c r="C27" i="10"/>
  <c r="C23" i="10"/>
  <c r="C19" i="10"/>
  <c r="C17" i="19"/>
  <c r="C72" i="29"/>
  <c r="C42" i="29"/>
  <c r="C49" i="10"/>
  <c r="C26" i="10"/>
  <c r="C69" i="5"/>
  <c r="C53" i="5"/>
  <c r="C43" i="5"/>
  <c r="C39" i="5"/>
  <c r="C17" i="5"/>
  <c r="C16" i="5"/>
  <c r="C15" i="5"/>
  <c r="C14" i="5"/>
  <c r="C13" i="5"/>
  <c r="C12" i="5"/>
  <c r="C11" i="5"/>
  <c r="C63" i="29"/>
  <c r="C22" i="10"/>
  <c r="C89" i="29"/>
  <c r="C18" i="10"/>
  <c r="C73" i="5"/>
  <c r="C61" i="5"/>
  <c r="C80"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E155" i="28"/>
  <c r="C52" i="1"/>
  <c r="C57" i="1"/>
  <c r="D30" i="2"/>
  <c r="D31" i="2"/>
  <c r="D18" i="2"/>
  <c r="H30" i="2"/>
  <c r="H31" i="2"/>
  <c r="H18" i="2"/>
  <c r="C18" i="2"/>
  <c r="H19" i="2"/>
  <c r="C24" i="2"/>
  <c r="C27" i="2"/>
  <c r="E19" i="2"/>
  <c r="E35" i="2" s="1"/>
  <c r="I19" i="2"/>
  <c r="I30" i="2"/>
  <c r="G58" i="2"/>
  <c r="G59" i="2"/>
  <c r="K58" i="2"/>
  <c r="K62" i="2" s="1"/>
  <c r="K59" i="2"/>
  <c r="K63" i="2" s="1"/>
  <c r="G46" i="2"/>
  <c r="G47" i="2"/>
  <c r="E18" i="2"/>
  <c r="I18" i="2"/>
  <c r="F19" i="2"/>
  <c r="J19" i="2"/>
  <c r="E30" i="2"/>
  <c r="J30" i="2"/>
  <c r="J31" i="2"/>
  <c r="D59" i="2"/>
  <c r="D46" i="2"/>
  <c r="H59" i="2"/>
  <c r="H46" i="2"/>
  <c r="H62" i="2" s="1"/>
  <c r="H47" i="2"/>
  <c r="F18" i="2"/>
  <c r="K19" i="2"/>
  <c r="F30" i="2"/>
  <c r="K30" i="2"/>
  <c r="D47" i="2"/>
  <c r="D58" i="2"/>
  <c r="E47" i="2"/>
  <c r="I47" i="2"/>
  <c r="I63" i="2" s="1"/>
  <c r="F26" i="28"/>
  <c r="J34" i="2" l="1"/>
  <c r="K35" i="2"/>
  <c r="K49" i="1" s="1"/>
  <c r="I35" i="2"/>
  <c r="I70" i="2" s="1"/>
  <c r="I34" i="2"/>
  <c r="I69" i="2" s="1"/>
  <c r="F35" i="2"/>
  <c r="G63" i="2"/>
  <c r="G62" i="2"/>
  <c r="D50" i="15"/>
  <c r="G35" i="2"/>
  <c r="B153" i="28"/>
  <c r="B11" i="5" s="1"/>
  <c r="G34" i="2"/>
  <c r="G69" i="2" s="1"/>
  <c r="K34" i="2"/>
  <c r="I64" i="2"/>
  <c r="J35" i="2"/>
  <c r="F63" i="2"/>
  <c r="M58" i="2"/>
  <c r="M59" i="2"/>
  <c r="H35" i="2"/>
  <c r="E63" i="2"/>
  <c r="E64" i="2" s="1"/>
  <c r="K64" i="2"/>
  <c r="D78" i="2"/>
  <c r="E6" i="2"/>
  <c r="D5" i="2"/>
  <c r="D77" i="2"/>
  <c r="D5" i="20"/>
  <c r="E6" i="20"/>
  <c r="F6" i="15"/>
  <c r="E5" i="15"/>
  <c r="E50" i="15" s="1"/>
  <c r="F34" i="2"/>
  <c r="H34" i="2"/>
  <c r="M31" i="2"/>
  <c r="D5" i="1"/>
  <c r="E6" i="1"/>
  <c r="E6" i="29"/>
  <c r="E5" i="29" s="1"/>
  <c r="D22" i="29"/>
  <c r="E6" i="10"/>
  <c r="E5" i="10" s="1"/>
  <c r="D40" i="10"/>
  <c r="D43" i="10" s="1"/>
  <c r="D47" i="10" s="1"/>
  <c r="D32" i="10"/>
  <c r="D36" i="10"/>
  <c r="D63" i="2"/>
  <c r="M47" i="2"/>
  <c r="G64" i="2"/>
  <c r="D34" i="2"/>
  <c r="M18" i="2"/>
  <c r="H63" i="2"/>
  <c r="D62" i="2"/>
  <c r="M46" i="2"/>
  <c r="E34" i="2"/>
  <c r="M30" i="2"/>
  <c r="B159" i="28"/>
  <c r="B17" i="5" s="1"/>
  <c r="B160" i="28"/>
  <c r="B156" i="28"/>
  <c r="B14" i="5" s="1"/>
  <c r="B157" i="28"/>
  <c r="B15" i="5" s="1"/>
  <c r="B154" i="28"/>
  <c r="B12" i="5" s="1"/>
  <c r="B155" i="28"/>
  <c r="B13" i="5" s="1"/>
  <c r="B158" i="28"/>
  <c r="B16" i="5" s="1"/>
  <c r="J62" i="2"/>
  <c r="D5" i="4"/>
  <c r="E6" i="4"/>
  <c r="D5" i="3"/>
  <c r="E6" i="3"/>
  <c r="M19" i="2"/>
  <c r="J63" i="2"/>
  <c r="D99" i="5"/>
  <c r="D93" i="5"/>
  <c r="D87" i="5"/>
  <c r="D81" i="5"/>
  <c r="D96" i="5"/>
  <c r="D90" i="5"/>
  <c r="D84" i="5"/>
  <c r="D66" i="5"/>
  <c r="D67" i="5" s="1"/>
  <c r="D50" i="5"/>
  <c r="D51" i="5" s="1"/>
  <c r="D70" i="5"/>
  <c r="D71" i="5" s="1"/>
  <c r="D58" i="5"/>
  <c r="D59" i="5" s="1"/>
  <c r="D74" i="5"/>
  <c r="D75" i="5" s="1"/>
  <c r="D62" i="5"/>
  <c r="D63" i="5" s="1"/>
  <c r="D5" i="5"/>
  <c r="E6" i="5"/>
  <c r="D54" i="5"/>
  <c r="D55" i="5" s="1"/>
  <c r="E6" i="11"/>
  <c r="D5" i="11"/>
  <c r="D5" i="19"/>
  <c r="E6" i="19"/>
  <c r="D33" i="28"/>
  <c r="C36" i="28"/>
  <c r="C35" i="28"/>
  <c r="D34" i="10" s="1"/>
  <c r="D38" i="10" s="1"/>
  <c r="C34" i="28"/>
  <c r="C32" i="28"/>
  <c r="D35" i="2"/>
  <c r="E26" i="28"/>
  <c r="F27" i="28"/>
  <c r="K70" i="2" l="1"/>
  <c r="I36" i="2"/>
  <c r="J36" i="2"/>
  <c r="K36" i="2"/>
  <c r="I49" i="1"/>
  <c r="F70" i="2"/>
  <c r="K69" i="2"/>
  <c r="K71" i="2" s="1"/>
  <c r="G70" i="2"/>
  <c r="G71" i="2" s="1"/>
  <c r="G36" i="2"/>
  <c r="G49" i="1"/>
  <c r="D45" i="10"/>
  <c r="D49" i="10" s="1"/>
  <c r="D46" i="10"/>
  <c r="D65" i="1" s="1"/>
  <c r="J70" i="2"/>
  <c r="F64" i="2"/>
  <c r="F49" i="1"/>
  <c r="E49" i="1"/>
  <c r="H70" i="2"/>
  <c r="J64" i="2"/>
  <c r="E70" i="2"/>
  <c r="H49" i="1"/>
  <c r="D79" i="2"/>
  <c r="D50" i="1" s="1"/>
  <c r="D70" i="2"/>
  <c r="D49" i="1"/>
  <c r="M35" i="2"/>
  <c r="D42" i="5"/>
  <c r="D41" i="5"/>
  <c r="B49" i="5"/>
  <c r="B82" i="5"/>
  <c r="B39" i="5"/>
  <c r="B51" i="1" s="1"/>
  <c r="B94" i="5"/>
  <c r="B65" i="5"/>
  <c r="B43" i="5"/>
  <c r="B55" i="1" s="1"/>
  <c r="M63" i="2"/>
  <c r="H69" i="2"/>
  <c r="H36" i="2"/>
  <c r="E78" i="2"/>
  <c r="E77" i="2"/>
  <c r="E5" i="2"/>
  <c r="F6" i="2"/>
  <c r="E33" i="28"/>
  <c r="D36" i="28"/>
  <c r="D35" i="28"/>
  <c r="E34" i="10" s="1"/>
  <c r="E38" i="10" s="1"/>
  <c r="D34" i="28"/>
  <c r="D32" i="28"/>
  <c r="F6" i="11"/>
  <c r="E5" i="11"/>
  <c r="F6" i="4"/>
  <c r="E5" i="4"/>
  <c r="B97" i="5"/>
  <c r="B44" i="5"/>
  <c r="B69" i="5"/>
  <c r="B91" i="5"/>
  <c r="B61" i="5"/>
  <c r="B42" i="5"/>
  <c r="B54" i="1" s="1"/>
  <c r="M62" i="2"/>
  <c r="D64" i="2"/>
  <c r="D69" i="2"/>
  <c r="D36" i="2"/>
  <c r="M34" i="2"/>
  <c r="F6" i="29"/>
  <c r="F5" i="29" s="1"/>
  <c r="E22" i="29"/>
  <c r="H64" i="2"/>
  <c r="J69" i="2"/>
  <c r="D35" i="10"/>
  <c r="D40" i="29"/>
  <c r="D8" i="20"/>
  <c r="D57" i="1" s="1"/>
  <c r="D14" i="19"/>
  <c r="D86" i="2"/>
  <c r="D28" i="3"/>
  <c r="D56" i="1" s="1"/>
  <c r="F6" i="19"/>
  <c r="E5" i="19"/>
  <c r="D40" i="5"/>
  <c r="E96" i="5"/>
  <c r="E90" i="5"/>
  <c r="E84" i="5"/>
  <c r="E99" i="5"/>
  <c r="E70" i="5"/>
  <c r="E71" i="5" s="1"/>
  <c r="E44" i="5" s="1"/>
  <c r="E54" i="5"/>
  <c r="E55" i="5" s="1"/>
  <c r="E40" i="5" s="1"/>
  <c r="E52" i="1" s="1"/>
  <c r="F6" i="5"/>
  <c r="E81" i="5"/>
  <c r="E87" i="5"/>
  <c r="E74" i="5"/>
  <c r="E75" i="5" s="1"/>
  <c r="E45" i="5" s="1"/>
  <c r="E62" i="5"/>
  <c r="E63" i="5" s="1"/>
  <c r="E42" i="5" s="1"/>
  <c r="E54" i="1" s="1"/>
  <c r="E93" i="5"/>
  <c r="E66" i="5"/>
  <c r="E67" i="5" s="1"/>
  <c r="E43" i="5" s="1"/>
  <c r="E55" i="1" s="1"/>
  <c r="E50" i="5"/>
  <c r="E51" i="5" s="1"/>
  <c r="E39" i="5" s="1"/>
  <c r="E5" i="5"/>
  <c r="E58" i="5"/>
  <c r="E59" i="5" s="1"/>
  <c r="E41" i="5" s="1"/>
  <c r="E53" i="1" s="1"/>
  <c r="D43" i="5"/>
  <c r="B57" i="5"/>
  <c r="B88" i="5"/>
  <c r="B41" i="5"/>
  <c r="B53" i="1" s="1"/>
  <c r="E40" i="10"/>
  <c r="E43" i="10" s="1"/>
  <c r="E47" i="10" s="1"/>
  <c r="E32" i="10"/>
  <c r="F6" i="10"/>
  <c r="F5" i="10" s="1"/>
  <c r="F6" i="1"/>
  <c r="E5" i="1"/>
  <c r="I71" i="2"/>
  <c r="G6" i="15"/>
  <c r="F5" i="15"/>
  <c r="F50" i="15" s="1"/>
  <c r="J49" i="1"/>
  <c r="D45" i="5"/>
  <c r="D44" i="5"/>
  <c r="D39" i="5"/>
  <c r="F6" i="3"/>
  <c r="E5" i="3"/>
  <c r="B85" i="5"/>
  <c r="B40" i="5"/>
  <c r="B52" i="1" s="1"/>
  <c r="B53" i="5"/>
  <c r="B100" i="5"/>
  <c r="B73" i="5"/>
  <c r="B45" i="5"/>
  <c r="E36" i="2"/>
  <c r="E69" i="2"/>
  <c r="F69" i="2"/>
  <c r="F36" i="2"/>
  <c r="F6" i="20"/>
  <c r="E5" i="20"/>
  <c r="E27" i="28"/>
  <c r="F71" i="2" l="1"/>
  <c r="J71" i="2"/>
  <c r="D53" i="10"/>
  <c r="D50" i="10"/>
  <c r="D51" i="10" s="1"/>
  <c r="H71" i="2"/>
  <c r="E71" i="2"/>
  <c r="M70" i="2"/>
  <c r="D54" i="10"/>
  <c r="B33" i="1"/>
  <c r="B14" i="1"/>
  <c r="D46" i="5"/>
  <c r="D51" i="1"/>
  <c r="G6" i="19"/>
  <c r="F5" i="19"/>
  <c r="G6" i="4"/>
  <c r="F5" i="4"/>
  <c r="E8" i="20"/>
  <c r="E57" i="1" s="1"/>
  <c r="E35" i="10"/>
  <c r="E14" i="19"/>
  <c r="E40" i="29"/>
  <c r="E86" i="2"/>
  <c r="E28" i="3"/>
  <c r="E56" i="1" s="1"/>
  <c r="E79" i="2"/>
  <c r="B36" i="1"/>
  <c r="B17" i="1"/>
  <c r="D53" i="1"/>
  <c r="E45" i="10"/>
  <c r="E49" i="10" s="1"/>
  <c r="E46" i="10"/>
  <c r="D55" i="1"/>
  <c r="D52" i="1"/>
  <c r="M36" i="2"/>
  <c r="B35" i="1"/>
  <c r="B16" i="1"/>
  <c r="F77" i="2"/>
  <c r="G6" i="2"/>
  <c r="F78" i="2"/>
  <c r="F5" i="2"/>
  <c r="G6" i="20"/>
  <c r="F5" i="20"/>
  <c r="G5" i="15"/>
  <c r="H6" i="15"/>
  <c r="G6" i="1"/>
  <c r="F5" i="1"/>
  <c r="B34" i="1"/>
  <c r="B15" i="1"/>
  <c r="F96" i="5"/>
  <c r="F90" i="5"/>
  <c r="F84" i="5"/>
  <c r="F99" i="5"/>
  <c r="F93" i="5"/>
  <c r="F87" i="5"/>
  <c r="F81" i="5"/>
  <c r="F58" i="5"/>
  <c r="F59" i="5" s="1"/>
  <c r="F41" i="5" s="1"/>
  <c r="F53" i="1" s="1"/>
  <c r="F5" i="5"/>
  <c r="F74" i="5"/>
  <c r="F75" i="5" s="1"/>
  <c r="F66" i="5"/>
  <c r="F67" i="5" s="1"/>
  <c r="F43" i="5" s="1"/>
  <c r="F55" i="1" s="1"/>
  <c r="F70" i="5"/>
  <c r="F71" i="5" s="1"/>
  <c r="F54" i="5"/>
  <c r="F55" i="5" s="1"/>
  <c r="F40" i="5" s="1"/>
  <c r="F52" i="1" s="1"/>
  <c r="G6" i="5"/>
  <c r="F62" i="5"/>
  <c r="F63" i="5" s="1"/>
  <c r="F42" i="5" s="1"/>
  <c r="F54" i="1" s="1"/>
  <c r="F50" i="5"/>
  <c r="F51" i="5" s="1"/>
  <c r="D119" i="2"/>
  <c r="D90" i="2"/>
  <c r="D131" i="2"/>
  <c r="D100" i="2"/>
  <c r="D130" i="2"/>
  <c r="D132" i="2"/>
  <c r="D103" i="2"/>
  <c r="D91" i="2"/>
  <c r="D118" i="2"/>
  <c r="D104" i="2"/>
  <c r="D128" i="2"/>
  <c r="D133" i="2"/>
  <c r="D102" i="2"/>
  <c r="D101" i="2"/>
  <c r="D105" i="2"/>
  <c r="D129" i="2"/>
  <c r="D23" i="29"/>
  <c r="D71" i="2"/>
  <c r="M69" i="2"/>
  <c r="F5" i="11"/>
  <c r="G6" i="11"/>
  <c r="G6" i="3"/>
  <c r="F5" i="3"/>
  <c r="G6" i="10"/>
  <c r="G5" i="10" s="1"/>
  <c r="F32" i="10"/>
  <c r="F40" i="10"/>
  <c r="F43" i="10" s="1"/>
  <c r="F47" i="10" s="1"/>
  <c r="E46" i="5"/>
  <c r="E51" i="1"/>
  <c r="G6" i="29"/>
  <c r="G5" i="29" s="1"/>
  <c r="F22" i="29"/>
  <c r="M64" i="2"/>
  <c r="E36" i="28"/>
  <c r="E35" i="28"/>
  <c r="F34" i="10" s="1"/>
  <c r="F38" i="10" s="1"/>
  <c r="E34" i="28"/>
  <c r="E32" i="28"/>
  <c r="F33" i="28"/>
  <c r="B32" i="1"/>
  <c r="B13" i="1"/>
  <c r="D54" i="1"/>
  <c r="N49" i="1"/>
  <c r="D11" i="1"/>
  <c r="D12" i="1"/>
  <c r="D18" i="1"/>
  <c r="D19" i="1"/>
  <c r="D57" i="10"/>
  <c r="D15" i="1" l="1"/>
  <c r="D13" i="1"/>
  <c r="D14" i="1"/>
  <c r="D17" i="1"/>
  <c r="D16" i="1"/>
  <c r="D58" i="10"/>
  <c r="D59" i="10" s="1"/>
  <c r="D55" i="10"/>
  <c r="D48" i="1"/>
  <c r="M71" i="2"/>
  <c r="E23" i="29"/>
  <c r="F14" i="19"/>
  <c r="F35" i="10"/>
  <c r="F8" i="20"/>
  <c r="F57" i="1" s="1"/>
  <c r="F86" i="2"/>
  <c r="F28" i="3"/>
  <c r="F56" i="1" s="1"/>
  <c r="F40" i="29"/>
  <c r="H6" i="3"/>
  <c r="G5" i="3"/>
  <c r="D120" i="2"/>
  <c r="I6" i="15"/>
  <c r="H5" i="15"/>
  <c r="E54" i="10"/>
  <c r="E50" i="10"/>
  <c r="E65" i="1"/>
  <c r="H6" i="19"/>
  <c r="G5" i="19"/>
  <c r="F45" i="10"/>
  <c r="F49" i="10" s="1"/>
  <c r="F46" i="10"/>
  <c r="D92" i="2"/>
  <c r="D106" i="2"/>
  <c r="G99" i="5"/>
  <c r="G93" i="5"/>
  <c r="G87" i="5"/>
  <c r="G81" i="5"/>
  <c r="G74" i="5"/>
  <c r="G75" i="5" s="1"/>
  <c r="G45" i="5" s="1"/>
  <c r="G62" i="5"/>
  <c r="G63" i="5" s="1"/>
  <c r="G42" i="5" s="1"/>
  <c r="G54" i="1" s="1"/>
  <c r="G84" i="5"/>
  <c r="G90" i="5"/>
  <c r="G70" i="5"/>
  <c r="G71" i="5" s="1"/>
  <c r="G44" i="5" s="1"/>
  <c r="G96" i="5"/>
  <c r="G58" i="5"/>
  <c r="G59" i="5" s="1"/>
  <c r="G41" i="5" s="1"/>
  <c r="G53" i="1" s="1"/>
  <c r="G66" i="5"/>
  <c r="G67" i="5" s="1"/>
  <c r="G43" i="5" s="1"/>
  <c r="G55" i="1" s="1"/>
  <c r="H6" i="5"/>
  <c r="G50" i="5"/>
  <c r="G51" i="5" s="1"/>
  <c r="G39" i="5" s="1"/>
  <c r="G54" i="5"/>
  <c r="G55" i="5" s="1"/>
  <c r="G5" i="5"/>
  <c r="F45" i="5"/>
  <c r="G50" i="15"/>
  <c r="F79" i="2"/>
  <c r="F50" i="1" s="1"/>
  <c r="E57" i="10"/>
  <c r="E53" i="10"/>
  <c r="H6" i="4"/>
  <c r="G5" i="4"/>
  <c r="G33" i="28"/>
  <c r="F36" i="28"/>
  <c r="F35" i="28"/>
  <c r="G34" i="10" s="1"/>
  <c r="G38" i="10" s="1"/>
  <c r="F34" i="28"/>
  <c r="F32" i="28"/>
  <c r="G22" i="29"/>
  <c r="H6" i="29"/>
  <c r="H5" i="29" s="1"/>
  <c r="H6" i="11"/>
  <c r="G5" i="11"/>
  <c r="D134" i="2"/>
  <c r="H6" i="20"/>
  <c r="G5" i="20"/>
  <c r="G77" i="2"/>
  <c r="G78" i="2"/>
  <c r="H6" i="2"/>
  <c r="G5" i="2"/>
  <c r="E102" i="2"/>
  <c r="E119" i="2"/>
  <c r="E105" i="2"/>
  <c r="E90" i="2"/>
  <c r="E101" i="2"/>
  <c r="E128" i="2"/>
  <c r="E131" i="2"/>
  <c r="E100" i="2"/>
  <c r="E130" i="2"/>
  <c r="E132" i="2"/>
  <c r="E103" i="2"/>
  <c r="E91" i="2"/>
  <c r="E118" i="2"/>
  <c r="E104" i="2"/>
  <c r="E133" i="2"/>
  <c r="E129" i="2"/>
  <c r="H6" i="10"/>
  <c r="H5" i="10" s="1"/>
  <c r="H32" i="10" s="1"/>
  <c r="G40" i="10"/>
  <c r="G43" i="10" s="1"/>
  <c r="G47" i="10" s="1"/>
  <c r="G32" i="10"/>
  <c r="D81" i="15"/>
  <c r="D82" i="15"/>
  <c r="F39" i="5"/>
  <c r="F44" i="5"/>
  <c r="H6" i="1"/>
  <c r="G5" i="1"/>
  <c r="E48" i="29"/>
  <c r="D66" i="1"/>
  <c r="D48" i="29"/>
  <c r="E66" i="1"/>
  <c r="E50" i="1"/>
  <c r="D86" i="29"/>
  <c r="E86" i="29" l="1"/>
  <c r="E87" i="29" s="1"/>
  <c r="D10" i="1"/>
  <c r="D20" i="1" s="1"/>
  <c r="E32" i="1"/>
  <c r="D58" i="1"/>
  <c r="D87" i="29"/>
  <c r="E92" i="2"/>
  <c r="E96" i="2" s="1"/>
  <c r="E55" i="10"/>
  <c r="E120" i="2"/>
  <c r="E125" i="2" s="1"/>
  <c r="G79" i="2"/>
  <c r="G50" i="1" s="1"/>
  <c r="F46" i="5"/>
  <c r="F51" i="1"/>
  <c r="H5" i="1"/>
  <c r="I6" i="1"/>
  <c r="I6" i="10"/>
  <c r="I5" i="10" s="1"/>
  <c r="H40" i="10"/>
  <c r="H43" i="10" s="1"/>
  <c r="H47" i="10" s="1"/>
  <c r="E106" i="2"/>
  <c r="E81" i="15"/>
  <c r="E82" i="15"/>
  <c r="G14" i="19"/>
  <c r="G28" i="3"/>
  <c r="G56" i="1" s="1"/>
  <c r="G86" i="2"/>
  <c r="G35" i="10"/>
  <c r="G8" i="20"/>
  <c r="G57" i="1" s="1"/>
  <c r="G40" i="29"/>
  <c r="H5" i="4"/>
  <c r="I6" i="4"/>
  <c r="D109" i="2"/>
  <c r="D108" i="2"/>
  <c r="F57" i="10"/>
  <c r="E15" i="1"/>
  <c r="E17" i="1"/>
  <c r="E11" i="1"/>
  <c r="E16" i="1"/>
  <c r="E18" i="1"/>
  <c r="E14" i="1"/>
  <c r="E19" i="1"/>
  <c r="J6" i="15"/>
  <c r="I5" i="15"/>
  <c r="F53" i="10"/>
  <c r="E13" i="1"/>
  <c r="E31" i="1"/>
  <c r="E12" i="1"/>
  <c r="D34" i="1"/>
  <c r="D31" i="1"/>
  <c r="D30" i="1"/>
  <c r="D33" i="1"/>
  <c r="D38" i="1"/>
  <c r="D29" i="1"/>
  <c r="D36" i="1"/>
  <c r="D32" i="1"/>
  <c r="D37" i="1"/>
  <c r="D35" i="1"/>
  <c r="G40" i="5"/>
  <c r="G46" i="5" s="1"/>
  <c r="D97" i="2"/>
  <c r="D96" i="2"/>
  <c r="F66" i="1"/>
  <c r="E51" i="10"/>
  <c r="E48" i="1"/>
  <c r="E58" i="10"/>
  <c r="E59" i="10" s="1"/>
  <c r="H5" i="3"/>
  <c r="I6" i="3"/>
  <c r="H5" i="19"/>
  <c r="I6" i="19"/>
  <c r="F48" i="29"/>
  <c r="F103" i="2"/>
  <c r="F128" i="2"/>
  <c r="F133" i="2"/>
  <c r="F102" i="2"/>
  <c r="F129" i="2"/>
  <c r="F119" i="2"/>
  <c r="F101" i="2"/>
  <c r="F118" i="2"/>
  <c r="F105" i="2"/>
  <c r="F90" i="2"/>
  <c r="F100" i="2"/>
  <c r="F130" i="2"/>
  <c r="F132" i="2"/>
  <c r="F131" i="2"/>
  <c r="F91" i="2"/>
  <c r="F104" i="2"/>
  <c r="E134" i="2"/>
  <c r="D136" i="2"/>
  <c r="D137" i="2"/>
  <c r="I6" i="11"/>
  <c r="H5" i="11"/>
  <c r="I6" i="29"/>
  <c r="I5" i="29" s="1"/>
  <c r="H22" i="29"/>
  <c r="G51" i="1"/>
  <c r="E36" i="1"/>
  <c r="E33" i="1"/>
  <c r="E35" i="1"/>
  <c r="E30" i="1"/>
  <c r="E34" i="1"/>
  <c r="F23" i="29"/>
  <c r="G45" i="10"/>
  <c r="G49" i="10" s="1"/>
  <c r="G46" i="10"/>
  <c r="E38" i="1"/>
  <c r="H78" i="2"/>
  <c r="I6" i="2"/>
  <c r="H77" i="2"/>
  <c r="H5" i="2"/>
  <c r="H5" i="20"/>
  <c r="I6" i="20"/>
  <c r="H33" i="28"/>
  <c r="G32" i="28"/>
  <c r="G35" i="28"/>
  <c r="H34" i="10" s="1"/>
  <c r="H38" i="10" s="1"/>
  <c r="G34" i="28"/>
  <c r="G36" i="28"/>
  <c r="E37" i="1"/>
  <c r="H99" i="5"/>
  <c r="H93" i="5"/>
  <c r="H87" i="5"/>
  <c r="H81" i="5"/>
  <c r="H96" i="5"/>
  <c r="H90" i="5"/>
  <c r="H84" i="5"/>
  <c r="H66" i="5"/>
  <c r="H67" i="5" s="1"/>
  <c r="H43" i="5" s="1"/>
  <c r="H55" i="1" s="1"/>
  <c r="H50" i="5"/>
  <c r="H51" i="5" s="1"/>
  <c r="H39" i="5" s="1"/>
  <c r="H70" i="5"/>
  <c r="H71" i="5" s="1"/>
  <c r="H58" i="5"/>
  <c r="H59" i="5" s="1"/>
  <c r="H74" i="5"/>
  <c r="H75" i="5" s="1"/>
  <c r="H62" i="5"/>
  <c r="H63" i="5" s="1"/>
  <c r="H42" i="5" s="1"/>
  <c r="H54" i="5"/>
  <c r="H55" i="5" s="1"/>
  <c r="H40" i="5" s="1"/>
  <c r="H52" i="1" s="1"/>
  <c r="H5" i="5"/>
  <c r="I6" i="5"/>
  <c r="F54" i="10"/>
  <c r="F65" i="1"/>
  <c r="F50" i="10"/>
  <c r="F48" i="1" s="1"/>
  <c r="H50" i="15"/>
  <c r="D125" i="2"/>
  <c r="D124" i="2"/>
  <c r="F31" i="1" l="1"/>
  <c r="F12" i="1"/>
  <c r="E97" i="2"/>
  <c r="D39" i="1"/>
  <c r="E124" i="2"/>
  <c r="G23" i="29"/>
  <c r="D140" i="2"/>
  <c r="D141" i="2"/>
  <c r="F92" i="2"/>
  <c r="F97" i="2" s="1"/>
  <c r="F37" i="1"/>
  <c r="D112" i="2"/>
  <c r="F38" i="1"/>
  <c r="F106" i="2"/>
  <c r="F109" i="2" s="1"/>
  <c r="D113" i="2"/>
  <c r="I33" i="28"/>
  <c r="H32" i="28"/>
  <c r="H35" i="28"/>
  <c r="I34" i="10" s="1"/>
  <c r="I38" i="10" s="1"/>
  <c r="H36" i="28"/>
  <c r="H34" i="28"/>
  <c r="H79" i="2"/>
  <c r="F81" i="15"/>
  <c r="F82" i="15"/>
  <c r="F120" i="2"/>
  <c r="F134" i="2"/>
  <c r="J6" i="19"/>
  <c r="I5" i="19"/>
  <c r="G52" i="1"/>
  <c r="F51" i="10"/>
  <c r="G133" i="2"/>
  <c r="G102" i="2"/>
  <c r="G129" i="2"/>
  <c r="G91" i="2"/>
  <c r="G90" i="2"/>
  <c r="G100" i="2"/>
  <c r="G104" i="2"/>
  <c r="G105" i="2"/>
  <c r="G101" i="2"/>
  <c r="G128" i="2"/>
  <c r="G130" i="2"/>
  <c r="G132" i="2"/>
  <c r="G131" i="2"/>
  <c r="G119" i="2"/>
  <c r="G118" i="2"/>
  <c r="G103" i="2"/>
  <c r="E109" i="2"/>
  <c r="E108" i="2"/>
  <c r="E112" i="2" s="1"/>
  <c r="H46" i="10"/>
  <c r="H45" i="10"/>
  <c r="H49" i="10" s="1"/>
  <c r="G48" i="29"/>
  <c r="F17" i="1"/>
  <c r="F15" i="1"/>
  <c r="F11" i="1"/>
  <c r="F14" i="1"/>
  <c r="F16" i="1"/>
  <c r="H44" i="5"/>
  <c r="H54" i="1"/>
  <c r="H51" i="1"/>
  <c r="H8" i="20"/>
  <c r="H57" i="1" s="1"/>
  <c r="H28" i="3"/>
  <c r="H56" i="1" s="1"/>
  <c r="H14" i="19"/>
  <c r="H35" i="10"/>
  <c r="H40" i="29"/>
  <c r="H23" i="29" s="1"/>
  <c r="H86" i="2"/>
  <c r="J6" i="20"/>
  <c r="I5" i="20"/>
  <c r="F18" i="1"/>
  <c r="F30" i="1"/>
  <c r="F34" i="1"/>
  <c r="F35" i="1"/>
  <c r="F36" i="1"/>
  <c r="F33" i="1"/>
  <c r="F86" i="29"/>
  <c r="I32" i="10"/>
  <c r="J6" i="10"/>
  <c r="J5" i="10" s="1"/>
  <c r="I40" i="10"/>
  <c r="I43" i="10" s="1"/>
  <c r="I47" i="10" s="1"/>
  <c r="J6" i="1"/>
  <c r="I5" i="1"/>
  <c r="F19" i="1"/>
  <c r="I96" i="5"/>
  <c r="I90" i="5"/>
  <c r="I84" i="5"/>
  <c r="I81" i="5"/>
  <c r="I70" i="5"/>
  <c r="I71" i="5" s="1"/>
  <c r="I44" i="5" s="1"/>
  <c r="I54" i="5"/>
  <c r="J6" i="5"/>
  <c r="I87" i="5"/>
  <c r="I93" i="5"/>
  <c r="I74" i="5"/>
  <c r="I75" i="5" s="1"/>
  <c r="I45" i="5" s="1"/>
  <c r="I62" i="5"/>
  <c r="I63" i="5" s="1"/>
  <c r="I42" i="5" s="1"/>
  <c r="I54" i="1" s="1"/>
  <c r="I99" i="5"/>
  <c r="I66" i="5"/>
  <c r="I67" i="5" s="1"/>
  <c r="I43" i="5" s="1"/>
  <c r="I55" i="1" s="1"/>
  <c r="I50" i="5"/>
  <c r="I58" i="5"/>
  <c r="I59" i="5" s="1"/>
  <c r="I41" i="5" s="1"/>
  <c r="I53" i="1" s="1"/>
  <c r="I5" i="5"/>
  <c r="H45" i="5"/>
  <c r="G65" i="1"/>
  <c r="G50" i="10"/>
  <c r="G48" i="1" s="1"/>
  <c r="J6" i="11"/>
  <c r="I5" i="11"/>
  <c r="E58" i="1"/>
  <c r="E29" i="1"/>
  <c r="E10" i="1"/>
  <c r="F58" i="10"/>
  <c r="F59" i="10" s="1"/>
  <c r="I50" i="15"/>
  <c r="F32" i="1"/>
  <c r="F13" i="1"/>
  <c r="F29" i="1"/>
  <c r="F10" i="1"/>
  <c r="F58" i="1"/>
  <c r="H41" i="5"/>
  <c r="I78" i="2"/>
  <c r="I77" i="2"/>
  <c r="I5" i="2"/>
  <c r="J6" i="2"/>
  <c r="G66" i="1"/>
  <c r="J6" i="29"/>
  <c r="J5" i="29" s="1"/>
  <c r="I22" i="29"/>
  <c r="E137" i="2"/>
  <c r="E141" i="2" s="1"/>
  <c r="E136" i="2"/>
  <c r="E140" i="2" s="1"/>
  <c r="J6" i="3"/>
  <c r="I5" i="3"/>
  <c r="F55" i="10"/>
  <c r="K6" i="15"/>
  <c r="K5" i="15" s="1"/>
  <c r="J5" i="15"/>
  <c r="J6" i="4"/>
  <c r="I5" i="4"/>
  <c r="G54" i="10"/>
  <c r="G53" i="10"/>
  <c r="G57" i="10"/>
  <c r="E113" i="2" l="1"/>
  <c r="E148" i="2" s="1"/>
  <c r="E39" i="1"/>
  <c r="E20" i="1"/>
  <c r="G13" i="1"/>
  <c r="F87" i="29"/>
  <c r="I78" i="15"/>
  <c r="I80" i="15" s="1"/>
  <c r="I28" i="3"/>
  <c r="I56" i="1" s="1"/>
  <c r="D147" i="2"/>
  <c r="J94" i="5"/>
  <c r="J102" i="5" s="1"/>
  <c r="J15" i="4" s="1"/>
  <c r="K91" i="5"/>
  <c r="F20" i="1"/>
  <c r="F39" i="1"/>
  <c r="G58" i="10"/>
  <c r="G59" i="10" s="1"/>
  <c r="D142" i="2"/>
  <c r="F96" i="2"/>
  <c r="D148" i="2"/>
  <c r="E142" i="2"/>
  <c r="G92" i="2"/>
  <c r="G97" i="2" s="1"/>
  <c r="F113" i="2"/>
  <c r="F108" i="2"/>
  <c r="D114" i="2"/>
  <c r="G55" i="10"/>
  <c r="J50" i="15"/>
  <c r="K6" i="3"/>
  <c r="K5" i="3" s="1"/>
  <c r="J5" i="3"/>
  <c r="H53" i="1"/>
  <c r="I46" i="10"/>
  <c r="I45" i="10"/>
  <c r="I49" i="10" s="1"/>
  <c r="G18" i="1"/>
  <c r="H53" i="10"/>
  <c r="H57" i="10"/>
  <c r="G81" i="15"/>
  <c r="G82" i="15"/>
  <c r="G14" i="1"/>
  <c r="G33" i="1"/>
  <c r="K6" i="19"/>
  <c r="K5" i="19" s="1"/>
  <c r="J5" i="19"/>
  <c r="H50" i="1"/>
  <c r="I14" i="19"/>
  <c r="I40" i="29"/>
  <c r="I86" i="2"/>
  <c r="I35" i="10"/>
  <c r="I8" i="20"/>
  <c r="I57" i="1" s="1"/>
  <c r="I32" i="28"/>
  <c r="J33" i="28"/>
  <c r="I35" i="28"/>
  <c r="J34" i="10" s="1"/>
  <c r="J38" i="10" s="1"/>
  <c r="I36" i="28"/>
  <c r="I34" i="28"/>
  <c r="K94" i="5" s="1"/>
  <c r="J40" i="10"/>
  <c r="J43" i="10" s="1"/>
  <c r="J47" i="10" s="1"/>
  <c r="K6" i="10"/>
  <c r="K5" i="10" s="1"/>
  <c r="J32" i="10"/>
  <c r="K6" i="20"/>
  <c r="K5" i="20" s="1"/>
  <c r="J5" i="20"/>
  <c r="H54" i="10"/>
  <c r="H50" i="10"/>
  <c r="H65" i="1"/>
  <c r="F136" i="2"/>
  <c r="F137" i="2"/>
  <c r="G38" i="1"/>
  <c r="G37" i="1"/>
  <c r="G30" i="1"/>
  <c r="G35" i="1"/>
  <c r="G36" i="1"/>
  <c r="G32" i="1"/>
  <c r="G31" i="1"/>
  <c r="G34" i="1"/>
  <c r="K6" i="29"/>
  <c r="K5" i="29" s="1"/>
  <c r="I79" i="2"/>
  <c r="G58" i="1"/>
  <c r="G10" i="1"/>
  <c r="G29" i="1"/>
  <c r="H101" i="2"/>
  <c r="H130" i="2"/>
  <c r="H132" i="2"/>
  <c r="H131" i="2"/>
  <c r="H100" i="2"/>
  <c r="H118" i="2"/>
  <c r="H104" i="2"/>
  <c r="H103" i="2"/>
  <c r="H91" i="2"/>
  <c r="H102" i="2"/>
  <c r="H129" i="2"/>
  <c r="H128" i="2"/>
  <c r="H105" i="2"/>
  <c r="H90" i="2"/>
  <c r="H119" i="2"/>
  <c r="H133" i="2"/>
  <c r="H46" i="5"/>
  <c r="E88" i="29"/>
  <c r="H66" i="1"/>
  <c r="F125" i="2"/>
  <c r="F124" i="2"/>
  <c r="G51" i="10"/>
  <c r="H48" i="29"/>
  <c r="K50" i="15"/>
  <c r="K6" i="4"/>
  <c r="K5" i="4" s="1"/>
  <c r="J5" i="4"/>
  <c r="J77" i="2"/>
  <c r="J78" i="2"/>
  <c r="K6" i="2"/>
  <c r="L56" i="2" s="1"/>
  <c r="J5" i="2"/>
  <c r="L31" i="2"/>
  <c r="L18" i="2"/>
  <c r="L19" i="2"/>
  <c r="L47" i="2"/>
  <c r="L13" i="2"/>
  <c r="L12" i="2"/>
  <c r="L51" i="2"/>
  <c r="L34" i="2"/>
  <c r="L63" i="2"/>
  <c r="L22" i="2"/>
  <c r="L58" i="2"/>
  <c r="L27" i="2"/>
  <c r="J5" i="11"/>
  <c r="K6" i="11"/>
  <c r="K5" i="11" s="1"/>
  <c r="G19" i="1"/>
  <c r="G11" i="1"/>
  <c r="G17" i="1"/>
  <c r="G15" i="1"/>
  <c r="G12" i="1"/>
  <c r="G16" i="1"/>
  <c r="J96" i="5"/>
  <c r="J90" i="5"/>
  <c r="J84" i="5"/>
  <c r="J99" i="5"/>
  <c r="J93" i="5"/>
  <c r="J87" i="5"/>
  <c r="J81" i="5"/>
  <c r="J58" i="5"/>
  <c r="J59" i="5" s="1"/>
  <c r="J5" i="5"/>
  <c r="J74" i="5"/>
  <c r="J75" i="5" s="1"/>
  <c r="J66" i="5"/>
  <c r="J67" i="5" s="1"/>
  <c r="J43" i="5" s="1"/>
  <c r="J70" i="5"/>
  <c r="J71" i="5" s="1"/>
  <c r="J54" i="5"/>
  <c r="J50" i="5"/>
  <c r="J62" i="5"/>
  <c r="J63" i="5" s="1"/>
  <c r="J42" i="5" s="1"/>
  <c r="K6" i="5"/>
  <c r="L16" i="5" s="1"/>
  <c r="L14" i="5"/>
  <c r="L57" i="5"/>
  <c r="K6" i="1"/>
  <c r="J5" i="1"/>
  <c r="E147" i="2"/>
  <c r="L41" i="2"/>
  <c r="L46" i="2"/>
  <c r="G120" i="2"/>
  <c r="G134" i="2"/>
  <c r="G106" i="2"/>
  <c r="G86" i="29"/>
  <c r="L26" i="2"/>
  <c r="L53" i="2"/>
  <c r="E114" i="2" l="1"/>
  <c r="H37" i="1"/>
  <c r="H19" i="1"/>
  <c r="D88" i="29"/>
  <c r="G87" i="29"/>
  <c r="J11" i="3"/>
  <c r="K11" i="3"/>
  <c r="K12" i="3" s="1"/>
  <c r="K17" i="4" s="1"/>
  <c r="D149" i="2"/>
  <c r="J22" i="29"/>
  <c r="G20" i="1"/>
  <c r="G39" i="1"/>
  <c r="L23" i="2"/>
  <c r="L36" i="2"/>
  <c r="L17" i="5"/>
  <c r="L40" i="2"/>
  <c r="L42" i="2" s="1"/>
  <c r="L30" i="2"/>
  <c r="L24" i="2"/>
  <c r="L50" i="2"/>
  <c r="L69" i="5"/>
  <c r="L62" i="2"/>
  <c r="L52" i="2"/>
  <c r="L65" i="5"/>
  <c r="L59" i="2"/>
  <c r="L73" i="5"/>
  <c r="L35" i="2"/>
  <c r="L64" i="2"/>
  <c r="L61" i="5"/>
  <c r="L13" i="5"/>
  <c r="L55" i="2"/>
  <c r="L71" i="2"/>
  <c r="L54" i="2"/>
  <c r="L15" i="5"/>
  <c r="L28" i="2"/>
  <c r="L70" i="2"/>
  <c r="F112" i="2"/>
  <c r="F114" i="2" s="1"/>
  <c r="G96" i="2"/>
  <c r="H18" i="1"/>
  <c r="H55" i="10"/>
  <c r="J79" i="2"/>
  <c r="J50" i="1" s="1"/>
  <c r="K99" i="5"/>
  <c r="K93" i="5"/>
  <c r="K87" i="5"/>
  <c r="K81" i="5"/>
  <c r="K84" i="5"/>
  <c r="K74" i="5"/>
  <c r="K75" i="5" s="1"/>
  <c r="K45" i="5" s="1"/>
  <c r="K62" i="5"/>
  <c r="K63" i="5" s="1"/>
  <c r="L63" i="5" s="1"/>
  <c r="K90" i="5"/>
  <c r="K96" i="5"/>
  <c r="K70" i="5"/>
  <c r="K71" i="5" s="1"/>
  <c r="K54" i="5"/>
  <c r="K58" i="5"/>
  <c r="K59" i="5" s="1"/>
  <c r="K41" i="5" s="1"/>
  <c r="K53" i="1" s="1"/>
  <c r="K5" i="5"/>
  <c r="K66" i="5"/>
  <c r="K67" i="5" s="1"/>
  <c r="L67" i="5" s="1"/>
  <c r="K50" i="5"/>
  <c r="L75" i="5"/>
  <c r="J44" i="5"/>
  <c r="L71" i="5"/>
  <c r="J41" i="5"/>
  <c r="L59" i="5"/>
  <c r="F140" i="2"/>
  <c r="H120" i="2"/>
  <c r="H51" i="10"/>
  <c r="H48" i="1"/>
  <c r="H13" i="1"/>
  <c r="K32" i="10"/>
  <c r="K40" i="10"/>
  <c r="K43" i="10" s="1"/>
  <c r="K47" i="10" s="1"/>
  <c r="J35" i="10"/>
  <c r="J8" i="20"/>
  <c r="J57" i="1" s="1"/>
  <c r="J40" i="29"/>
  <c r="J14" i="19"/>
  <c r="J86" i="2"/>
  <c r="I101" i="2"/>
  <c r="I119" i="2"/>
  <c r="I105" i="2"/>
  <c r="I132" i="2"/>
  <c r="I131" i="2"/>
  <c r="I100" i="2"/>
  <c r="I130" i="2"/>
  <c r="I128" i="2"/>
  <c r="I118" i="2"/>
  <c r="I102" i="2"/>
  <c r="I104" i="2"/>
  <c r="I103" i="2"/>
  <c r="I91" i="2"/>
  <c r="I90" i="2"/>
  <c r="I133" i="2"/>
  <c r="I129" i="2"/>
  <c r="H16" i="1"/>
  <c r="I65" i="1"/>
  <c r="I50" i="10"/>
  <c r="I48" i="1" s="1"/>
  <c r="H15" i="1"/>
  <c r="H34" i="1"/>
  <c r="G137" i="2"/>
  <c r="G136" i="2"/>
  <c r="G124" i="2"/>
  <c r="G125" i="2"/>
  <c r="J54" i="1"/>
  <c r="J55" i="1"/>
  <c r="K77" i="2"/>
  <c r="K78" i="2"/>
  <c r="K5" i="2"/>
  <c r="L77" i="2"/>
  <c r="L25" i="2"/>
  <c r="L69" i="2"/>
  <c r="H81" i="15"/>
  <c r="H82" i="15"/>
  <c r="F141" i="2"/>
  <c r="J46" i="10"/>
  <c r="J45" i="10"/>
  <c r="J49" i="10" s="1"/>
  <c r="I23" i="29"/>
  <c r="I35" i="29" s="1"/>
  <c r="H86" i="29"/>
  <c r="H58" i="10"/>
  <c r="H59" i="10" s="1"/>
  <c r="E149" i="2"/>
  <c r="J45" i="5"/>
  <c r="L45" i="5" s="1"/>
  <c r="H92" i="2"/>
  <c r="H106" i="2"/>
  <c r="I50" i="1"/>
  <c r="H12" i="1"/>
  <c r="H31" i="1"/>
  <c r="G109" i="2"/>
  <c r="G108" i="2"/>
  <c r="K5" i="1"/>
  <c r="M49" i="1"/>
  <c r="L14" i="2"/>
  <c r="H30" i="1"/>
  <c r="H36" i="1"/>
  <c r="H33" i="1"/>
  <c r="H134" i="2"/>
  <c r="H11" i="1"/>
  <c r="H14" i="1"/>
  <c r="H17" i="1"/>
  <c r="H32" i="1"/>
  <c r="J32" i="28"/>
  <c r="J35" i="28"/>
  <c r="K34" i="10" s="1"/>
  <c r="K38" i="10" s="1"/>
  <c r="J36" i="28"/>
  <c r="J34" i="28"/>
  <c r="I54" i="10"/>
  <c r="I53" i="10"/>
  <c r="I57" i="10"/>
  <c r="H35" i="1"/>
  <c r="H38" i="1"/>
  <c r="J12" i="3" l="1"/>
  <c r="J17" i="4" s="1"/>
  <c r="J26" i="4" s="1"/>
  <c r="J28" i="3"/>
  <c r="J56" i="1" s="1"/>
  <c r="D89" i="29"/>
  <c r="D51" i="29"/>
  <c r="E89" i="29"/>
  <c r="E51" i="29"/>
  <c r="H87" i="29"/>
  <c r="G88" i="29"/>
  <c r="F88" i="29"/>
  <c r="I18" i="1"/>
  <c r="I19" i="1"/>
  <c r="G141" i="2"/>
  <c r="L79" i="2"/>
  <c r="K79" i="2"/>
  <c r="K50" i="1" s="1"/>
  <c r="N50" i="1" s="1"/>
  <c r="I51" i="10"/>
  <c r="I58" i="10"/>
  <c r="I59" i="10" s="1"/>
  <c r="J23" i="29"/>
  <c r="J35" i="29" s="1"/>
  <c r="M75" i="5"/>
  <c r="G140" i="2"/>
  <c r="I55" i="10"/>
  <c r="M59" i="5"/>
  <c r="I120" i="2"/>
  <c r="I125" i="2" s="1"/>
  <c r="H96" i="2"/>
  <c r="H97" i="2"/>
  <c r="I11" i="1"/>
  <c r="I17" i="1"/>
  <c r="I15" i="1"/>
  <c r="I16" i="1"/>
  <c r="M56" i="1"/>
  <c r="F142" i="2"/>
  <c r="F147" i="2"/>
  <c r="K35" i="10"/>
  <c r="K8" i="20"/>
  <c r="K57" i="1" s="1"/>
  <c r="K14" i="19"/>
  <c r="K28" i="3"/>
  <c r="K56" i="1" s="1"/>
  <c r="K40" i="29"/>
  <c r="K86" i="2"/>
  <c r="G112" i="2"/>
  <c r="I12" i="1"/>
  <c r="M50" i="1"/>
  <c r="H109" i="2"/>
  <c r="H108" i="2"/>
  <c r="F148" i="2"/>
  <c r="I81" i="15"/>
  <c r="I82" i="15"/>
  <c r="I106" i="2"/>
  <c r="J54" i="10"/>
  <c r="J53" i="10"/>
  <c r="J57" i="10"/>
  <c r="H58" i="1"/>
  <c r="H29" i="1"/>
  <c r="H10" i="1"/>
  <c r="K42" i="5"/>
  <c r="L42" i="5" s="1"/>
  <c r="M63" i="5"/>
  <c r="H136" i="2"/>
  <c r="H137" i="2"/>
  <c r="G113" i="2"/>
  <c r="I92" i="2"/>
  <c r="K46" i="10"/>
  <c r="K45" i="10"/>
  <c r="K49" i="10" s="1"/>
  <c r="H125" i="2"/>
  <c r="H124" i="2"/>
  <c r="K43" i="5"/>
  <c r="L43" i="5" s="1"/>
  <c r="M67" i="5"/>
  <c r="K44" i="5"/>
  <c r="M44" i="5" s="1"/>
  <c r="M71" i="5"/>
  <c r="M45" i="5"/>
  <c r="J65" i="1"/>
  <c r="J50" i="10"/>
  <c r="J48" i="1" s="1"/>
  <c r="M77" i="2"/>
  <c r="I10" i="1"/>
  <c r="I134" i="2"/>
  <c r="J101" i="2"/>
  <c r="J119" i="2"/>
  <c r="J105" i="2"/>
  <c r="J90" i="2"/>
  <c r="J131" i="2"/>
  <c r="J130" i="2"/>
  <c r="J104" i="2"/>
  <c r="J103" i="2"/>
  <c r="J91" i="2"/>
  <c r="J118" i="2"/>
  <c r="J129" i="2"/>
  <c r="J128" i="2"/>
  <c r="J133" i="2"/>
  <c r="J102" i="2"/>
  <c r="J132" i="2"/>
  <c r="J100" i="2"/>
  <c r="J53" i="1"/>
  <c r="M41" i="5"/>
  <c r="L41" i="5"/>
  <c r="H39" i="1" l="1"/>
  <c r="H20" i="1"/>
  <c r="E90" i="29"/>
  <c r="E60" i="1" s="1"/>
  <c r="E59" i="1"/>
  <c r="D90" i="29"/>
  <c r="D60" i="1" s="1"/>
  <c r="D59" i="1"/>
  <c r="N56" i="1"/>
  <c r="H112" i="2"/>
  <c r="M57" i="1"/>
  <c r="L44" i="5"/>
  <c r="G142" i="2"/>
  <c r="M79" i="2"/>
  <c r="I124" i="2"/>
  <c r="H113" i="2"/>
  <c r="J16" i="1"/>
  <c r="J106" i="2"/>
  <c r="J10" i="1"/>
  <c r="K65" i="1"/>
  <c r="K50" i="10"/>
  <c r="K48" i="1" s="1"/>
  <c r="I109" i="2"/>
  <c r="I108" i="2"/>
  <c r="K23" i="29"/>
  <c r="J11" i="1"/>
  <c r="J12" i="1"/>
  <c r="H141" i="2"/>
  <c r="K54" i="1"/>
  <c r="M42" i="5"/>
  <c r="M48" i="1"/>
  <c r="J58" i="10"/>
  <c r="J59" i="10" s="1"/>
  <c r="G114" i="2"/>
  <c r="G147" i="2"/>
  <c r="M19" i="1"/>
  <c r="J134" i="2"/>
  <c r="I136" i="2"/>
  <c r="I137" i="2"/>
  <c r="I141" i="2" s="1"/>
  <c r="G148" i="2"/>
  <c r="J51" i="10"/>
  <c r="H140" i="2"/>
  <c r="M10" i="1"/>
  <c r="J17" i="1"/>
  <c r="J18" i="1"/>
  <c r="J81" i="15"/>
  <c r="J82" i="15"/>
  <c r="J15" i="1"/>
  <c r="M15" i="1"/>
  <c r="M53" i="1"/>
  <c r="N53" i="1"/>
  <c r="J120" i="2"/>
  <c r="J92" i="2"/>
  <c r="L91" i="2"/>
  <c r="K55" i="1"/>
  <c r="M43" i="5"/>
  <c r="I97" i="2"/>
  <c r="I96" i="2"/>
  <c r="H88" i="29"/>
  <c r="J55" i="10"/>
  <c r="M12" i="1"/>
  <c r="K131" i="2"/>
  <c r="M131" i="2" s="1"/>
  <c r="K100" i="2"/>
  <c r="L100" i="2" s="1"/>
  <c r="K130" i="2"/>
  <c r="M130" i="2" s="1"/>
  <c r="K104" i="2"/>
  <c r="M104" i="2" s="1"/>
  <c r="K105" i="2"/>
  <c r="M105" i="2" s="1"/>
  <c r="K103" i="2"/>
  <c r="M103" i="2" s="1"/>
  <c r="K91" i="2"/>
  <c r="M91" i="2" s="1"/>
  <c r="K118" i="2"/>
  <c r="M118" i="2" s="1"/>
  <c r="K132" i="2"/>
  <c r="M132" i="2" s="1"/>
  <c r="K101" i="2"/>
  <c r="M101" i="2" s="1"/>
  <c r="K119" i="2"/>
  <c r="L119" i="2" s="1"/>
  <c r="K90" i="2"/>
  <c r="K129" i="2"/>
  <c r="M129" i="2" s="1"/>
  <c r="K128" i="2"/>
  <c r="L128" i="2" s="1"/>
  <c r="K133" i="2"/>
  <c r="M133" i="2" s="1"/>
  <c r="K102" i="2"/>
  <c r="M102" i="2" s="1"/>
  <c r="N57" i="1"/>
  <c r="J19" i="1"/>
  <c r="M18" i="1"/>
  <c r="K57" i="10"/>
  <c r="K54" i="10"/>
  <c r="K53" i="10"/>
  <c r="F149" i="2"/>
  <c r="M11" i="1"/>
  <c r="M17" i="1" l="1"/>
  <c r="N48" i="1"/>
  <c r="N11" i="1"/>
  <c r="E21" i="1"/>
  <c r="E40" i="1"/>
  <c r="D40" i="1"/>
  <c r="D21" i="1"/>
  <c r="F89" i="29"/>
  <c r="F51" i="29"/>
  <c r="G89" i="29"/>
  <c r="G51" i="29"/>
  <c r="I140" i="2"/>
  <c r="I142" i="2" s="1"/>
  <c r="M54" i="1"/>
  <c r="L132" i="2"/>
  <c r="L102" i="2"/>
  <c r="K81" i="15"/>
  <c r="K82" i="15"/>
  <c r="L105" i="2"/>
  <c r="L101" i="2"/>
  <c r="L90" i="2"/>
  <c r="L92" i="2" s="1"/>
  <c r="L104" i="2"/>
  <c r="L103" i="2"/>
  <c r="L133" i="2"/>
  <c r="L130" i="2"/>
  <c r="M55" i="1"/>
  <c r="M16" i="1"/>
  <c r="L129" i="2"/>
  <c r="L131" i="2"/>
  <c r="L118" i="2"/>
  <c r="L120" i="2" s="1"/>
  <c r="N18" i="1"/>
  <c r="N15" i="1"/>
  <c r="K55" i="10"/>
  <c r="H148" i="2"/>
  <c r="K19" i="1"/>
  <c r="H114" i="2"/>
  <c r="I113" i="2"/>
  <c r="I148" i="2" s="1"/>
  <c r="K18" i="1"/>
  <c r="N10" i="1"/>
  <c r="K58" i="10"/>
  <c r="K59" i="10" s="1"/>
  <c r="N19" i="1"/>
  <c r="K51" i="10"/>
  <c r="N12" i="1"/>
  <c r="K16" i="1"/>
  <c r="N54" i="1"/>
  <c r="N16" i="1"/>
  <c r="J108" i="2"/>
  <c r="J109" i="2"/>
  <c r="L106" i="2"/>
  <c r="J136" i="2"/>
  <c r="J137" i="2"/>
  <c r="M128" i="2"/>
  <c r="K134" i="2"/>
  <c r="L134" i="2" s="1"/>
  <c r="I112" i="2"/>
  <c r="J124" i="2"/>
  <c r="J125" i="2"/>
  <c r="H142" i="2"/>
  <c r="K10" i="1"/>
  <c r="M90" i="2"/>
  <c r="M92" i="2" s="1"/>
  <c r="K120" i="2"/>
  <c r="K92" i="2"/>
  <c r="K106" i="2"/>
  <c r="K17" i="1"/>
  <c r="N17" i="1"/>
  <c r="N55" i="1"/>
  <c r="J96" i="2"/>
  <c r="J97" i="2"/>
  <c r="H147" i="2"/>
  <c r="K11" i="1"/>
  <c r="K15" i="1"/>
  <c r="K12" i="1"/>
  <c r="M100" i="2"/>
  <c r="M119" i="2"/>
  <c r="M120" i="2" s="1"/>
  <c r="G149" i="2"/>
  <c r="F90" i="29" l="1"/>
  <c r="F60" i="1" s="1"/>
  <c r="F59" i="1"/>
  <c r="G90" i="29"/>
  <c r="G60" i="1" s="1"/>
  <c r="G59" i="1"/>
  <c r="H89" i="29"/>
  <c r="H51" i="29"/>
  <c r="J113" i="2"/>
  <c r="L97" i="2"/>
  <c r="K96" i="2"/>
  <c r="L96" i="2" s="1"/>
  <c r="K97" i="2"/>
  <c r="M97" i="2" s="1"/>
  <c r="J141" i="2"/>
  <c r="H149" i="2"/>
  <c r="K124" i="2"/>
  <c r="M124" i="2" s="1"/>
  <c r="K125" i="2"/>
  <c r="L125" i="2" s="1"/>
  <c r="J140" i="2"/>
  <c r="L124" i="2"/>
  <c r="K136" i="2"/>
  <c r="M136" i="2" s="1"/>
  <c r="K137" i="2"/>
  <c r="M137" i="2" s="1"/>
  <c r="M134" i="2"/>
  <c r="I147" i="2"/>
  <c r="I149" i="2" s="1"/>
  <c r="I114" i="2"/>
  <c r="K108" i="2"/>
  <c r="M108" i="2" s="1"/>
  <c r="K109" i="2"/>
  <c r="M109" i="2" s="1"/>
  <c r="M106" i="2"/>
  <c r="J112" i="2"/>
  <c r="L108" i="2"/>
  <c r="G40" i="1" l="1"/>
  <c r="F40" i="1"/>
  <c r="F21" i="1"/>
  <c r="G21" i="1"/>
  <c r="H90" i="29"/>
  <c r="H60" i="1" s="1"/>
  <c r="H59" i="1"/>
  <c r="L136" i="2"/>
  <c r="L137" i="2"/>
  <c r="L109" i="2"/>
  <c r="K141" i="2"/>
  <c r="M141" i="2" s="1"/>
  <c r="K140" i="2"/>
  <c r="K113" i="2"/>
  <c r="J148" i="2"/>
  <c r="L148" i="2" s="1"/>
  <c r="L113" i="2"/>
  <c r="J142" i="2"/>
  <c r="L140" i="2"/>
  <c r="M125" i="2"/>
  <c r="K112" i="2"/>
  <c r="L112" i="2" s="1"/>
  <c r="M96" i="2"/>
  <c r="J147" i="2"/>
  <c r="J114" i="2"/>
  <c r="H21" i="1" l="1"/>
  <c r="H40" i="1"/>
  <c r="M112" i="2"/>
  <c r="K148" i="2"/>
  <c r="M148" i="2" s="1"/>
  <c r="L141" i="2"/>
  <c r="L142" i="2"/>
  <c r="K142" i="2"/>
  <c r="M142" i="2" s="1"/>
  <c r="M140" i="2"/>
  <c r="M113" i="2"/>
  <c r="K147" i="2"/>
  <c r="K114" i="2"/>
  <c r="M114" i="2" s="1"/>
  <c r="J149" i="2"/>
  <c r="L149" i="2" s="1"/>
  <c r="L147" i="2"/>
  <c r="K149" i="2" l="1"/>
  <c r="M149" i="2" s="1"/>
  <c r="L114" i="2"/>
  <c r="M147" i="2"/>
  <c r="K85" i="5" l="1"/>
  <c r="I53" i="5" l="1"/>
  <c r="L12" i="5"/>
  <c r="J49" i="5"/>
  <c r="J51" i="5" s="1"/>
  <c r="J39" i="5" s="1"/>
  <c r="I18" i="5"/>
  <c r="I49" i="5"/>
  <c r="K82" i="5"/>
  <c r="K102" i="5" s="1"/>
  <c r="L11" i="5"/>
  <c r="J53" i="5"/>
  <c r="J55" i="5" s="1"/>
  <c r="J40" i="5" s="1"/>
  <c r="J52" i="1" s="1"/>
  <c r="L18" i="5" l="1"/>
  <c r="J14" i="1"/>
  <c r="K49" i="5"/>
  <c r="K51" i="5" s="1"/>
  <c r="I55" i="5"/>
  <c r="L53" i="5"/>
  <c r="M11" i="5"/>
  <c r="I51" i="5"/>
  <c r="L49" i="5"/>
  <c r="J18" i="5"/>
  <c r="K15" i="4"/>
  <c r="K22" i="29"/>
  <c r="K35" i="29" s="1"/>
  <c r="J51" i="1"/>
  <c r="J46" i="5"/>
  <c r="K53" i="5"/>
  <c r="K55" i="5" s="1"/>
  <c r="K40" i="5" s="1"/>
  <c r="K52" i="1" s="1"/>
  <c r="M49" i="5" l="1"/>
  <c r="K26" i="4"/>
  <c r="M53" i="5"/>
  <c r="K14" i="1"/>
  <c r="M12" i="5"/>
  <c r="M18" i="5" s="1"/>
  <c r="I39" i="5"/>
  <c r="M51" i="5"/>
  <c r="K18" i="5"/>
  <c r="J13" i="1"/>
  <c r="J58" i="1"/>
  <c r="L51" i="5"/>
  <c r="K39" i="5"/>
  <c r="I40" i="5"/>
  <c r="L55" i="5"/>
  <c r="M55" i="5"/>
  <c r="J20" i="1" l="1"/>
  <c r="L39" i="5"/>
  <c r="K51" i="1"/>
  <c r="K46" i="5"/>
  <c r="I51" i="1"/>
  <c r="I46" i="5"/>
  <c r="M39" i="5"/>
  <c r="I52" i="1"/>
  <c r="L40" i="5"/>
  <c r="M40" i="5"/>
  <c r="M46" i="5" l="1"/>
  <c r="I14" i="1"/>
  <c r="N52" i="1"/>
  <c r="M52" i="1"/>
  <c r="M14" i="1"/>
  <c r="N14" i="1"/>
  <c r="I58" i="1"/>
  <c r="I13" i="1"/>
  <c r="N13" i="1"/>
  <c r="N51" i="1"/>
  <c r="M51" i="1"/>
  <c r="M13" i="1"/>
  <c r="K13" i="1"/>
  <c r="K58" i="1"/>
  <c r="L46" i="5"/>
  <c r="K20" i="1" l="1"/>
  <c r="N20" i="1"/>
  <c r="M20" i="1"/>
  <c r="I20" i="1"/>
  <c r="M58" i="1"/>
  <c r="N58" i="1"/>
  <c r="K66" i="1" l="1"/>
  <c r="K48" i="29"/>
  <c r="K32" i="1" l="1"/>
  <c r="K29" i="1"/>
  <c r="K30" i="1"/>
  <c r="K35" i="1"/>
  <c r="K37" i="1"/>
  <c r="K38" i="1"/>
  <c r="K36" i="1"/>
  <c r="K34" i="1"/>
  <c r="K31" i="1"/>
  <c r="K33" i="1"/>
  <c r="K39" i="1" l="1"/>
  <c r="I66" i="1" l="1"/>
  <c r="I48" i="29"/>
  <c r="J66" i="1"/>
  <c r="J48" i="29"/>
  <c r="J35" i="1" l="1"/>
  <c r="J31" i="1"/>
  <c r="J36" i="1"/>
  <c r="J33" i="1"/>
  <c r="J37" i="1"/>
  <c r="J32" i="1"/>
  <c r="J29" i="1"/>
  <c r="J38" i="1"/>
  <c r="J34" i="1"/>
  <c r="J30" i="1"/>
  <c r="I38" i="1"/>
  <c r="M31" i="1"/>
  <c r="N30" i="1"/>
  <c r="M34" i="1"/>
  <c r="N29" i="1"/>
  <c r="I31" i="1"/>
  <c r="N34" i="1"/>
  <c r="I33" i="1"/>
  <c r="M35" i="1"/>
  <c r="N36" i="1"/>
  <c r="I29" i="1"/>
  <c r="I36" i="1"/>
  <c r="N33" i="1"/>
  <c r="I34" i="1"/>
  <c r="N35" i="1"/>
  <c r="N32" i="1"/>
  <c r="I30" i="1"/>
  <c r="M32" i="1"/>
  <c r="I35" i="1"/>
  <c r="N38" i="1"/>
  <c r="I32" i="1"/>
  <c r="I37" i="1"/>
  <c r="M38" i="1"/>
  <c r="M30" i="1"/>
  <c r="N37" i="1"/>
  <c r="M33" i="1"/>
  <c r="N31" i="1"/>
  <c r="M37" i="1"/>
  <c r="M29" i="1"/>
  <c r="M36" i="1"/>
  <c r="J39" i="1" l="1"/>
  <c r="N39" i="1"/>
  <c r="I39" i="1"/>
  <c r="M39" i="1"/>
  <c r="J86" i="29" l="1"/>
  <c r="J88" i="29"/>
  <c r="J89" i="29" l="1"/>
  <c r="J59" i="1" s="1"/>
  <c r="J87" i="29"/>
  <c r="I86" i="29"/>
  <c r="K88" i="29"/>
  <c r="K86" i="29"/>
  <c r="I88" i="29" l="1"/>
  <c r="I89" i="29" s="1"/>
  <c r="I59" i="1" s="1"/>
  <c r="J21" i="1"/>
  <c r="J90" i="29"/>
  <c r="J60" i="1" s="1"/>
  <c r="J51" i="29"/>
  <c r="K87" i="29"/>
  <c r="I51" i="29"/>
  <c r="I87" i="29"/>
  <c r="K89" i="29"/>
  <c r="K59" i="1" s="1"/>
  <c r="I90" i="29" l="1"/>
  <c r="J40" i="1"/>
  <c r="K21" i="1"/>
  <c r="K90" i="29"/>
  <c r="K60" i="1" s="1"/>
  <c r="K51" i="29"/>
  <c r="N59" i="1"/>
  <c r="N21" i="1"/>
  <c r="M21" i="1"/>
  <c r="I21" i="1"/>
  <c r="M59" i="1"/>
  <c r="I60" i="1"/>
  <c r="K40" i="1" l="1"/>
  <c r="N40" i="1"/>
  <c r="I40" i="1"/>
  <c r="M60" i="1"/>
  <c r="N60" i="1"/>
  <c r="M40" i="1"/>
  <c r="I14" i="4" l="1"/>
  <c r="I26" i="4" l="1"/>
  <c r="I28" i="4" s="1"/>
  <c r="I13" i="11" l="1"/>
  <c r="I64" i="4" l="1"/>
  <c r="I66" i="4" s="1"/>
  <c r="I68" i="4" s="1"/>
  <c r="J69" i="29"/>
  <c r="J71" i="29" s="1"/>
  <c r="J75" i="29" s="1"/>
  <c r="I69" i="29"/>
  <c r="I71" i="29" s="1"/>
  <c r="I75" i="29" s="1"/>
  <c r="H69" i="29"/>
  <c r="H71" i="29" s="1"/>
  <c r="H75" i="29" s="1"/>
  <c r="G69" i="29"/>
  <c r="G71" i="29" s="1"/>
  <c r="G75" i="29" s="1"/>
  <c r="F69" i="29"/>
  <c r="F71" i="29" s="1"/>
  <c r="F75" i="29" s="1"/>
  <c r="D69" i="29"/>
  <c r="D71" i="29" s="1"/>
  <c r="D75" i="29" s="1"/>
  <c r="K69" i="29"/>
  <c r="K71" i="29" s="1"/>
  <c r="K75" i="29" s="1"/>
  <c r="E69" i="29" l="1"/>
  <c r="E71" i="29" s="1"/>
  <c r="E75" i="29" s="1"/>
  <c r="H35" i="29" l="1"/>
  <c r="H38" i="29" s="1"/>
  <c r="G35" i="29"/>
  <c r="G38" i="29" s="1"/>
  <c r="G50" i="29" l="1"/>
  <c r="G52" i="29" s="1"/>
  <c r="G54" i="29" s="1"/>
  <c r="G82" i="29" s="1"/>
  <c r="G61" i="1" s="1"/>
  <c r="G42" i="29"/>
  <c r="G80" i="29" s="1"/>
  <c r="H50" i="29"/>
  <c r="H52" i="29" s="1"/>
  <c r="H54" i="29" s="1"/>
  <c r="H82" i="29" s="1"/>
  <c r="H61" i="1" s="1"/>
  <c r="H42" i="29"/>
  <c r="H80" i="29" s="1"/>
  <c r="G84" i="29" l="1"/>
  <c r="G62" i="1" s="1"/>
  <c r="G63" i="1" s="1"/>
  <c r="H84" i="29"/>
  <c r="H62" i="1" s="1"/>
  <c r="H41" i="1" s="1"/>
  <c r="H42" i="1" s="1"/>
  <c r="H22" i="1"/>
  <c r="H23" i="1" s="1"/>
  <c r="G22" i="1"/>
  <c r="G23" i="1" s="1"/>
  <c r="E35" i="29"/>
  <c r="E38" i="29" s="1"/>
  <c r="G41" i="1" l="1"/>
  <c r="G42" i="1" s="1"/>
  <c r="H63" i="1"/>
  <c r="E50" i="29"/>
  <c r="E52" i="29" s="1"/>
  <c r="E54" i="29" s="1"/>
  <c r="E82" i="29" s="1"/>
  <c r="E61" i="1" s="1"/>
  <c r="E42" i="29"/>
  <c r="E80" i="29" s="1"/>
  <c r="F35" i="29" l="1"/>
  <c r="F38" i="29" s="1"/>
  <c r="E84" i="29"/>
  <c r="E62" i="1" s="1"/>
  <c r="E63" i="1" s="1"/>
  <c r="F50" i="29"/>
  <c r="F52" i="29" s="1"/>
  <c r="F54" i="29" s="1"/>
  <c r="F82" i="29" s="1"/>
  <c r="F61" i="1" s="1"/>
  <c r="F42" i="29"/>
  <c r="F80" i="29" s="1"/>
  <c r="E22" i="1"/>
  <c r="E23" i="1" s="1"/>
  <c r="E41" i="1" l="1"/>
  <c r="E42" i="1" s="1"/>
  <c r="F84" i="29"/>
  <c r="F62" i="1" s="1"/>
  <c r="F41" i="1" s="1"/>
  <c r="F42" i="1" s="1"/>
  <c r="D35" i="29"/>
  <c r="D38" i="29" s="1"/>
  <c r="F22" i="1"/>
  <c r="F23" i="1" s="1"/>
  <c r="F63" i="1" l="1"/>
  <c r="D42" i="29"/>
  <c r="D80" i="29" s="1"/>
  <c r="D50" i="29"/>
  <c r="D52" i="29" s="1"/>
  <c r="D54" i="29" s="1"/>
  <c r="D82" i="29" s="1"/>
  <c r="D61" i="1" s="1"/>
  <c r="D22" i="1" l="1"/>
  <c r="D23" i="1" s="1"/>
  <c r="D84" i="29"/>
  <c r="D62" i="1" s="1"/>
  <c r="D41" i="1" s="1"/>
  <c r="D42" i="1" s="1"/>
  <c r="D63" i="1" l="1"/>
  <c r="I38" i="29" l="1"/>
  <c r="J38" i="29"/>
  <c r="J50" i="29" l="1"/>
  <c r="J52" i="29" s="1"/>
  <c r="J54" i="29" s="1"/>
  <c r="J82" i="29" s="1"/>
  <c r="J61" i="1" s="1"/>
  <c r="J42" i="29"/>
  <c r="J80" i="29" s="1"/>
  <c r="I50" i="29"/>
  <c r="I52" i="29" s="1"/>
  <c r="I54" i="29" s="1"/>
  <c r="I82" i="29" s="1"/>
  <c r="I61" i="1" s="1"/>
  <c r="I42" i="29"/>
  <c r="I80" i="29" s="1"/>
  <c r="J84" i="29" l="1"/>
  <c r="J62" i="1" s="1"/>
  <c r="J63" i="1" s="1"/>
  <c r="I84" i="29"/>
  <c r="I62" i="1" s="1"/>
  <c r="I41" i="1" s="1"/>
  <c r="I42" i="1" s="1"/>
  <c r="M62" i="1"/>
  <c r="I22" i="1"/>
  <c r="I23" i="1" s="1"/>
  <c r="M41" i="1"/>
  <c r="M42" i="1" s="1"/>
  <c r="M61" i="1"/>
  <c r="M22" i="1"/>
  <c r="M23" i="1" s="1"/>
  <c r="J22" i="1"/>
  <c r="J23" i="1" s="1"/>
  <c r="J41" i="1" l="1"/>
  <c r="J42" i="1" s="1"/>
  <c r="I63" i="1"/>
  <c r="M63" i="1"/>
  <c r="K38" i="29"/>
  <c r="K42" i="29" l="1"/>
  <c r="K80" i="29" s="1"/>
  <c r="K50" i="29"/>
  <c r="K52" i="29" s="1"/>
  <c r="K54" i="29" s="1"/>
  <c r="K82" i="29" s="1"/>
  <c r="K61" i="1" s="1"/>
  <c r="K22" i="1" l="1"/>
  <c r="K23" i="1" s="1"/>
  <c r="N22" i="1"/>
  <c r="N23" i="1" s="1"/>
  <c r="N61" i="1"/>
  <c r="K84" i="29"/>
  <c r="K62" i="1" s="1"/>
  <c r="N62" i="1" s="1"/>
  <c r="N41" i="1" l="1"/>
  <c r="N42" i="1" s="1"/>
  <c r="K63" i="1"/>
  <c r="N63" i="1"/>
  <c r="K41" i="1"/>
  <c r="K42" i="1" s="1"/>
</calcChain>
</file>

<file path=xl/sharedStrings.xml><?xml version="1.0" encoding="utf-8"?>
<sst xmlns="http://schemas.openxmlformats.org/spreadsheetml/2006/main" count="1477" uniqueCount="651">
  <si>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</si>
  <si>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</si>
  <si>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</si>
  <si>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</si>
  <si>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</si>
  <si>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</si>
  <si>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</si>
  <si>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</si>
  <si>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</si>
  <si>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</si>
  <si>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</si>
  <si>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</si>
  <si>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</si>
  <si>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</si>
  <si>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</si>
  <si>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</si>
  <si>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</si>
  <si>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</si>
  <si>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</si>
  <si>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</si>
  <si>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</si>
  <si>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</si>
  <si>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</si>
  <si>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</si>
  <si>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</si>
  <si>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</si>
  <si>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</si>
  <si>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</si>
  <si>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</si>
  <si>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</si>
  <si>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</si>
  <si>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</si>
  <si>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</si>
  <si>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</si>
  <si>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</si>
  <si>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</si>
  <si>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</si>
  <si>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</si>
  <si>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</si>
  <si>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</si>
  <si>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</si>
  <si>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</si>
  <si>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</si>
  <si>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</si>
  <si>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</si>
  <si>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</si>
  <si>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</si>
  <si>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</si>
  <si>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</si>
  <si>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</si>
  <si>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</si>
  <si>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</si>
  <si>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</si>
  <si>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</si>
  <si>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</si>
  <si>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</si>
  <si>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</si>
  <si>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</si>
  <si>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</si>
  <si>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</si>
  <si>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</si>
  <si>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</si>
  <si>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</si>
  <si>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</si>
  <si>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</si>
  <si>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</si>
  <si>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</si>
  <si>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</si>
  <si>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</si>
  <si>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</si>
  <si>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</si>
  <si>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</si>
  <si>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</si>
  <si>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</si>
  <si>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</si>
  <si>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</si>
  <si>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</si>
  <si>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</si>
  <si>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</si>
  <si>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</si>
  <si>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</si>
  <si>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</si>
  <si>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</si>
  <si>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</si>
  <si>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</si>
  <si>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</si>
  <si>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</si>
  <si>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</si>
  <si>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</si>
  <si>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</si>
  <si>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</si>
  <si>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</si>
  <si>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</si>
  <si>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</si>
  <si>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</si>
  <si>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</si>
  <si>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</si>
  <si>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</si>
  <si>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</si>
  <si>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</si>
  <si>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</si>
  <si>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</si>
  <si>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</si>
  <si>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</si>
  <si>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</si>
  <si>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</si>
  <si>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</si>
  <si>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</si>
  <si>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</si>
  <si>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</si>
  <si>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</si>
  <si>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</si>
  <si>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</si>
  <si>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</si>
  <si>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</si>
  <si>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</si>
  <si>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</si>
  <si>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</si>
  <si>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</si>
  <si>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</si>
  <si>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</si>
  <si>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</si>
  <si>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</si>
  <si>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</si>
  <si>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</si>
  <si>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</si>
  <si>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</si>
  <si>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</si>
  <si>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</si>
  <si>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</si>
  <si>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</si>
  <si>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</si>
  <si>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</si>
  <si>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</si>
  <si>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</si>
  <si>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</si>
  <si>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</si>
  <si>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</si>
  <si>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</si>
  <si>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</si>
  <si>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</si>
  <si>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</si>
  <si>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</si>
  <si>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</si>
  <si>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</si>
  <si>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</si>
  <si>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</si>
  <si>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</si>
  <si>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</si>
  <si>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</si>
  <si>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</si>
  <si>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</si>
  <si>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</si>
  <si>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</si>
  <si>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</si>
  <si>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</si>
  <si>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</si>
  <si>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</si>
  <si>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</si>
  <si>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</si>
  <si>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</si>
  <si>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</si>
  <si>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</si>
  <si>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</si>
  <si>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</si>
  <si>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</si>
  <si>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</si>
  <si>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</si>
  <si>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</si>
  <si>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</si>
  <si>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</si>
  <si>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</si>
  <si>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</si>
  <si>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</si>
  <si>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</si>
  <si>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</si>
  <si>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</si>
  <si>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</si>
  <si>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</si>
  <si>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</si>
  <si>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</si>
  <si>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</si>
  <si>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</si>
  <si>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</si>
  <si>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</si>
  <si>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</si>
  <si>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</si>
  <si>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</si>
  <si>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</si>
  <si>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</si>
  <si>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</si>
  <si>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</si>
  <si>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</si>
  <si>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</si>
  <si>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</si>
  <si>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</si>
  <si>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</si>
  <si>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</si>
  <si>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</si>
  <si>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</si>
  <si>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</si>
  <si>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</si>
  <si>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</si>
  <si>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</si>
  <si>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</si>
  <si>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</si>
  <si>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</si>
  <si>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</si>
  <si>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</si>
  <si>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</si>
  <si>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</si>
  <si>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</si>
  <si>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</si>
  <si>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</si>
  <si>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</si>
  <si>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</si>
  <si>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</si>
  <si>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</si>
  <si>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</si>
  <si>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</si>
  <si>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</si>
  <si>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</si>
  <si>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</si>
  <si>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</si>
  <si>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</si>
  <si>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</si>
  <si>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</si>
  <si>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</si>
  <si>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</si>
  <si>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</si>
  <si>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</si>
  <si>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</si>
  <si>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</si>
  <si>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</si>
  <si>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</si>
  <si>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</si>
  <si>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</si>
  <si>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</si>
  <si>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</si>
  <si>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</si>
  <si>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</si>
  <si>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</si>
  <si>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</si>
  <si>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</si>
  <si>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</si>
  <si>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</si>
  <si>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</si>
  <si>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</si>
  <si>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</si>
  <si>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</si>
  <si>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</si>
  <si>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</si>
  <si>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</si>
  <si>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</si>
  <si>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</si>
  <si>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</si>
  <si>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</si>
  <si>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</si>
  <si>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</si>
  <si>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</si>
  <si>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</si>
  <si>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</si>
  <si>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</si>
  <si>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</si>
  <si>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</si>
  <si>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</si>
  <si>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</si>
  <si>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</si>
  <si>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</si>
  <si>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</si>
  <si>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</si>
  <si>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</si>
  <si>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</si>
  <si>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</si>
  <si>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</si>
  <si>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</si>
  <si>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</si>
  <si>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</si>
  <si>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</si>
  <si>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</si>
  <si>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</si>
  <si>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</si>
  <si>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</si>
  <si>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</si>
  <si>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</si>
  <si>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</si>
  <si>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</si>
  <si>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</si>
  <si>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</si>
  <si>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</si>
  <si>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</si>
  <si>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</si>
  <si>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</si>
  <si>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</si>
  <si>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</si>
  <si>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</si>
  <si>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</si>
  <si>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</si>
  <si>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</si>
  <si>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</si>
  <si>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</si>
  <si>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</si>
  <si>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</si>
  <si>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</si>
  <si>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</si>
  <si>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</si>
  <si>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</si>
  <si>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</si>
  <si>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</si>
  <si>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</si>
  <si>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</si>
  <si>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</si>
  <si>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</si>
  <si>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</si>
  <si>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</si>
  <si>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</si>
  <si>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</si>
  <si>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</si>
  <si>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</si>
  <si>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</si>
  <si>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</si>
  <si>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</si>
  <si>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</si>
  <si>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</si>
  <si>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</si>
  <si>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</si>
  <si>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</si>
  <si>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</si>
  <si>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</si>
  <si>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</si>
  <si>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</si>
  <si>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</si>
  <si>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</si>
  <si>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</si>
  <si>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</si>
  <si>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</si>
  <si>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</si>
  <si>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</si>
  <si>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</si>
  <si>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</si>
  <si>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</si>
  <si>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</si>
  <si>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</si>
  <si>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</si>
  <si>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</si>
  <si>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</si>
  <si>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</si>
  <si>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</si>
  <si>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</si>
  <si>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</si>
  <si>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</si>
  <si>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</si>
  <si>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6. Other adjustment (Overwrite)</t>
  </si>
  <si>
    <t>7. Other adjustment (Overwrite)</t>
  </si>
  <si>
    <t>8. Other adjustment (Overwrite)</t>
  </si>
  <si>
    <t>9. Other adjustment (Overwrite)</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</si>
  <si>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</si>
  <si>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</si>
  <si>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</si>
  <si>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</si>
  <si>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</si>
  <si>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</si>
  <si>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</si>
  <si>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</si>
  <si>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</si>
  <si>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</si>
  <si>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</si>
  <si>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</si>
  <si>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</si>
  <si>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</si>
  <si>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</si>
  <si>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</si>
  <si>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</si>
  <si>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</si>
  <si>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</si>
  <si>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</si>
  <si>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</si>
  <si>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</si>
  <si>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</si>
  <si>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</si>
  <si>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</si>
  <si>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</si>
  <si>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</si>
  <si>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</si>
  <si>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</si>
  <si>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</si>
  <si>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</si>
  <si>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</si>
  <si>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</si>
  <si>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</si>
  <si>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</si>
  <si>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</si>
  <si>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</si>
  <si>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</si>
  <si>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</si>
  <si>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</si>
  <si>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</si>
  <si>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</si>
  <si>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</si>
  <si>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</si>
  <si>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</si>
  <si>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</si>
  <si>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</si>
  <si>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</si>
  <si>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</si>
  <si>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</si>
  <si>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</si>
  <si>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</si>
  <si>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</si>
  <si>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</si>
  <si>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</si>
  <si>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</si>
  <si>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</si>
  <si>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</si>
  <si>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</si>
  <si>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</si>
  <si>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</si>
  <si>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</si>
  <si>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</si>
  <si>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</si>
  <si>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</si>
  <si>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</si>
  <si>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</si>
  <si>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</si>
  <si>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</si>
  <si>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</si>
  <si>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</si>
  <si>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</si>
  <si>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</si>
  <si>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</si>
  <si>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</si>
  <si>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</si>
  <si>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</si>
  <si>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</si>
  <si>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</si>
  <si>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</si>
  <si>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</si>
  <si>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</si>
  <si>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</si>
  <si>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</si>
  <si>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</si>
  <si>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</si>
  <si>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</si>
  <si>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</si>
  <si>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</si>
  <si>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</si>
  <si>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</si>
  <si>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</si>
  <si>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</si>
  <si>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</si>
  <si>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</si>
  <si>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</si>
  <si>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</si>
  <si>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</si>
  <si>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</si>
  <si>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</si>
  <si>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</si>
  <si>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</si>
  <si>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</si>
  <si>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</si>
  <si>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</si>
  <si>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</si>
  <si>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</si>
  <si>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</si>
  <si>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</si>
  <si>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</si>
  <si>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</si>
  <si>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</si>
  <si>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</si>
  <si>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</si>
  <si>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</si>
  <si>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</si>
  <si>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</si>
  <si>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</si>
  <si>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</si>
  <si>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</si>
  <si>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</si>
  <si>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</si>
  <si>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</si>
  <si>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</si>
  <si>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</si>
  <si>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</si>
  <si>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</si>
  <si>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</si>
  <si>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</si>
  <si>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</si>
  <si>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</si>
  <si>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</si>
  <si>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</si>
  <si>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</si>
  <si>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</si>
  <si>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</si>
  <si>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</si>
  <si>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</si>
  <si>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</si>
  <si>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</si>
  <si>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</si>
  <si>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</si>
  <si>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</si>
  <si>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</si>
  <si>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</si>
  <si>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</si>
  <si>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</si>
  <si>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</si>
  <si>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</si>
  <si>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</si>
  <si>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</si>
  <si>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</si>
  <si>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</si>
  <si>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</si>
  <si>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</si>
  <si>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</si>
  <si>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</si>
  <si>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</si>
  <si>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</si>
  <si>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</si>
  <si>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</si>
  <si>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</si>
  <si>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</si>
  <si>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</si>
  <si>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</si>
  <si>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</si>
  <si>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</si>
  <si>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</si>
  <si>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</si>
  <si>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</si>
  <si>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</si>
  <si>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</si>
  <si>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</si>
  <si>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</si>
  <si>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</si>
  <si>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</si>
  <si>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</si>
  <si>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</si>
  <si>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</si>
  <si>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</si>
  <si>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</si>
  <si>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</si>
  <si>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</si>
  <si>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</si>
  <si>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</si>
  <si>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</si>
  <si>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</si>
  <si>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</si>
  <si>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</si>
  <si>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</si>
  <si>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</si>
  <si>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</si>
  <si>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</si>
  <si>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</si>
  <si>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</si>
  <si>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</si>
  <si>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</si>
  <si>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</si>
  <si>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</si>
  <si>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</si>
  <si>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</si>
  <si>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</si>
  <si>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</si>
  <si>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</si>
  <si>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</si>
  <si>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</si>
  <si>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</si>
  <si>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</si>
  <si>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</si>
  <si>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</si>
  <si>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</si>
  <si>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</si>
  <si>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</si>
  <si>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</si>
  <si>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</si>
  <si>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</si>
  <si>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</si>
  <si>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</si>
  <si>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</si>
  <si>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</si>
  <si>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</si>
  <si>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</si>
  <si>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('R8 - Net Debt'!D54-AVERAGE('R8 - Net Debt'!D8,('R8 - Net Debt'!D10-'R8a - Net Debt input'!T18)))*(Data!C36-1)</t>
  </si>
  <si>
    <t>NGESO</t>
  </si>
  <si>
    <t xml:space="preserve">ESO Reporting and Incentive (ESORI) </t>
  </si>
  <si>
    <t>Updated RPI Index for 2020 and 2021, M3 New Forecasts RPI for 2021, 2022 and 2023</t>
  </si>
  <si>
    <t xml:space="preserve">Updated the cost of debt figures for 2021, 2022 and 2023 </t>
  </si>
  <si>
    <t>Cell D37 - formula has been corrected</t>
  </si>
  <si>
    <t>RFPR Cover</t>
  </si>
  <si>
    <t>Changed NGET(SO) to NGESO in the Drop down list</t>
  </si>
  <si>
    <t xml:space="preserve">Row 196 - NGESO incentive added </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</si>
  <si>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</si>
  <si>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</si>
  <si>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</si>
  <si>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</si>
  <si>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</si>
  <si>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</si>
  <si>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</si>
  <si>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</si>
  <si>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</si>
  <si>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</si>
  <si>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</si>
  <si>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</si>
  <si>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</si>
  <si>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</si>
  <si>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</si>
  <si>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</si>
  <si>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</si>
  <si>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</si>
  <si>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</si>
  <si>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</si>
  <si>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</si>
  <si>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</si>
  <si>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</si>
  <si>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SOLR and bad debt claims not in P&amp;L</t>
  </si>
  <si>
    <t>General transfers between DNOs not in Regs</t>
  </si>
  <si>
    <t>Additional Totex adjustment not in Reg Accounts</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</si>
  <si>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</si>
  <si>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</si>
  <si>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</si>
  <si>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</si>
  <si>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</si>
  <si>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</si>
  <si>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TIM neutral and Smart meter adjustments to Totex allowance</t>
  </si>
  <si>
    <t>Appendix 2</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</si>
  <si>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</si>
  <si>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</si>
  <si>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</si>
  <si>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 xml:space="preserve">Year end balances of fair value adjustments on derivatives </t>
  </si>
  <si>
    <t>FRS101 adjustment - ARO</t>
  </si>
  <si>
    <t>Other finance costs</t>
  </si>
  <si>
    <t>IFRS16 Lease Interest Expense</t>
  </si>
  <si>
    <t>Interest capitalised</t>
  </si>
  <si>
    <t>Interest associated to Long term loans (Not for benefit of regulated business or distribution in nature)</t>
  </si>
  <si>
    <t>Formula in cell E37 has been corrected</t>
  </si>
  <si>
    <t xml:space="preserve"> Cell M30 -formula has been removed.</t>
  </si>
  <si>
    <t>Metering equipment and services</t>
  </si>
  <si>
    <t>Directly Remunerated Services (excluding metering)</t>
  </si>
  <si>
    <t>RPI true up</t>
  </si>
  <si>
    <t>DPCR5 legacy revenue adjustment</t>
  </si>
  <si>
    <t>Revenue profiling adjustment</t>
  </si>
  <si>
    <t>Enduring value adjustments</t>
  </si>
  <si>
    <t>WPD remain in discussion with Ofgem regarding the 2019/20 and 2020/21 SECV incentive awards. As a result Actuals for these years reflect a forecast award based on the prior 3 year average performance.</t>
  </si>
  <si>
    <t>May 2021 Publication</t>
  </si>
  <si>
    <t>Updated cells E25 and F25 following confirmation of Financial Year Average RPI (RPIt) and Year end RPI indices following confirmation from Ofgem (Charis Andreadis) on the 21/05/2021.
Updated cells H39 to J39 following confirmation of the May 2021 publication associated to the M3 New Forecasts RPI following confirmation from Ofgem (Charis Andreadis) on the 21/05/2021. Additionally the associated hyperlink in K39 has been updated accordingly.</t>
  </si>
  <si>
    <t>Prior year adjustments have been applied within the R7-Financing tab, cells D31 to H31, to reflect additional issuance expenses removed.</t>
  </si>
  <si>
    <t>Prior year adjustments have been applied within the R7-Financing tab, cells M500 to Q500, to reflect additional issuance expenses removed.</t>
  </si>
  <si>
    <t>Prior year adjustments have been applied with small movements (&lt;0.1m), plus changes in rows 86 and 88 to reflect impact of the above, and changes to reflect the inclusion of data from the most recent CT600 submissions, and the tax allowance per the latest PCFM, as required.</t>
  </si>
  <si>
    <t>R10</t>
  </si>
  <si>
    <t/>
  </si>
  <si>
    <t>Actuals</t>
  </si>
  <si>
    <t>Forecast</t>
  </si>
  <si>
    <t>Cumulative to 2021</t>
  </si>
  <si>
    <t>OK</t>
  </si>
  <si>
    <t>NOT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</si>
</sst>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0">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 numFmtId="353" formatCode="_-* #,##0.0_-;\-* #,##0.0_-;_-* &quot;-&quot;?_-;_-@_-"/>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36">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02">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49" fontId="5" fillId="38" borderId="77" xfId="77" applyNumberFormat="1" applyFont="1" applyFill="1" applyBorder="1" applyProtection="1"/>
    <xf numFmtId="349"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0" xfId="0" applyFont="1" applyFill="1" applyAlignment="1">
      <alignment horizontal="left" vertical="top" indent="1"/>
    </xf>
    <xf numFmtId="172" fontId="0" fillId="0" borderId="0" xfId="0" applyNumberFormat="1" applyAlignment="1">
      <alignment horizontal="left" vertical="top"/>
    </xf>
    <xf numFmtId="353" fontId="0" fillId="0" borderId="0" xfId="0" applyNumberFormat="1" applyAlignment="1">
      <alignment horizontal="left" vertical="top"/>
    </xf>
    <xf numFmtId="14" fontId="5" fillId="3" borderId="135" xfId="2" applyNumberFormat="1" applyFont="1" applyFill="1" applyBorder="1"/>
    <xf numFmtId="0" fontId="5" fillId="3" borderId="135" xfId="2" applyNumberFormat="1" applyFont="1" applyFill="1" applyBorder="1" applyAlignment="1">
      <alignment horizontal="center" vertical="center"/>
    </xf>
    <xf numFmtId="172" fontId="5" fillId="3" borderId="135" xfId="2" applyNumberFormat="1" applyFont="1" applyFill="1" applyBorder="1"/>
    <xf numFmtId="175" fontId="5" fillId="36" borderId="135" xfId="75" applyNumberFormat="1" applyFont="1" applyFill="1" applyBorder="1" applyProtection="1"/>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3" fontId="0" fillId="0" borderId="10" xfId="0" applyNumberFormat="1" applyBorder="1" applyAlignment="1">
      <alignment horizontal="center" vertical="center" wrapText="1"/>
    </xf>
    <xf numFmtId="0" fontId="0" fillId="0" borderId="32" xfId="0" applyBorder="1" applyAlignment="1">
      <alignment horizontal="center" vertical="center" wrapText="1"/>
    </xf>
    <xf numFmtId="0" fontId="0" fillId="0" borderId="11" xfId="0" applyBorder="1" applyAlignment="1">
      <alignment horizontal="center" vertical="center" wrapText="1"/>
    </xf>
    <xf numFmtId="0" fontId="0" fillId="3" borderId="112" xfId="0" applyFill="1" applyBorder="1" applyAlignment="1">
      <alignment horizontal="left" vertical="center" wrapText="1" indent="1"/>
    </xf>
    <xf numFmtId="0" fontId="0" fillId="3" borderId="89" xfId="0" applyFill="1" applyBorder="1" applyAlignment="1">
      <alignment horizontal="left" vertical="center" wrapText="1" indent="1"/>
    </xf>
    <xf numFmtId="0" fontId="0" fillId="3" borderId="107" xfId="0" applyFill="1" applyBorder="1" applyAlignment="1">
      <alignment horizontal="left" vertical="center" wrapText="1" indent="1"/>
    </xf>
    <xf numFmtId="0" fontId="0" fillId="0" borderId="10"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0" borderId="30" xfId="0" applyBorder="1" applyAlignment="1">
      <alignment horizontal="center"/>
    </xf>
    <xf numFmtId="0" fontId="29" fillId="0" borderId="135"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53" borderId="0" xfId="0" applyFill="1" applyAlignment="1">
      <alignment horizontal="left" wrapText="1"/>
    </xf>
    <xf numFmtId="3" fontId="0" fillId="0" borderId="11" xfId="0" applyNumberFormat="1" applyBorder="1" applyAlignment="1">
      <alignment horizontal="center" vertical="center" wrapTex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xf numFmtId="173" fontId="0" fillId="52" borderId="64" xfId="0" applyNumberFormat="1" applyFill="1" applyBorder="1" applyAlignment="1">
      <alignment horizontal="right" vertical="top"/>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99">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987466/Forecomp_May_2021.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70" zoomScaleNormal="70" zoomScaleSheetLayoutView="90" workbookViewId="0">
      <pane ySplit="3" topLeftCell="A4" activePane="bottomLeft" state="frozen"/>
      <selection activeCell="A3" sqref="A3"/>
      <selection pane="bottomLeft" activeCell="A3" sqref="A3"/>
    </sheetView>
  </sheetViews>
  <sheetFormatPr defaultRowHeight="12.6"/>
  <cols>
    <col min="1" max="1" width="8.36328125" customWidth="1"/>
    <col min="2" max="2" width="27.08984375" customWidth="1"/>
    <col min="3" max="6" width="14.08984375" customWidth="1"/>
    <col min="7" max="7" width="14.08984375" style="213" customWidth="1"/>
    <col min="8" max="11" width="14.08984375" customWidth="1"/>
  </cols>
  <sheetData>
    <row r="1" spans="1:11" s="31" customFormat="1" ht="21">
      <c r="A1" s="904" t="s">
        <v>307</v>
      </c>
      <c r="B1" s="905"/>
      <c r="C1" s="905"/>
      <c r="D1" s="906"/>
      <c r="E1" s="907"/>
      <c r="F1" s="905"/>
      <c r="G1" s="908"/>
      <c r="H1" s="905"/>
      <c r="I1" s="905"/>
      <c r="J1" s="905"/>
      <c r="K1" s="905"/>
    </row>
    <row r="2" spans="1:11" s="31" customFormat="1" ht="21">
      <c r="A2" s="904" t="str">
        <f>'RFPR cover'!C5</f>
        <v>WPD-SWEST</v>
      </c>
      <c r="B2" s="905"/>
      <c r="C2" s="905"/>
      <c r="D2" s="907"/>
      <c r="E2" s="907"/>
      <c r="F2" s="905"/>
      <c r="G2" s="908"/>
      <c r="H2" s="905"/>
      <c r="I2" s="905"/>
      <c r="J2" s="905"/>
      <c r="K2" s="905"/>
    </row>
    <row r="3" spans="1:11" s="31" customFormat="1" ht="21">
      <c r="A3" s="904">
        <f>'RFPR cover'!C7</f>
        <v>2021</v>
      </c>
      <c r="B3" s="905"/>
      <c r="C3" s="905"/>
      <c r="D3" s="907"/>
      <c r="E3" s="907"/>
      <c r="F3" s="905"/>
      <c r="G3" s="908"/>
      <c r="H3" s="905"/>
      <c r="I3" s="905"/>
      <c r="J3" s="905"/>
      <c r="K3" s="905"/>
    </row>
    <row r="4" spans="1:11" ht="13.8">
      <c r="A4" s="30"/>
      <c r="B4" s="30"/>
      <c r="C4" s="30"/>
      <c r="D4" s="30"/>
      <c r="E4" s="30"/>
      <c r="H4" s="10"/>
      <c r="I4" s="10"/>
      <c r="J4" s="10"/>
    </row>
    <row r="5" spans="1:11" ht="13.5" customHeight="1">
      <c r="A5" s="30"/>
      <c r="B5" s="77" t="s">
        <v>62</v>
      </c>
      <c r="C5" s="45" t="s">
        <v>249</v>
      </c>
      <c r="D5" s="339"/>
      <c r="E5" s="19"/>
      <c r="F5" s="11"/>
      <c r="G5" s="548" t="s">
        <v>0</v>
      </c>
      <c r="H5" s="10"/>
      <c r="I5" s="10"/>
      <c r="J5" s="10"/>
    </row>
    <row r="6" spans="1:11" ht="13.5" customHeight="1">
      <c r="A6" s="30"/>
      <c r="B6" s="77" t="s">
        <v>189</v>
      </c>
      <c r="C6" s="82" t="str">
        <f>INDEX(Data!$A$73:$A$100,MATCH($C$5,Data!$B$73:$B$100,0),0)&amp;"1"</f>
        <v>ED1</v>
      </c>
      <c r="D6" s="19"/>
      <c r="E6" s="19"/>
      <c r="F6" s="9"/>
      <c r="G6" s="548" t="s">
        <v>1</v>
      </c>
      <c r="H6" s="10"/>
      <c r="I6" s="10"/>
      <c r="J6" s="10"/>
    </row>
    <row r="7" spans="1:11" ht="25.8">
      <c r="A7" s="30"/>
      <c r="B7" s="78" t="s">
        <v>188</v>
      </c>
      <c r="C7" s="83">
        <v>2021</v>
      </c>
      <c r="D7" s="18"/>
      <c r="E7" s="19"/>
      <c r="F7" s="8"/>
      <c r="G7" s="549" t="s">
        <v>2</v>
      </c>
      <c r="H7" s="10"/>
      <c r="I7" s="10"/>
      <c r="J7" s="10"/>
    </row>
    <row r="8" spans="1:11" ht="13.8">
      <c r="A8" s="30"/>
      <c r="B8" s="77" t="s">
        <v>37</v>
      </c>
      <c r="C8" s="84">
        <v>1</v>
      </c>
      <c r="D8" s="19"/>
      <c r="E8" s="18"/>
      <c r="F8" s="7"/>
      <c r="G8" s="548" t="s">
        <v>3</v>
      </c>
      <c r="H8" s="10"/>
      <c r="I8" s="10"/>
      <c r="J8" s="10"/>
    </row>
    <row r="9" spans="1:11" ht="13.8">
      <c r="A9" s="30"/>
      <c r="B9" s="77" t="s">
        <v>38</v>
      </c>
      <c r="C9" s="85">
        <v>44407</v>
      </c>
      <c r="D9" s="18"/>
      <c r="E9" s="18"/>
      <c r="F9" s="6"/>
      <c r="G9" s="548" t="s">
        <v>4</v>
      </c>
      <c r="H9" s="10"/>
      <c r="I9" s="10"/>
      <c r="J9" s="10"/>
    </row>
    <row r="10" spans="1:11" ht="13.8">
      <c r="A10" s="30"/>
      <c r="B10" s="77" t="s">
        <v>70</v>
      </c>
      <c r="C10" s="86">
        <f>SUMIF(Data!$B$72:$B$100,C5,Data!$C$72:$C$100)</f>
        <v>6.4000000000000001E-2</v>
      </c>
      <c r="D10" s="18"/>
      <c r="E10" s="18"/>
      <c r="F10" s="5"/>
      <c r="G10" s="548" t="s">
        <v>5</v>
      </c>
      <c r="H10" s="10"/>
      <c r="I10" s="10"/>
      <c r="J10" s="10"/>
    </row>
    <row r="11" spans="1:11" ht="13.8">
      <c r="A11" s="30"/>
      <c r="B11" s="77" t="s">
        <v>71</v>
      </c>
      <c r="C11" s="87">
        <f>SUMIF(Data!$B$72:$B$100,C5,Data!$D$72:$D$100)</f>
        <v>0.7</v>
      </c>
      <c r="D11" s="19"/>
      <c r="E11" s="19"/>
      <c r="F11" s="4"/>
      <c r="G11" s="548" t="s">
        <v>6</v>
      </c>
      <c r="H11" s="10"/>
      <c r="I11" s="10"/>
      <c r="J11" s="10"/>
    </row>
    <row r="12" spans="1:11">
      <c r="A12" s="30"/>
      <c r="B12" s="77" t="s">
        <v>115</v>
      </c>
      <c r="C12" s="86">
        <f>SUMIF(Data!$B$72:$B$100,C5,Data!$E$72:$E$100)</f>
        <v>0.65</v>
      </c>
      <c r="D12" s="18"/>
      <c r="E12" s="18"/>
      <c r="F12" s="18"/>
      <c r="G12" s="550"/>
    </row>
    <row r="13" spans="1:11">
      <c r="A13" s="30"/>
      <c r="B13" s="77" t="s">
        <v>509</v>
      </c>
      <c r="C13" s="82">
        <f>INDEX(Data!$G$73:$G$100,MATCH($C$5,Data!$B$73:$B$100,0),0)</f>
        <v>2016</v>
      </c>
      <c r="D13" s="18"/>
      <c r="E13" s="18"/>
      <c r="F13" s="76" t="s">
        <v>191</v>
      </c>
    </row>
    <row r="14" spans="1:11">
      <c r="A14" s="30"/>
      <c r="B14" s="79" t="s">
        <v>185</v>
      </c>
      <c r="C14" s="82" t="str">
        <f>INDEX(Data!$H$73:$H$100,MATCH($C$5,Data!$B$73:$B$100,0),0)</f>
        <v>£m 12/13</v>
      </c>
      <c r="D14" s="18"/>
      <c r="E14" s="18"/>
      <c r="F14" s="89">
        <v>0.1</v>
      </c>
      <c r="G14" s="550"/>
    </row>
    <row r="15" spans="1:11">
      <c r="A15" s="30"/>
      <c r="B15" s="18"/>
      <c r="C15" s="18"/>
      <c r="D15" s="18"/>
      <c r="E15" s="18"/>
      <c r="F15" s="18"/>
      <c r="G15" s="550"/>
    </row>
    <row r="85" spans="1:1">
      <c r="A85" s="204"/>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9.6328125" customWidth="1"/>
    <col min="3" max="3" width="14.08984375" style="136" customWidth="1"/>
    <col min="4" max="11" width="11.08984375" customWidth="1"/>
    <col min="12" max="12" width="5" customWidth="1"/>
  </cols>
  <sheetData>
    <row r="1" spans="1:12" s="31" customFormat="1" ht="21">
      <c r="A1" s="923" t="s">
        <v>100</v>
      </c>
      <c r="B1" s="919"/>
      <c r="C1" s="278"/>
      <c r="D1" s="256"/>
      <c r="E1" s="256"/>
      <c r="F1" s="256"/>
      <c r="G1" s="256"/>
      <c r="H1" s="256"/>
      <c r="I1" s="257"/>
      <c r="J1" s="257"/>
      <c r="K1" s="258"/>
      <c r="L1" s="259"/>
    </row>
    <row r="2" spans="1:12" s="31" customFormat="1" ht="21">
      <c r="A2" s="912" t="str">
        <f>'RFPR cover'!C5</f>
        <v>WPD-SWEST</v>
      </c>
      <c r="B2" s="904"/>
      <c r="C2" s="134"/>
      <c r="D2" s="29"/>
      <c r="E2" s="29"/>
      <c r="F2" s="29"/>
      <c r="G2" s="29"/>
      <c r="H2" s="29"/>
      <c r="I2" s="27"/>
      <c r="J2" s="27"/>
      <c r="K2" s="27"/>
      <c r="L2" s="123"/>
    </row>
    <row r="3" spans="1:12" s="37" customFormat="1" ht="22.8">
      <c r="A3" s="915">
        <f>'RFPR cover'!C7</f>
        <v>2021</v>
      </c>
      <c r="B3" s="921" t="str">
        <f>'R1 - RoRE'!B3</f>
        <v/>
      </c>
      <c r="C3" s="280"/>
      <c r="D3" s="279"/>
      <c r="E3" s="279"/>
      <c r="F3" s="279"/>
      <c r="G3" s="279"/>
      <c r="H3" s="279"/>
      <c r="I3" s="255"/>
      <c r="J3" s="255"/>
      <c r="K3" s="255"/>
      <c r="L3" s="261"/>
    </row>
    <row r="4" spans="1:12" s="2" customFormat="1" ht="12.75" customHeight="1">
      <c r="C4" s="136"/>
    </row>
    <row r="5" spans="1:12" s="2" customForma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row>
    <row r="7" spans="1:12" s="2" customFormat="1">
      <c r="C7" s="136"/>
    </row>
    <row r="8" spans="1:12" s="2" customFormat="1">
      <c r="B8" s="50" t="s">
        <v>134</v>
      </c>
      <c r="C8" s="137"/>
      <c r="D8" s="56"/>
      <c r="E8" s="56"/>
      <c r="F8" s="56"/>
      <c r="G8" s="56"/>
      <c r="H8" s="56"/>
      <c r="I8" s="56"/>
      <c r="J8" s="56"/>
      <c r="K8" s="56"/>
    </row>
    <row r="9" spans="1:12" s="2" customFormat="1">
      <c r="B9" s="225" t="s">
        <v>516</v>
      </c>
      <c r="C9" s="152" t="s">
        <v>128</v>
      </c>
      <c r="D9" s="594">
        <v>0.49966421000000005</v>
      </c>
      <c r="E9" s="595">
        <v>1.2242102500000003</v>
      </c>
      <c r="F9" s="595">
        <v>1.6018000000000001</v>
      </c>
      <c r="G9" s="595">
        <v>1.0066999999999999</v>
      </c>
      <c r="H9" s="595">
        <v>1.5001570000000002</v>
      </c>
      <c r="I9" s="595">
        <v>1.1888369999999999</v>
      </c>
      <c r="J9" s="595">
        <v>1.3760824992985152</v>
      </c>
      <c r="K9" s="595">
        <v>0.70998672451662326</v>
      </c>
    </row>
    <row r="10" spans="1:12" s="2" customFormat="1">
      <c r="B10" s="225" t="s">
        <v>497</v>
      </c>
      <c r="C10" s="152" t="s">
        <v>128</v>
      </c>
      <c r="D10" s="596">
        <v>0</v>
      </c>
      <c r="E10" s="597">
        <v>0</v>
      </c>
      <c r="F10" s="597">
        <v>0</v>
      </c>
      <c r="G10" s="597">
        <v>0</v>
      </c>
      <c r="H10" s="597">
        <v>0</v>
      </c>
      <c r="I10" s="597">
        <v>0</v>
      </c>
      <c r="J10" s="597">
        <v>0</v>
      </c>
      <c r="K10" s="597">
        <v>0</v>
      </c>
    </row>
    <row r="11" spans="1:12" s="2" customFormat="1">
      <c r="B11" s="225" t="s">
        <v>515</v>
      </c>
      <c r="C11" s="152" t="s">
        <v>128</v>
      </c>
      <c r="D11" s="850">
        <v>4.1040129000000009E-2</v>
      </c>
      <c r="E11" s="851">
        <v>0.12242102500000003</v>
      </c>
      <c r="F11" s="851">
        <v>0.15378000000000003</v>
      </c>
      <c r="G11" s="851">
        <v>0.10067</v>
      </c>
      <c r="H11" s="851">
        <v>0.15001570000000003</v>
      </c>
      <c r="I11" s="851">
        <v>0.11888369999999999</v>
      </c>
      <c r="J11" s="851">
        <f t="shared" ref="J11:K11" si="1">+J9*0.1</f>
        <v>0.13760824992985152</v>
      </c>
      <c r="K11" s="851">
        <f t="shared" si="1"/>
        <v>7.0998672451662331E-2</v>
      </c>
    </row>
    <row r="12" spans="1:12" s="12" customFormat="1">
      <c r="B12" s="50" t="s">
        <v>132</v>
      </c>
      <c r="C12" s="152" t="s">
        <v>128</v>
      </c>
      <c r="D12" s="610">
        <f>D9-D10-D11</f>
        <v>0.45862408100000007</v>
      </c>
      <c r="E12" s="611">
        <f t="shared" ref="E12:K12" si="2">E9-E10-E11</f>
        <v>1.1017892250000003</v>
      </c>
      <c r="F12" s="611">
        <f t="shared" si="2"/>
        <v>1.4480200000000001</v>
      </c>
      <c r="G12" s="611">
        <f t="shared" si="2"/>
        <v>0.90602999999999989</v>
      </c>
      <c r="H12" s="611">
        <f t="shared" si="2"/>
        <v>1.3501413000000002</v>
      </c>
      <c r="I12" s="611">
        <f t="shared" si="2"/>
        <v>1.0699532999999999</v>
      </c>
      <c r="J12" s="611">
        <f t="shared" si="2"/>
        <v>1.2384742493686638</v>
      </c>
      <c r="K12" s="611">
        <f t="shared" si="2"/>
        <v>0.6389880520649609</v>
      </c>
      <c r="L12" s="2"/>
    </row>
    <row r="13" spans="1:12" s="12" customFormat="1">
      <c r="B13" s="50"/>
      <c r="C13" s="136"/>
      <c r="D13" s="51"/>
      <c r="E13" s="51"/>
      <c r="F13" s="51"/>
      <c r="G13" s="51"/>
      <c r="H13" s="51"/>
      <c r="I13" s="51"/>
      <c r="J13" s="51"/>
      <c r="K13" s="51"/>
      <c r="L13" s="2"/>
    </row>
    <row r="14" spans="1:12" s="2" customFormat="1">
      <c r="B14" s="50" t="s">
        <v>156</v>
      </c>
      <c r="C14" s="137"/>
      <c r="D14" s="56"/>
      <c r="E14" s="56"/>
      <c r="F14" s="56"/>
      <c r="G14" s="56"/>
      <c r="H14" s="56"/>
      <c r="I14" s="56"/>
      <c r="J14" s="56"/>
      <c r="K14" s="56"/>
    </row>
    <row r="15" spans="1:12" s="2" customFormat="1" ht="13.2" customHeight="1">
      <c r="B15" s="225" t="s">
        <v>518</v>
      </c>
      <c r="C15" s="152" t="s">
        <v>128</v>
      </c>
      <c r="D15" s="594">
        <v>1.0900995600000001</v>
      </c>
      <c r="E15" s="595">
        <v>5.799675E-2</v>
      </c>
      <c r="F15" s="595">
        <v>0.16837228000000001</v>
      </c>
      <c r="G15" s="595">
        <v>0.45837662000000001</v>
      </c>
      <c r="H15" s="595">
        <v>6.3094600000000001E-2</v>
      </c>
      <c r="I15" s="595">
        <v>-0.17071215000000001</v>
      </c>
      <c r="J15" s="595">
        <v>0</v>
      </c>
      <c r="K15" s="595">
        <v>0</v>
      </c>
    </row>
    <row r="16" spans="1:12" s="2" customFormat="1">
      <c r="B16" s="225" t="s">
        <v>517</v>
      </c>
      <c r="C16" s="152" t="s">
        <v>128</v>
      </c>
      <c r="D16" s="596">
        <v>0</v>
      </c>
      <c r="E16" s="597">
        <v>0</v>
      </c>
      <c r="F16" s="597">
        <v>0</v>
      </c>
      <c r="G16" s="597">
        <v>0</v>
      </c>
      <c r="H16" s="597">
        <v>0</v>
      </c>
      <c r="I16" s="597">
        <v>0</v>
      </c>
      <c r="J16" s="597">
        <v>0</v>
      </c>
      <c r="K16" s="597">
        <v>0</v>
      </c>
    </row>
    <row r="17" spans="2:12" s="12" customFormat="1">
      <c r="B17" s="50" t="s">
        <v>133</v>
      </c>
      <c r="C17" s="152" t="s">
        <v>128</v>
      </c>
      <c r="D17" s="610">
        <f>D15-D16</f>
        <v>1.0900995600000001</v>
      </c>
      <c r="E17" s="610">
        <f t="shared" ref="E17:K17" si="3">E15-E16</f>
        <v>5.799675E-2</v>
      </c>
      <c r="F17" s="610">
        <f t="shared" si="3"/>
        <v>0.16837228000000001</v>
      </c>
      <c r="G17" s="610">
        <f t="shared" si="3"/>
        <v>0.45837662000000001</v>
      </c>
      <c r="H17" s="610">
        <f t="shared" si="3"/>
        <v>6.3094600000000001E-2</v>
      </c>
      <c r="I17" s="610">
        <f t="shared" si="3"/>
        <v>-0.17071215000000001</v>
      </c>
      <c r="J17" s="610">
        <f t="shared" si="3"/>
        <v>0</v>
      </c>
      <c r="K17" s="610">
        <f t="shared" si="3"/>
        <v>0</v>
      </c>
      <c r="L17" s="2"/>
    </row>
    <row r="18" spans="2:12" s="12" customFormat="1">
      <c r="B18" s="50"/>
      <c r="C18" s="136"/>
      <c r="D18" s="51"/>
      <c r="E18" s="51"/>
      <c r="F18" s="51"/>
      <c r="G18" s="51"/>
      <c r="H18" s="51"/>
      <c r="I18" s="51"/>
      <c r="J18" s="51"/>
      <c r="K18" s="51"/>
      <c r="L18" s="2"/>
    </row>
    <row r="19" spans="2:12" s="2" customFormat="1">
      <c r="B19" s="50" t="s">
        <v>157</v>
      </c>
      <c r="C19" s="137"/>
      <c r="D19" s="56"/>
      <c r="E19" s="56"/>
      <c r="F19" s="56"/>
      <c r="G19" s="56"/>
      <c r="H19" s="56"/>
      <c r="I19" s="56"/>
      <c r="J19" s="56"/>
      <c r="K19" s="56"/>
    </row>
    <row r="20" spans="2:12" s="2" customFormat="1">
      <c r="B20" s="225" t="s">
        <v>446</v>
      </c>
      <c r="C20" s="152" t="s">
        <v>128</v>
      </c>
      <c r="D20" s="594">
        <v>0</v>
      </c>
      <c r="E20" s="595">
        <v>0</v>
      </c>
      <c r="F20" s="595">
        <v>0</v>
      </c>
      <c r="G20" s="595">
        <v>0</v>
      </c>
      <c r="H20" s="595">
        <v>0</v>
      </c>
      <c r="I20" s="595">
        <v>0</v>
      </c>
      <c r="J20" s="595">
        <v>2.2639525653824357</v>
      </c>
      <c r="K20" s="595">
        <v>2.2153525103116145</v>
      </c>
    </row>
    <row r="21" spans="2:12" s="2" customFormat="1">
      <c r="B21" s="225" t="s">
        <v>515</v>
      </c>
      <c r="C21" s="152" t="s">
        <v>128</v>
      </c>
      <c r="D21" s="632">
        <v>0</v>
      </c>
      <c r="E21" s="633">
        <v>0</v>
      </c>
      <c r="F21" s="633">
        <v>0</v>
      </c>
      <c r="G21" s="633">
        <v>0</v>
      </c>
      <c r="H21" s="633">
        <v>0</v>
      </c>
      <c r="I21" s="633">
        <v>0</v>
      </c>
      <c r="J21" s="633">
        <v>0.25155028504249288</v>
      </c>
      <c r="K21" s="633">
        <v>0.24615027891351304</v>
      </c>
    </row>
    <row r="22" spans="2:12" s="2" customFormat="1">
      <c r="B22" s="35"/>
      <c r="C22" s="138"/>
      <c r="D22" s="35"/>
      <c r="E22" s="35"/>
      <c r="F22" s="35"/>
      <c r="G22" s="35"/>
      <c r="H22" s="35"/>
      <c r="I22" s="35"/>
      <c r="J22" s="35"/>
      <c r="K22" s="35"/>
    </row>
    <row r="23" spans="2:12" s="2" customFormat="1">
      <c r="B23" s="225" t="s">
        <v>500</v>
      </c>
      <c r="C23" s="152" t="s">
        <v>128</v>
      </c>
      <c r="D23" s="632">
        <v>0</v>
      </c>
      <c r="E23" s="633">
        <v>0.2</v>
      </c>
      <c r="F23" s="633">
        <v>0.4375</v>
      </c>
      <c r="G23" s="633">
        <v>0</v>
      </c>
      <c r="H23" s="633">
        <v>0</v>
      </c>
      <c r="I23" s="633">
        <v>0.981823</v>
      </c>
      <c r="J23" s="633">
        <v>0</v>
      </c>
      <c r="K23" s="633">
        <v>0</v>
      </c>
    </row>
    <row r="24" spans="2:12" s="2" customFormat="1">
      <c r="B24" s="35"/>
      <c r="C24" s="138"/>
      <c r="D24" s="35"/>
      <c r="E24" s="35"/>
      <c r="F24" s="35"/>
      <c r="G24" s="35"/>
      <c r="H24" s="35"/>
      <c r="I24" s="35"/>
      <c r="J24" s="35"/>
      <c r="K24" s="35"/>
    </row>
    <row r="25" spans="2:12" s="2" customFormat="1">
      <c r="B25" s="80"/>
      <c r="C25" s="150"/>
      <c r="D25" s="80"/>
      <c r="E25" s="80"/>
      <c r="F25" s="80"/>
      <c r="G25" s="80"/>
      <c r="H25" s="80"/>
      <c r="I25" s="80"/>
      <c r="J25" s="80"/>
      <c r="K25" s="80"/>
      <c r="L25" s="80"/>
    </row>
    <row r="26" spans="2:12" s="2" customFormat="1">
      <c r="B26" s="35"/>
      <c r="C26" s="138"/>
      <c r="D26" s="35"/>
      <c r="E26" s="35"/>
      <c r="F26" s="35"/>
      <c r="G26" s="35"/>
      <c r="H26" s="35"/>
      <c r="I26" s="35"/>
      <c r="J26" s="35"/>
      <c r="K26" s="35"/>
    </row>
    <row r="27" spans="2:12" s="2" customFormat="1">
      <c r="B27" s="50" t="s">
        <v>392</v>
      </c>
      <c r="C27" s="138"/>
      <c r="D27" s="35"/>
      <c r="E27" s="35"/>
      <c r="F27" s="35"/>
      <c r="G27" s="35"/>
      <c r="H27" s="35"/>
      <c r="I27" s="35"/>
      <c r="J27" s="35"/>
      <c r="K27" s="35"/>
    </row>
    <row r="28" spans="2:12" s="2" customFormat="1">
      <c r="B28" s="225" t="s">
        <v>498</v>
      </c>
      <c r="C28" s="155" t="str">
        <f>'RFPR cover'!$C$14</f>
        <v>£m 12/13</v>
      </c>
      <c r="D28" s="680">
        <f>(SUM(D10,D11,D21)-D23)/Data!C34</f>
        <v>3.8705536932753359E-2</v>
      </c>
      <c r="E28" s="680">
        <f>(SUM(E10,E11,E21)-E23)/Data!D34</f>
        <v>-7.1630976437496205E-2</v>
      </c>
      <c r="F28" s="680">
        <f>(SUM(F10,F11,F21)-F23)/Data!E34</f>
        <v>-0.25251790053399681</v>
      </c>
      <c r="G28" s="680">
        <f>(SUM(G10,G11,G21)-G23)/Data!F34</f>
        <v>8.6942240423849668E-2</v>
      </c>
      <c r="H28" s="680">
        <f>(SUM(H10,H11,H21)-H23)/Data!G34</f>
        <v>0.12628970141101425</v>
      </c>
      <c r="I28" s="680">
        <f>(SUM(I10,I11,I21)-I23)/Data!H34</f>
        <v>-0.71775444977682745</v>
      </c>
      <c r="J28" s="680">
        <f>(SUM(J10,J11,J21)-J23)/Data!I34</f>
        <v>0.31532851939010004</v>
      </c>
      <c r="K28" s="680">
        <f>(SUM(K10,K11,K21)-K23)/Data!J34</f>
        <v>0.24931397790994861</v>
      </c>
      <c r="L28" s="35"/>
    </row>
  </sheetData>
  <conditionalFormatting sqref="D6:K6">
    <cfRule type="expression" dxfId="55" priority="24">
      <formula>AND(D$5="Actuals",E$5="Forecast")</formula>
    </cfRule>
  </conditionalFormatting>
  <conditionalFormatting sqref="D5:K5">
    <cfRule type="expression" dxfId="54"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1"/>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101.7265625" customWidth="1"/>
    <col min="3" max="3" width="14.08984375" customWidth="1"/>
    <col min="4" max="11" width="11.08984375" customWidth="1"/>
    <col min="12" max="13" width="12.90625" customWidth="1"/>
    <col min="14" max="14" width="5" customWidth="1"/>
  </cols>
  <sheetData>
    <row r="1" spans="1:14" s="31" customFormat="1" ht="21">
      <c r="A1" s="923" t="s">
        <v>265</v>
      </c>
      <c r="B1" s="919"/>
      <c r="C1" s="256"/>
      <c r="D1" s="256"/>
      <c r="E1" s="256"/>
      <c r="F1" s="256"/>
      <c r="G1" s="256"/>
      <c r="H1" s="256"/>
      <c r="I1" s="257"/>
      <c r="J1" s="257"/>
      <c r="K1" s="258"/>
      <c r="L1" s="258"/>
      <c r="M1" s="258"/>
      <c r="N1" s="259"/>
    </row>
    <row r="2" spans="1:14" s="31" customFormat="1" ht="21">
      <c r="A2" s="912" t="s">
        <v>249</v>
      </c>
      <c r="B2" s="904"/>
      <c r="C2" s="29"/>
      <c r="D2" s="29"/>
      <c r="E2" s="29"/>
      <c r="F2" s="29"/>
      <c r="G2" s="29"/>
      <c r="H2" s="29"/>
      <c r="I2" s="27"/>
      <c r="J2" s="27"/>
      <c r="K2" s="27"/>
      <c r="L2" s="27"/>
      <c r="M2" s="27"/>
      <c r="N2" s="123"/>
    </row>
    <row r="3" spans="1:14" s="31" customFormat="1" ht="22.8">
      <c r="A3" s="915">
        <v>2021</v>
      </c>
      <c r="B3" s="921" t="s">
        <v>645</v>
      </c>
      <c r="C3" s="260"/>
      <c r="D3" s="260"/>
      <c r="E3" s="260"/>
      <c r="F3" s="260"/>
      <c r="G3" s="260"/>
      <c r="H3" s="260"/>
      <c r="I3" s="255"/>
      <c r="J3" s="255"/>
      <c r="K3" s="255"/>
      <c r="L3" s="255"/>
      <c r="M3" s="255"/>
      <c r="N3" s="261"/>
    </row>
    <row r="4" spans="1:14" s="31" customFormat="1" ht="12.75" customHeight="1">
      <c r="A4" s="39"/>
      <c r="B4" s="39"/>
      <c r="C4" s="39"/>
      <c r="D4" s="39"/>
      <c r="E4" s="39"/>
      <c r="F4" s="39"/>
      <c r="G4" s="39"/>
      <c r="H4" s="39"/>
      <c r="I4" s="34"/>
      <c r="J4" s="34"/>
      <c r="K4" s="34"/>
      <c r="L4" s="33"/>
    </row>
    <row r="5" spans="1:14" s="2" customFormat="1">
      <c r="B5" s="3"/>
      <c r="C5" s="3"/>
      <c r="D5" s="389" t="s">
        <v>646</v>
      </c>
      <c r="E5" s="390" t="s">
        <v>646</v>
      </c>
      <c r="F5" s="390" t="s">
        <v>646</v>
      </c>
      <c r="G5" s="390" t="s">
        <v>646</v>
      </c>
      <c r="H5" s="390" t="s">
        <v>646</v>
      </c>
      <c r="I5" s="390" t="s">
        <v>646</v>
      </c>
      <c r="J5" s="390" t="s">
        <v>647</v>
      </c>
      <c r="K5" s="391" t="s">
        <v>647</v>
      </c>
    </row>
    <row r="6" spans="1:14" s="2" customFormat="1" ht="25.2">
      <c r="D6" s="117">
        <v>2016</v>
      </c>
      <c r="E6" s="118">
        <v>2017</v>
      </c>
      <c r="F6" s="118">
        <v>2018</v>
      </c>
      <c r="G6" s="118">
        <v>2019</v>
      </c>
      <c r="H6" s="118">
        <v>2020</v>
      </c>
      <c r="I6" s="118">
        <v>2021</v>
      </c>
      <c r="J6" s="118">
        <v>2022</v>
      </c>
      <c r="K6" s="195">
        <v>2023</v>
      </c>
      <c r="L6" s="101" t="s">
        <v>648</v>
      </c>
      <c r="M6" s="281" t="s">
        <v>109</v>
      </c>
    </row>
    <row r="7" spans="1:14" s="2" customFormat="1"/>
    <row r="8" spans="1:14">
      <c r="B8" s="479" t="s">
        <v>304</v>
      </c>
      <c r="C8" s="152" t="s">
        <v>128</v>
      </c>
      <c r="D8" s="348">
        <v>40.500406810000015</v>
      </c>
      <c r="E8" s="385">
        <v>40.643425529999988</v>
      </c>
      <c r="F8" s="385">
        <v>44.395337319999996</v>
      </c>
      <c r="G8" s="385">
        <v>42.347055789999999</v>
      </c>
      <c r="H8" s="385">
        <v>43.585552189999994</v>
      </c>
      <c r="I8" s="385">
        <v>37.575304939999988</v>
      </c>
      <c r="J8" s="385">
        <v>44.707635487226504</v>
      </c>
      <c r="K8" s="386">
        <v>44.377374926877323</v>
      </c>
      <c r="L8" s="35"/>
      <c r="M8" s="35"/>
    </row>
    <row r="9" spans="1:14">
      <c r="B9" s="14"/>
      <c r="C9" s="152"/>
      <c r="D9" s="229"/>
      <c r="E9" s="229"/>
      <c r="F9" s="229"/>
      <c r="G9" s="229"/>
      <c r="H9" s="229"/>
      <c r="I9" s="229"/>
      <c r="J9" s="229"/>
      <c r="K9" s="229"/>
      <c r="L9" s="35"/>
      <c r="M9" s="35"/>
    </row>
    <row r="10" spans="1:14">
      <c r="B10" s="14" t="s">
        <v>476</v>
      </c>
      <c r="C10" s="16"/>
      <c r="D10" s="230"/>
      <c r="E10" s="230"/>
      <c r="F10" s="230"/>
      <c r="G10" s="230"/>
      <c r="H10" s="230"/>
      <c r="I10" s="230"/>
      <c r="J10" s="230"/>
      <c r="K10" s="230"/>
      <c r="L10" s="35"/>
      <c r="M10" s="35"/>
    </row>
    <row r="11" spans="1:14">
      <c r="B11" s="369" t="s">
        <v>12</v>
      </c>
      <c r="C11" s="152" t="s">
        <v>128</v>
      </c>
      <c r="D11" s="377">
        <v>0</v>
      </c>
      <c r="E11" s="378">
        <v>0</v>
      </c>
      <c r="F11" s="378">
        <v>0</v>
      </c>
      <c r="G11" s="378">
        <v>0</v>
      </c>
      <c r="H11" s="378">
        <v>0</v>
      </c>
      <c r="I11" s="378">
        <v>0</v>
      </c>
      <c r="J11" s="378">
        <v>0</v>
      </c>
      <c r="K11" s="382">
        <v>0</v>
      </c>
      <c r="L11" s="35"/>
      <c r="M11" s="35"/>
    </row>
    <row r="12" spans="1:14">
      <c r="B12" s="369" t="s">
        <v>13</v>
      </c>
      <c r="C12" s="152" t="s">
        <v>128</v>
      </c>
      <c r="D12" s="347">
        <v>8.7971999999999995E-2</v>
      </c>
      <c r="E12" s="379">
        <v>8.7971999999999995E-2</v>
      </c>
      <c r="F12" s="379">
        <v>0.13120000000000001</v>
      </c>
      <c r="G12" s="379">
        <v>0.21774611999999999</v>
      </c>
      <c r="H12" s="379">
        <v>0.21774611999999999</v>
      </c>
      <c r="I12" s="379">
        <v>0.21774611999999999</v>
      </c>
      <c r="J12" s="379">
        <v>0.21774612000000002</v>
      </c>
      <c r="K12" s="383">
        <v>0.21774612000000002</v>
      </c>
      <c r="L12" s="35"/>
      <c r="M12" s="35"/>
    </row>
    <row r="13" spans="1:14">
      <c r="B13" s="369" t="s">
        <v>14</v>
      </c>
      <c r="C13" s="152" t="s">
        <v>128</v>
      </c>
      <c r="D13" s="347">
        <v>0</v>
      </c>
      <c r="E13" s="379">
        <v>0</v>
      </c>
      <c r="F13" s="379">
        <v>0</v>
      </c>
      <c r="G13" s="379">
        <v>0</v>
      </c>
      <c r="H13" s="379">
        <v>0</v>
      </c>
      <c r="I13" s="379">
        <v>0</v>
      </c>
      <c r="J13" s="379">
        <v>0</v>
      </c>
      <c r="K13" s="383">
        <v>0</v>
      </c>
      <c r="L13" s="35"/>
      <c r="M13" s="35"/>
    </row>
    <row r="14" spans="1:14">
      <c r="B14" s="369" t="s">
        <v>15</v>
      </c>
      <c r="C14" s="152" t="s">
        <v>128</v>
      </c>
      <c r="D14" s="347">
        <v>0</v>
      </c>
      <c r="E14" s="379">
        <v>0</v>
      </c>
      <c r="F14" s="379">
        <v>0</v>
      </c>
      <c r="G14" s="379">
        <v>0</v>
      </c>
      <c r="H14" s="379">
        <v>0</v>
      </c>
      <c r="I14" s="379">
        <v>0</v>
      </c>
      <c r="J14" s="379">
        <v>0</v>
      </c>
      <c r="K14" s="383">
        <v>0</v>
      </c>
      <c r="L14" s="35"/>
      <c r="M14" s="35"/>
    </row>
    <row r="15" spans="1:14">
      <c r="B15" s="369" t="s">
        <v>16</v>
      </c>
      <c r="C15" s="152" t="s">
        <v>128</v>
      </c>
      <c r="D15" s="347">
        <v>0</v>
      </c>
      <c r="E15" s="379">
        <v>0</v>
      </c>
      <c r="F15" s="379">
        <v>0</v>
      </c>
      <c r="G15" s="379">
        <v>0</v>
      </c>
      <c r="H15" s="379">
        <v>0</v>
      </c>
      <c r="I15" s="379">
        <v>0</v>
      </c>
      <c r="J15" s="379">
        <v>0</v>
      </c>
      <c r="K15" s="383">
        <v>0</v>
      </c>
      <c r="L15" s="35"/>
      <c r="M15" s="35"/>
    </row>
    <row r="16" spans="1:14">
      <c r="B16" s="369" t="s">
        <v>17</v>
      </c>
      <c r="C16" s="152" t="s">
        <v>128</v>
      </c>
      <c r="D16" s="347">
        <v>-7.7999999999999972</v>
      </c>
      <c r="E16" s="379">
        <v>-3.6968999999999994</v>
      </c>
      <c r="F16" s="379">
        <v>-1.962</v>
      </c>
      <c r="G16" s="379">
        <v>-2.044000000000004</v>
      </c>
      <c r="H16" s="379">
        <v>-0.19999999999999574</v>
      </c>
      <c r="I16" s="379">
        <v>2.5</v>
      </c>
      <c r="J16" s="379">
        <v>0.42536805744999384</v>
      </c>
      <c r="K16" s="383">
        <v>0.97465456688479435</v>
      </c>
      <c r="L16" s="35"/>
    </row>
    <row r="17" spans="2:13">
      <c r="B17" s="369" t="s">
        <v>283</v>
      </c>
      <c r="C17" s="152" t="s">
        <v>128</v>
      </c>
      <c r="D17" s="347">
        <v>-0.28404911999999999</v>
      </c>
      <c r="E17" s="379">
        <v>-0.28404912000000004</v>
      </c>
      <c r="F17" s="379">
        <v>-0.39200000000000002</v>
      </c>
      <c r="G17" s="379">
        <v>-0.60703012000000012</v>
      </c>
      <c r="H17" s="379">
        <v>-0.60702912000000009</v>
      </c>
      <c r="I17" s="379">
        <v>-0.60702912000000009</v>
      </c>
      <c r="J17" s="379">
        <v>-0.60998742603997114</v>
      </c>
      <c r="K17" s="383">
        <v>-0.60998742603997125</v>
      </c>
      <c r="L17" s="35"/>
    </row>
    <row r="18" spans="2:13" ht="12.75" customHeight="1">
      <c r="B18" s="369" t="s">
        <v>18</v>
      </c>
      <c r="C18" s="152" t="s">
        <v>128</v>
      </c>
      <c r="D18" s="347">
        <v>-0.35897534000000003</v>
      </c>
      <c r="E18" s="379">
        <v>-0.19304656000000001</v>
      </c>
      <c r="F18" s="379">
        <v>-0.29749999999999999</v>
      </c>
      <c r="G18" s="379">
        <v>-0.34300001000000002</v>
      </c>
      <c r="H18" s="379">
        <v>-0.32764603000000003</v>
      </c>
      <c r="I18" s="379">
        <v>-0.32939890999999999</v>
      </c>
      <c r="J18" s="379">
        <v>-0.36194908181313135</v>
      </c>
      <c r="K18" s="383">
        <v>-0.36598673267625326</v>
      </c>
      <c r="L18" s="35"/>
    </row>
    <row r="19" spans="2:13">
      <c r="B19" s="369" t="s">
        <v>628</v>
      </c>
      <c r="C19" s="152" t="s">
        <v>128</v>
      </c>
      <c r="D19" s="347">
        <v>0.30099999999999999</v>
      </c>
      <c r="E19" s="379">
        <v>0.46400000000000002</v>
      </c>
      <c r="F19" s="379">
        <v>0.64200000000000002</v>
      </c>
      <c r="G19" s="379">
        <v>2.0569999999999999</v>
      </c>
      <c r="H19" s="379">
        <v>0.45300000000000001</v>
      </c>
      <c r="I19" s="379">
        <v>0.77800000000000002</v>
      </c>
      <c r="J19" s="379">
        <v>0.79649999999999976</v>
      </c>
      <c r="K19" s="383">
        <v>0.7769999999999998</v>
      </c>
      <c r="L19" s="35"/>
    </row>
    <row r="20" spans="2:13">
      <c r="B20" s="369" t="s">
        <v>625</v>
      </c>
      <c r="C20" s="152" t="s">
        <v>128</v>
      </c>
      <c r="D20" s="347">
        <v>-0.22619999999999998</v>
      </c>
      <c r="E20" s="379">
        <v>-0.14218733000000003</v>
      </c>
      <c r="F20" s="379">
        <v>-0.16009999999999999</v>
      </c>
      <c r="G20" s="379">
        <v>-0.24894366000000004</v>
      </c>
      <c r="H20" s="379">
        <v>-0.19022700000000001</v>
      </c>
      <c r="I20" s="379">
        <v>-0.19571566999999998</v>
      </c>
      <c r="J20" s="379">
        <v>-0.21472200000000005</v>
      </c>
      <c r="K20" s="383">
        <v>-0.21472200000000005</v>
      </c>
      <c r="L20" s="35"/>
    </row>
    <row r="21" spans="2:13">
      <c r="B21" s="369" t="s">
        <v>629</v>
      </c>
      <c r="C21" s="152" t="s">
        <v>128</v>
      </c>
      <c r="D21" s="347">
        <v>0</v>
      </c>
      <c r="E21" s="379">
        <v>0</v>
      </c>
      <c r="F21" s="379">
        <v>0</v>
      </c>
      <c r="G21" s="379">
        <v>0.22053096</v>
      </c>
      <c r="H21" s="379">
        <v>0</v>
      </c>
      <c r="I21" s="379">
        <v>0</v>
      </c>
      <c r="J21" s="379">
        <v>0</v>
      </c>
      <c r="K21" s="383">
        <v>0</v>
      </c>
      <c r="L21" s="35"/>
    </row>
    <row r="22" spans="2:13">
      <c r="B22" s="369" t="s">
        <v>627</v>
      </c>
      <c r="C22" s="152" t="s">
        <v>128</v>
      </c>
      <c r="D22" s="347">
        <v>0</v>
      </c>
      <c r="E22" s="379">
        <v>0</v>
      </c>
      <c r="F22" s="379">
        <v>0</v>
      </c>
      <c r="G22" s="379">
        <v>0</v>
      </c>
      <c r="H22" s="379">
        <v>-3.3546410000000006E-2</v>
      </c>
      <c r="I22" s="379">
        <v>-2.8166939999999994E-2</v>
      </c>
      <c r="J22" s="379">
        <v>-2.7531E-2</v>
      </c>
      <c r="K22" s="383">
        <v>-2.6887000000000001E-2</v>
      </c>
      <c r="L22" s="35"/>
    </row>
    <row r="23" spans="2:13">
      <c r="B23" s="369" t="s">
        <v>626</v>
      </c>
      <c r="C23" s="152" t="s">
        <v>128</v>
      </c>
      <c r="D23" s="347">
        <v>-0.44084682000000019</v>
      </c>
      <c r="E23" s="379">
        <v>-0.48430667000000005</v>
      </c>
      <c r="F23" s="379">
        <v>-0.1125</v>
      </c>
      <c r="G23" s="379">
        <v>-3.5192210000000002E-2</v>
      </c>
      <c r="H23" s="379">
        <v>-2.4368120000000004E-2</v>
      </c>
      <c r="I23" s="379">
        <v>-0.84407664000000004</v>
      </c>
      <c r="J23" s="379">
        <v>-2.3073059999999999E-2</v>
      </c>
      <c r="K23" s="383">
        <v>-2.3073059999999999E-2</v>
      </c>
      <c r="L23" s="35"/>
    </row>
    <row r="24" spans="2:13">
      <c r="B24" s="369" t="s">
        <v>352</v>
      </c>
      <c r="C24" s="152" t="s">
        <v>128</v>
      </c>
      <c r="D24" s="347">
        <v>0</v>
      </c>
      <c r="E24" s="379">
        <v>0</v>
      </c>
      <c r="F24" s="379">
        <v>0</v>
      </c>
      <c r="G24" s="379">
        <v>0</v>
      </c>
      <c r="H24" s="379">
        <v>0</v>
      </c>
      <c r="I24" s="379">
        <v>0</v>
      </c>
      <c r="J24" s="379">
        <v>0</v>
      </c>
      <c r="K24" s="383">
        <v>0</v>
      </c>
      <c r="L24" s="35"/>
    </row>
    <row r="25" spans="2:13">
      <c r="B25" s="369" t="s">
        <v>353</v>
      </c>
      <c r="C25" s="152" t="s">
        <v>128</v>
      </c>
      <c r="D25" s="347">
        <v>0</v>
      </c>
      <c r="E25" s="379">
        <v>0</v>
      </c>
      <c r="F25" s="379">
        <v>0</v>
      </c>
      <c r="G25" s="379">
        <v>0</v>
      </c>
      <c r="H25" s="379">
        <v>0</v>
      </c>
      <c r="I25" s="379">
        <v>0</v>
      </c>
      <c r="J25" s="379">
        <v>0</v>
      </c>
      <c r="K25" s="383">
        <v>0</v>
      </c>
      <c r="L25" s="35"/>
    </row>
    <row r="26" spans="2:13">
      <c r="B26" s="369" t="s">
        <v>354</v>
      </c>
      <c r="C26" s="152" t="s">
        <v>128</v>
      </c>
      <c r="D26" s="347">
        <v>0</v>
      </c>
      <c r="E26" s="379">
        <v>0</v>
      </c>
      <c r="F26" s="379">
        <v>0</v>
      </c>
      <c r="G26" s="379">
        <v>0</v>
      </c>
      <c r="H26" s="379">
        <v>0</v>
      </c>
      <c r="I26" s="379">
        <v>0</v>
      </c>
      <c r="J26" s="379">
        <v>0</v>
      </c>
      <c r="K26" s="383">
        <v>0</v>
      </c>
      <c r="L26" s="35"/>
    </row>
    <row r="27" spans="2:13">
      <c r="B27" s="369" t="s">
        <v>355</v>
      </c>
      <c r="C27" s="152" t="s">
        <v>128</v>
      </c>
      <c r="D27" s="380">
        <v>0</v>
      </c>
      <c r="E27" s="381">
        <v>0</v>
      </c>
      <c r="F27" s="381">
        <v>0</v>
      </c>
      <c r="G27" s="381">
        <v>0</v>
      </c>
      <c r="H27" s="381">
        <v>0</v>
      </c>
      <c r="I27" s="381">
        <v>0</v>
      </c>
      <c r="J27" s="381">
        <v>0</v>
      </c>
      <c r="K27" s="384">
        <v>0</v>
      </c>
      <c r="L27" s="35"/>
    </row>
    <row r="28" spans="2:13">
      <c r="B28" s="13" t="s">
        <v>19</v>
      </c>
      <c r="C28" s="152" t="s">
        <v>128</v>
      </c>
      <c r="D28" s="142">
        <v>31.779307530000022</v>
      </c>
      <c r="E28" s="143">
        <v>36.394907849999989</v>
      </c>
      <c r="F28" s="143">
        <v>42.244437319999996</v>
      </c>
      <c r="G28" s="143">
        <v>41.564166870000001</v>
      </c>
      <c r="H28" s="143">
        <v>42.873481630000008</v>
      </c>
      <c r="I28" s="143">
        <v>39.066663779999992</v>
      </c>
      <c r="J28" s="143">
        <v>44.909987096823393</v>
      </c>
      <c r="K28" s="144">
        <v>45.106119395045887</v>
      </c>
      <c r="L28" s="35"/>
    </row>
    <row r="29" spans="2:13">
      <c r="B29" s="370" t="s">
        <v>539</v>
      </c>
      <c r="C29" s="152" t="s">
        <v>128</v>
      </c>
      <c r="D29" s="387"/>
      <c r="E29" s="388"/>
      <c r="F29" s="388"/>
      <c r="G29" s="681"/>
      <c r="H29" s="681"/>
      <c r="I29" s="681"/>
      <c r="J29" s="681">
        <v>0</v>
      </c>
      <c r="K29" s="682">
        <v>0</v>
      </c>
      <c r="L29" s="35"/>
    </row>
    <row r="30" spans="2:13">
      <c r="B30" s="346" t="s">
        <v>305</v>
      </c>
      <c r="C30" s="152" t="s">
        <v>128</v>
      </c>
      <c r="D30" s="142">
        <v>31.779307530000022</v>
      </c>
      <c r="E30" s="143">
        <v>36.394907849999989</v>
      </c>
      <c r="F30" s="143">
        <v>42.244437319999996</v>
      </c>
      <c r="G30" s="143">
        <v>41.564166870000001</v>
      </c>
      <c r="H30" s="143">
        <v>42.873481630000008</v>
      </c>
      <c r="I30" s="143">
        <v>39.066663779999992</v>
      </c>
      <c r="J30" s="143">
        <v>44.909987096823393</v>
      </c>
      <c r="K30" s="144">
        <v>45.106119395045887</v>
      </c>
      <c r="M30" t="s">
        <v>578</v>
      </c>
    </row>
    <row r="31" spans="2:13">
      <c r="B31" s="213" t="s">
        <v>21</v>
      </c>
      <c r="C31" s="152" t="s">
        <v>128</v>
      </c>
      <c r="D31" s="586">
        <v>33.991514610000024</v>
      </c>
      <c r="E31" s="587">
        <v>39.160332039999986</v>
      </c>
      <c r="F31" s="587">
        <v>44.981366389999998</v>
      </c>
      <c r="G31" s="587">
        <v>44.578922290000001</v>
      </c>
      <c r="H31" s="587">
        <v>45.619884280000008</v>
      </c>
      <c r="I31" s="587">
        <v>42.037494689999996</v>
      </c>
      <c r="J31" s="587">
        <v>47.880818006823397</v>
      </c>
      <c r="K31" s="683">
        <v>48.076950305045891</v>
      </c>
    </row>
    <row r="32" spans="2:13">
      <c r="B32" s="213" t="s">
        <v>470</v>
      </c>
      <c r="C32" s="152" t="s">
        <v>128</v>
      </c>
      <c r="D32" s="590">
        <v>-2.2122070800000002</v>
      </c>
      <c r="E32" s="591">
        <v>-2.7654241899999996</v>
      </c>
      <c r="F32" s="591">
        <v>-2.7369290700000004</v>
      </c>
      <c r="G32" s="591">
        <v>-3.0147554200000002</v>
      </c>
      <c r="H32" s="591">
        <v>-2.7464026499999994</v>
      </c>
      <c r="I32" s="591">
        <v>-2.9708309100000005</v>
      </c>
      <c r="J32" s="591">
        <v>-2.9708309100000005</v>
      </c>
      <c r="K32" s="684">
        <v>-2.9708309100000005</v>
      </c>
    </row>
    <row r="33" spans="2:14">
      <c r="B33" s="213"/>
      <c r="D33" s="226" t="s">
        <v>649</v>
      </c>
      <c r="E33" s="227" t="s">
        <v>649</v>
      </c>
      <c r="F33" s="227" t="s">
        <v>649</v>
      </c>
      <c r="G33" s="227" t="s">
        <v>649</v>
      </c>
      <c r="H33" s="227" t="s">
        <v>649</v>
      </c>
      <c r="I33" s="227" t="s">
        <v>649</v>
      </c>
      <c r="J33" s="227" t="s">
        <v>649</v>
      </c>
      <c r="K33" s="228" t="s">
        <v>649</v>
      </c>
    </row>
    <row r="34" spans="2:14">
      <c r="D34" s="23"/>
      <c r="E34" s="23"/>
      <c r="F34" s="23"/>
      <c r="G34" s="23"/>
      <c r="H34" s="23"/>
      <c r="I34" s="23"/>
      <c r="J34" s="23"/>
      <c r="K34" s="23"/>
    </row>
    <row r="35" spans="2:14">
      <c r="B35" s="213" t="s">
        <v>533</v>
      </c>
      <c r="C35" s="152" t="s">
        <v>128</v>
      </c>
      <c r="D35" s="586">
        <v>3.8227500000000001</v>
      </c>
      <c r="E35" s="587">
        <v>7.5352499999999996</v>
      </c>
      <c r="F35" s="587">
        <v>11.80575</v>
      </c>
      <c r="G35" s="587">
        <v>7.8704999999999998</v>
      </c>
      <c r="H35" s="587">
        <v>8.5455000000000005</v>
      </c>
      <c r="I35" s="587">
        <v>4.4977499999999999</v>
      </c>
      <c r="J35" s="587">
        <v>10.2690135</v>
      </c>
      <c r="K35" s="683">
        <v>10.245825404999998</v>
      </c>
    </row>
    <row r="36" spans="2:14">
      <c r="D36" s="23"/>
      <c r="E36" s="23"/>
      <c r="F36" s="23"/>
      <c r="G36" s="23"/>
      <c r="H36" s="23"/>
      <c r="I36" s="23"/>
      <c r="J36" s="23"/>
      <c r="K36" s="23"/>
    </row>
    <row r="37" spans="2:14">
      <c r="B37" s="213" t="s">
        <v>82</v>
      </c>
      <c r="C37" s="152" t="s">
        <v>128</v>
      </c>
      <c r="D37" s="882">
        <v>8.287531049076696</v>
      </c>
      <c r="E37" s="882">
        <v>16.470620731248495</v>
      </c>
      <c r="F37" s="882">
        <v>33.076487731370598</v>
      </c>
      <c r="G37" s="882">
        <v>30.993280414138354</v>
      </c>
      <c r="H37" s="882">
        <v>26.470233114707472</v>
      </c>
      <c r="I37" s="882">
        <v>12.480658506113159</v>
      </c>
      <c r="J37" s="882">
        <v>27.46549990634497</v>
      </c>
      <c r="K37" s="882">
        <v>32.191067019839082</v>
      </c>
      <c r="N37" s="322"/>
    </row>
    <row r="38" spans="2:14" s="31" customFormat="1">
      <c r="B38" s="212"/>
      <c r="C38" s="823"/>
      <c r="D38" s="825"/>
      <c r="E38" s="825"/>
      <c r="F38" s="825"/>
      <c r="G38" s="825"/>
      <c r="H38" s="825"/>
      <c r="I38" s="825"/>
      <c r="J38" s="825"/>
      <c r="K38" s="825"/>
      <c r="L38"/>
      <c r="M38"/>
      <c r="N38" s="824"/>
    </row>
    <row r="39" spans="2:14">
      <c r="B39" s="213" t="s">
        <v>484</v>
      </c>
      <c r="C39" s="152" t="s">
        <v>128</v>
      </c>
      <c r="D39" s="102">
        <v>23.491776480923328</v>
      </c>
      <c r="E39" s="102">
        <v>19.924287118751494</v>
      </c>
      <c r="F39" s="102">
        <v>9.1679495886293978</v>
      </c>
      <c r="G39" s="102">
        <v>10.570886455861647</v>
      </c>
      <c r="H39" s="102">
        <v>16.403248515292535</v>
      </c>
      <c r="I39" s="102">
        <v>26.586005273886833</v>
      </c>
      <c r="J39" s="102">
        <v>17.444487190478423</v>
      </c>
      <c r="K39" s="102">
        <v>12.915052375206805</v>
      </c>
    </row>
    <row r="40" spans="2:14">
      <c r="B40" s="213"/>
      <c r="C40" s="152"/>
      <c r="D40" s="152"/>
      <c r="E40" s="152"/>
      <c r="F40" s="152"/>
      <c r="G40" s="152"/>
      <c r="H40" s="152"/>
      <c r="I40" s="152"/>
      <c r="J40" s="152"/>
      <c r="K40" s="152"/>
      <c r="L40" s="152"/>
      <c r="N40" s="322"/>
    </row>
    <row r="41" spans="2:14">
      <c r="B41" s="853" t="s">
        <v>374</v>
      </c>
      <c r="C41" s="152" t="s">
        <v>127</v>
      </c>
      <c r="D41" s="505">
        <v>1.0603167467048125</v>
      </c>
      <c r="E41" s="505">
        <v>1.0830366813119445</v>
      </c>
      <c r="F41" s="505">
        <v>1.1235639113109226</v>
      </c>
      <c r="G41" s="505">
        <v>1.1578951670583426</v>
      </c>
      <c r="H41" s="505">
        <v>1.1878696229692449</v>
      </c>
      <c r="I41" s="505">
        <v>1.2022764892203943</v>
      </c>
      <c r="J41" s="505">
        <v>1.2341368161847346</v>
      </c>
      <c r="K41" s="505">
        <v>1.2720865232824152</v>
      </c>
      <c r="L41" s="152"/>
      <c r="N41" s="322"/>
    </row>
    <row r="42" spans="2:14">
      <c r="L42" s="155"/>
      <c r="M42" s="155"/>
      <c r="N42" s="155"/>
    </row>
    <row r="43" spans="2:14">
      <c r="B43" s="834" t="s">
        <v>430</v>
      </c>
      <c r="C43" s="156" t="s">
        <v>159</v>
      </c>
      <c r="D43" s="145">
        <v>22.155432849598608</v>
      </c>
      <c r="E43" s="146">
        <v>18.396687261428728</v>
      </c>
      <c r="F43" s="146">
        <v>8.1597045760687141</v>
      </c>
      <c r="G43" s="146">
        <v>9.1293985471216796</v>
      </c>
      <c r="H43" s="146">
        <v>13.80896370957811</v>
      </c>
      <c r="I43" s="146">
        <v>22.113054286810762</v>
      </c>
      <c r="J43" s="146">
        <v>14.134970257517384</v>
      </c>
      <c r="K43" s="147">
        <v>10.152652464143385</v>
      </c>
      <c r="L43" s="690">
        <v>93.76324123060661</v>
      </c>
      <c r="M43" s="691">
        <v>118.05086395226738</v>
      </c>
    </row>
    <row r="44" spans="2:14">
      <c r="B44" s="213"/>
      <c r="C44" s="65"/>
      <c r="D44" s="806"/>
      <c r="E44" s="806"/>
      <c r="F44" s="806"/>
      <c r="G44" s="806"/>
      <c r="H44" s="806"/>
      <c r="I44" s="806"/>
      <c r="J44" s="806"/>
      <c r="K44" s="806"/>
      <c r="L44" s="829"/>
      <c r="M44" s="829"/>
    </row>
    <row r="45" spans="2:14">
      <c r="B45" s="834" t="s">
        <v>521</v>
      </c>
      <c r="C45" s="152"/>
      <c r="D45" s="806"/>
      <c r="E45" s="806"/>
      <c r="F45" s="806"/>
      <c r="G45" s="806"/>
      <c r="H45" s="806"/>
      <c r="I45" s="806"/>
      <c r="J45" s="806"/>
      <c r="K45" s="806"/>
      <c r="L45" s="829"/>
      <c r="M45" s="829"/>
    </row>
    <row r="46" spans="2:14">
      <c r="B46" s="369" t="s">
        <v>505</v>
      </c>
      <c r="C46" s="152" t="s">
        <v>128</v>
      </c>
      <c r="D46" s="881">
        <v>0.28404911999999999</v>
      </c>
      <c r="E46" s="881">
        <v>0.28404912000000004</v>
      </c>
      <c r="F46" s="881">
        <v>0.39200000000000002</v>
      </c>
      <c r="G46" s="881">
        <v>0.60703012000000012</v>
      </c>
      <c r="H46" s="881">
        <v>0.60702912000000009</v>
      </c>
      <c r="I46" s="881">
        <v>0.60702912000000009</v>
      </c>
      <c r="J46" s="881">
        <v>0.60998742603997114</v>
      </c>
      <c r="K46" s="881">
        <v>0.60998742603997125</v>
      </c>
      <c r="L46" s="690">
        <v>2.7811866000000003</v>
      </c>
      <c r="M46" s="690">
        <v>4.001161452079943</v>
      </c>
    </row>
    <row r="47" spans="2:14">
      <c r="B47" s="369" t="s">
        <v>542</v>
      </c>
      <c r="C47" s="152" t="s">
        <v>128</v>
      </c>
      <c r="D47" s="387"/>
      <c r="E47" s="388"/>
      <c r="F47" s="388"/>
      <c r="G47" s="681"/>
      <c r="H47" s="681"/>
      <c r="I47" s="681"/>
      <c r="J47" s="681">
        <v>0</v>
      </c>
      <c r="K47" s="681">
        <v>0</v>
      </c>
      <c r="L47" s="690">
        <v>0</v>
      </c>
      <c r="M47" s="690">
        <v>0</v>
      </c>
    </row>
    <row r="48" spans="2:14">
      <c r="B48" s="369" t="s">
        <v>524</v>
      </c>
      <c r="C48" s="152" t="s">
        <v>128</v>
      </c>
      <c r="D48" s="881">
        <v>0</v>
      </c>
      <c r="E48" s="881">
        <v>0</v>
      </c>
      <c r="F48" s="881">
        <v>0</v>
      </c>
      <c r="G48" s="881">
        <v>0</v>
      </c>
      <c r="H48" s="881">
        <v>0</v>
      </c>
      <c r="I48" s="881">
        <v>0</v>
      </c>
      <c r="J48" s="881">
        <v>0</v>
      </c>
      <c r="K48" s="881">
        <v>0</v>
      </c>
      <c r="L48" s="690">
        <v>0</v>
      </c>
      <c r="M48" s="690">
        <v>0</v>
      </c>
    </row>
    <row r="49" spans="1:14">
      <c r="B49" s="369" t="s">
        <v>525</v>
      </c>
      <c r="C49" s="152" t="s">
        <v>128</v>
      </c>
      <c r="D49" s="881">
        <v>0</v>
      </c>
      <c r="E49" s="881">
        <v>0</v>
      </c>
      <c r="F49" s="881">
        <v>0</v>
      </c>
      <c r="G49" s="881">
        <v>0</v>
      </c>
      <c r="H49" s="881">
        <v>0</v>
      </c>
      <c r="I49" s="881">
        <v>0</v>
      </c>
      <c r="J49" s="881">
        <v>0</v>
      </c>
      <c r="K49" s="881">
        <v>0</v>
      </c>
      <c r="L49" s="690">
        <v>0</v>
      </c>
      <c r="M49" s="690">
        <v>0</v>
      </c>
    </row>
    <row r="50" spans="1:14">
      <c r="B50" s="369" t="s">
        <v>506</v>
      </c>
      <c r="C50" s="152" t="s">
        <v>128</v>
      </c>
      <c r="D50" s="881">
        <v>0</v>
      </c>
      <c r="E50" s="881">
        <v>0</v>
      </c>
      <c r="F50" s="881">
        <v>0</v>
      </c>
      <c r="G50" s="881">
        <v>0</v>
      </c>
      <c r="H50" s="881">
        <v>0</v>
      </c>
      <c r="I50" s="881">
        <v>0</v>
      </c>
      <c r="J50" s="881">
        <v>0</v>
      </c>
      <c r="K50" s="881">
        <v>0</v>
      </c>
      <c r="L50" s="690">
        <v>0</v>
      </c>
      <c r="M50" s="690">
        <v>0</v>
      </c>
    </row>
    <row r="51" spans="1:14">
      <c r="B51" s="369" t="s">
        <v>506</v>
      </c>
      <c r="C51" s="152" t="s">
        <v>128</v>
      </c>
      <c r="D51" s="881">
        <v>0</v>
      </c>
      <c r="E51" s="881">
        <v>0</v>
      </c>
      <c r="F51" s="881">
        <v>0</v>
      </c>
      <c r="G51" s="881">
        <v>0</v>
      </c>
      <c r="H51" s="881">
        <v>0</v>
      </c>
      <c r="I51" s="881">
        <v>0</v>
      </c>
      <c r="J51" s="881">
        <v>0</v>
      </c>
      <c r="K51" s="881">
        <v>0</v>
      </c>
      <c r="L51" s="690">
        <v>0</v>
      </c>
      <c r="M51" s="690">
        <v>0</v>
      </c>
    </row>
    <row r="52" spans="1:14">
      <c r="B52" s="369" t="s">
        <v>506</v>
      </c>
      <c r="C52" s="152" t="s">
        <v>128</v>
      </c>
      <c r="D52" s="881">
        <v>0</v>
      </c>
      <c r="E52" s="881">
        <v>0</v>
      </c>
      <c r="F52" s="881">
        <v>0</v>
      </c>
      <c r="G52" s="881">
        <v>0</v>
      </c>
      <c r="H52" s="881">
        <v>0</v>
      </c>
      <c r="I52" s="881">
        <v>0</v>
      </c>
      <c r="J52" s="881">
        <v>0</v>
      </c>
      <c r="K52" s="881">
        <v>0</v>
      </c>
      <c r="L52" s="690">
        <v>0</v>
      </c>
      <c r="M52" s="690">
        <v>0</v>
      </c>
    </row>
    <row r="53" spans="1:14">
      <c r="B53" s="369" t="s">
        <v>506</v>
      </c>
      <c r="C53" s="152" t="s">
        <v>128</v>
      </c>
      <c r="D53" s="881">
        <v>0</v>
      </c>
      <c r="E53" s="881">
        <v>0</v>
      </c>
      <c r="F53" s="881">
        <v>0</v>
      </c>
      <c r="G53" s="881">
        <v>0</v>
      </c>
      <c r="H53" s="881">
        <v>0</v>
      </c>
      <c r="I53" s="881">
        <v>0</v>
      </c>
      <c r="J53" s="881">
        <v>0</v>
      </c>
      <c r="K53" s="881">
        <v>0</v>
      </c>
      <c r="L53" s="690">
        <v>0</v>
      </c>
      <c r="M53" s="690">
        <v>0</v>
      </c>
    </row>
    <row r="54" spans="1:14" s="865" customFormat="1">
      <c r="B54" s="864"/>
      <c r="C54" s="866"/>
      <c r="D54" s="867"/>
      <c r="E54" s="867"/>
      <c r="F54" s="867"/>
      <c r="G54" s="867"/>
      <c r="H54" s="867"/>
      <c r="I54" s="867"/>
      <c r="J54" s="867"/>
      <c r="K54" s="867"/>
      <c r="L54" s="868"/>
      <c r="M54" s="868"/>
    </row>
    <row r="55" spans="1:14">
      <c r="B55" s="859" t="s">
        <v>522</v>
      </c>
      <c r="C55" s="235" t="s">
        <v>128</v>
      </c>
      <c r="D55" s="145">
        <v>0.28404911999999999</v>
      </c>
      <c r="E55" s="145">
        <v>0.28404912000000004</v>
      </c>
      <c r="F55" s="145">
        <v>0.39200000000000002</v>
      </c>
      <c r="G55" s="145">
        <v>0.60703012000000012</v>
      </c>
      <c r="H55" s="145">
        <v>0.60702912000000009</v>
      </c>
      <c r="I55" s="145">
        <v>0.60702912000000009</v>
      </c>
      <c r="J55" s="145">
        <v>0.60998742603997114</v>
      </c>
      <c r="K55" s="145">
        <v>0.60998742603997125</v>
      </c>
      <c r="L55" s="690">
        <v>2.7811866000000003</v>
      </c>
      <c r="M55" s="691">
        <v>4.001161452079943</v>
      </c>
    </row>
    <row r="56" spans="1:14">
      <c r="B56" s="859" t="s">
        <v>522</v>
      </c>
      <c r="C56" s="156" t="s">
        <v>159</v>
      </c>
      <c r="D56" s="145">
        <v>0.26789081742106824</v>
      </c>
      <c r="E56" s="145">
        <v>0.26227100605301296</v>
      </c>
      <c r="F56" s="145">
        <v>0.34888981040930062</v>
      </c>
      <c r="G56" s="145">
        <v>0.52425309066810699</v>
      </c>
      <c r="H56" s="145">
        <v>0.5110233549727845</v>
      </c>
      <c r="I56" s="145">
        <v>0.50489976760139654</v>
      </c>
      <c r="J56" s="145">
        <v>0.49426240108913805</v>
      </c>
      <c r="K56" s="145">
        <v>0.47951724578136129</v>
      </c>
      <c r="L56" s="690">
        <v>2.4192278471256699</v>
      </c>
      <c r="M56" s="691">
        <v>3.3930074939961692</v>
      </c>
    </row>
    <row r="57" spans="1:14">
      <c r="B57" s="213"/>
      <c r="C57" s="65"/>
      <c r="D57" s="806"/>
      <c r="E57" s="806"/>
      <c r="F57" s="806"/>
      <c r="G57" s="806"/>
      <c r="H57" s="806"/>
      <c r="I57" s="806"/>
      <c r="J57" s="806"/>
      <c r="K57" s="806"/>
      <c r="L57" s="829"/>
      <c r="M57" s="829"/>
    </row>
    <row r="58" spans="1:14" s="2" customFormat="1">
      <c r="A58" s="1"/>
    </row>
    <row r="59" spans="1:14" s="2" customFormat="1">
      <c r="A59" s="1"/>
      <c r="B59" s="830" t="s">
        <v>440</v>
      </c>
      <c r="C59" s="80"/>
      <c r="D59" s="80"/>
      <c r="E59" s="80"/>
      <c r="F59" s="80"/>
      <c r="G59" s="80"/>
      <c r="H59" s="80"/>
      <c r="I59" s="80"/>
      <c r="J59" s="80"/>
      <c r="K59" s="80"/>
      <c r="L59" s="80"/>
      <c r="M59" s="80"/>
      <c r="N59" s="80"/>
    </row>
    <row r="60" spans="1:14" s="2" customFormat="1">
      <c r="A60" s="1"/>
      <c r="B60" s="368" t="s">
        <v>441</v>
      </c>
    </row>
    <row r="61" spans="1:14" s="2" customFormat="1">
      <c r="A61" s="1"/>
    </row>
    <row r="62" spans="1:14" s="31" customFormat="1">
      <c r="B62" s="213" t="s">
        <v>115</v>
      </c>
      <c r="C62" s="155" t="s">
        <v>7</v>
      </c>
      <c r="D62" s="890">
        <v>0.65</v>
      </c>
      <c r="E62" s="891">
        <v>0.65</v>
      </c>
      <c r="F62" s="891">
        <v>0.65</v>
      </c>
      <c r="G62" s="891">
        <v>0.65</v>
      </c>
      <c r="H62" s="891">
        <v>0.65</v>
      </c>
      <c r="I62" s="891">
        <v>0.65</v>
      </c>
      <c r="J62" s="891">
        <v>0.65</v>
      </c>
      <c r="K62" s="892">
        <v>0.65</v>
      </c>
      <c r="N62" s="824"/>
    </row>
    <row r="63" spans="1:14" s="31" customFormat="1">
      <c r="B63" s="213" t="s">
        <v>403</v>
      </c>
      <c r="C63" s="155" t="s">
        <v>7</v>
      </c>
      <c r="D63" s="891">
        <v>0.56417818057479296</v>
      </c>
      <c r="E63" s="891">
        <v>0.59213988226033953</v>
      </c>
      <c r="F63" s="891">
        <v>0.59258626137640169</v>
      </c>
      <c r="G63" s="891">
        <v>0.59541798047962713</v>
      </c>
      <c r="H63" s="891">
        <v>0.60699394606448154</v>
      </c>
      <c r="I63" s="891">
        <v>0.61016137463834963</v>
      </c>
      <c r="J63" s="891">
        <v>0.5491770308940388</v>
      </c>
      <c r="K63" s="892">
        <v>0.51180587698701685</v>
      </c>
      <c r="N63" s="824"/>
    </row>
    <row r="64" spans="1:14" s="31" customFormat="1">
      <c r="B64" s="213"/>
      <c r="C64" s="155"/>
      <c r="D64" s="155"/>
      <c r="E64" s="155"/>
      <c r="F64" s="155"/>
      <c r="G64" s="155"/>
      <c r="H64" s="155"/>
      <c r="I64" s="155"/>
      <c r="J64" s="155"/>
      <c r="K64" s="155"/>
      <c r="N64" s="824"/>
    </row>
    <row r="65" spans="2:15">
      <c r="B65" s="213" t="s">
        <v>430</v>
      </c>
      <c r="C65" s="152" t="s">
        <v>128</v>
      </c>
      <c r="D65" s="95">
        <v>23.491776480923328</v>
      </c>
      <c r="E65" s="96">
        <v>19.924287118751494</v>
      </c>
      <c r="F65" s="96">
        <v>9.1679495886293978</v>
      </c>
      <c r="G65" s="96">
        <v>10.570886455861647</v>
      </c>
      <c r="H65" s="96">
        <v>16.403248515292535</v>
      </c>
      <c r="I65" s="96">
        <v>26.586005273886833</v>
      </c>
      <c r="J65" s="96">
        <v>17.444487190478423</v>
      </c>
      <c r="K65" s="97">
        <v>12.915052375206805</v>
      </c>
      <c r="L65" s="31"/>
      <c r="M65" s="31"/>
    </row>
    <row r="66" spans="2:15" s="31" customFormat="1">
      <c r="B66" s="213" t="s">
        <v>448</v>
      </c>
      <c r="C66" s="152" t="s">
        <v>128</v>
      </c>
      <c r="D66" s="95">
        <v>3.5735288398943199</v>
      </c>
      <c r="E66" s="95">
        <v>1.9468737592360212</v>
      </c>
      <c r="F66" s="95">
        <v>0.8882525561313247</v>
      </c>
      <c r="G66" s="95">
        <v>0.96903410679118362</v>
      </c>
      <c r="H66" s="95">
        <v>1.1621845570951459</v>
      </c>
      <c r="I66" s="95">
        <v>1.7358521007610661</v>
      </c>
      <c r="J66" s="95">
        <v>3.2026193633984952</v>
      </c>
      <c r="K66" s="95">
        <v>3.4872290782696993</v>
      </c>
      <c r="N66" s="824"/>
    </row>
    <row r="67" spans="2:15">
      <c r="B67" s="213" t="s">
        <v>447</v>
      </c>
      <c r="C67" s="152" t="s">
        <v>128</v>
      </c>
      <c r="D67" s="102">
        <v>27.065305320817647</v>
      </c>
      <c r="E67" s="103">
        <v>21.871160877987514</v>
      </c>
      <c r="F67" s="103">
        <v>10.056202144760723</v>
      </c>
      <c r="G67" s="103">
        <v>11.539920562652831</v>
      </c>
      <c r="H67" s="103">
        <v>17.56543307238768</v>
      </c>
      <c r="I67" s="103">
        <v>28.321857374647898</v>
      </c>
      <c r="J67" s="103">
        <v>20.647106553876917</v>
      </c>
      <c r="K67" s="104">
        <v>16.402281453476505</v>
      </c>
      <c r="L67" s="31"/>
      <c r="M67" s="31"/>
    </row>
    <row r="68" spans="2:15">
      <c r="B68" s="213"/>
      <c r="C68" s="152"/>
      <c r="D68" s="152"/>
      <c r="E68" s="152"/>
      <c r="F68" s="152"/>
      <c r="G68" s="152"/>
      <c r="H68" s="152"/>
      <c r="I68" s="152"/>
      <c r="J68" s="152"/>
      <c r="K68" s="152"/>
      <c r="L68" s="152"/>
      <c r="M68" s="152"/>
      <c r="N68" s="152"/>
      <c r="O68" s="152"/>
    </row>
    <row r="69" spans="2:15">
      <c r="B69" s="834" t="s">
        <v>447</v>
      </c>
      <c r="C69" s="156" t="s">
        <v>159</v>
      </c>
      <c r="D69" s="145">
        <v>25.5256793830047</v>
      </c>
      <c r="E69" s="146">
        <v>20.194293744043573</v>
      </c>
      <c r="F69" s="146">
        <v>8.9502715809264561</v>
      </c>
      <c r="G69" s="146">
        <v>9.9662913284025922</v>
      </c>
      <c r="H69" s="146">
        <v>14.787340910764637</v>
      </c>
      <c r="I69" s="146">
        <v>23.55685869979289</v>
      </c>
      <c r="J69" s="146">
        <v>16.729998070802473</v>
      </c>
      <c r="K69" s="147">
        <v>12.893998288066953</v>
      </c>
      <c r="L69" s="690">
        <v>102.98073564693485</v>
      </c>
      <c r="M69" s="691">
        <v>132.60473200580429</v>
      </c>
    </row>
    <row r="70" spans="2:15">
      <c r="B70" s="371" t="s">
        <v>523</v>
      </c>
      <c r="C70" s="159" t="s">
        <v>159</v>
      </c>
      <c r="D70" s="95">
        <v>0.30864191016088066</v>
      </c>
      <c r="E70" s="95">
        <v>0.28789844940643111</v>
      </c>
      <c r="F70" s="95">
        <v>0.38269259945262091</v>
      </c>
      <c r="G70" s="95">
        <v>0.57231141837499344</v>
      </c>
      <c r="H70" s="95">
        <v>0.54722980828053225</v>
      </c>
      <c r="I70" s="95">
        <v>0.53786565748352566</v>
      </c>
      <c r="J70" s="95">
        <v>0.58500363750633155</v>
      </c>
      <c r="K70" s="95">
        <v>0.60899302601363348</v>
      </c>
      <c r="L70" s="686">
        <v>2.6366398431589841</v>
      </c>
      <c r="M70" s="687">
        <v>3.8306365066789492</v>
      </c>
      <c r="N70" s="155"/>
    </row>
    <row r="72" spans="2:15">
      <c r="B72" s="826" t="s">
        <v>318</v>
      </c>
      <c r="C72" s="827"/>
      <c r="D72" s="827"/>
      <c r="E72" s="827"/>
      <c r="F72" s="827"/>
      <c r="G72" s="827"/>
      <c r="H72" s="827"/>
      <c r="I72" s="827"/>
      <c r="J72" s="827"/>
      <c r="K72" s="827"/>
      <c r="L72" s="827"/>
      <c r="M72" s="827"/>
      <c r="N72" s="827"/>
      <c r="O72" s="155"/>
    </row>
    <row r="73" spans="2:15" s="31" customFormat="1">
      <c r="B73" s="828"/>
      <c r="C73" s="65"/>
      <c r="D73" s="65"/>
      <c r="E73" s="65"/>
      <c r="F73" s="65"/>
      <c r="G73" s="65"/>
      <c r="H73" s="65"/>
      <c r="I73" s="65"/>
      <c r="J73" s="65"/>
      <c r="K73" s="65"/>
      <c r="L73" s="65"/>
      <c r="M73" s="65"/>
      <c r="N73" s="65"/>
      <c r="O73" s="65"/>
    </row>
    <row r="74" spans="2:15">
      <c r="B74" s="368" t="s">
        <v>477</v>
      </c>
      <c r="C74" s="367"/>
      <c r="D74" s="367"/>
      <c r="E74" s="367"/>
      <c r="F74" s="367"/>
      <c r="G74" s="367"/>
      <c r="H74" s="367"/>
      <c r="I74" s="367"/>
      <c r="J74" s="367"/>
      <c r="K74" s="367"/>
      <c r="L74" s="367"/>
      <c r="M74" s="367"/>
      <c r="N74" s="367"/>
      <c r="O74" s="155"/>
    </row>
    <row r="75" spans="2:15">
      <c r="B75" s="368" t="s">
        <v>347</v>
      </c>
      <c r="C75" s="367"/>
      <c r="D75" s="367"/>
      <c r="E75" s="367"/>
      <c r="F75" s="367"/>
      <c r="G75" s="367"/>
      <c r="H75" s="367"/>
      <c r="I75" s="367"/>
      <c r="J75" s="367"/>
      <c r="K75" s="367"/>
      <c r="L75" s="367"/>
      <c r="M75" s="367"/>
      <c r="N75" s="367"/>
      <c r="O75" s="155"/>
    </row>
    <row r="76" spans="2:15">
      <c r="B76" s="368" t="s">
        <v>348</v>
      </c>
      <c r="C76" s="367"/>
      <c r="D76" s="367"/>
      <c r="E76" s="367"/>
      <c r="F76" s="367"/>
      <c r="G76" s="367"/>
      <c r="H76" s="367"/>
      <c r="I76" s="367"/>
      <c r="J76" s="367"/>
      <c r="K76" s="367"/>
      <c r="L76" s="367"/>
      <c r="M76" s="367"/>
      <c r="N76" s="367"/>
      <c r="O76" s="155"/>
    </row>
    <row r="77" spans="2:15">
      <c r="B77" s="368" t="s">
        <v>529</v>
      </c>
      <c r="C77" s="367"/>
      <c r="D77" s="367"/>
      <c r="E77" s="367"/>
      <c r="F77" s="367"/>
      <c r="G77" s="367"/>
      <c r="H77" s="367"/>
      <c r="I77" s="367"/>
      <c r="J77" s="367"/>
      <c r="K77" s="367"/>
      <c r="L77" s="367"/>
      <c r="M77" s="367"/>
      <c r="N77" s="367"/>
      <c r="O77" s="155"/>
    </row>
    <row r="78" spans="2:15" s="31" customFormat="1">
      <c r="B78" s="372"/>
      <c r="C78" s="372"/>
      <c r="D78" s="372"/>
      <c r="E78" s="372"/>
      <c r="F78" s="372"/>
      <c r="G78" s="372"/>
      <c r="H78" s="372"/>
      <c r="I78" s="372"/>
      <c r="J78" s="372"/>
      <c r="K78" s="372"/>
      <c r="L78" s="372"/>
      <c r="M78" s="372"/>
      <c r="N78" s="372"/>
      <c r="O78" s="65"/>
    </row>
    <row r="79" spans="2:15">
      <c r="B79" s="371" t="s">
        <v>233</v>
      </c>
      <c r="C79" s="155" t="s">
        <v>159</v>
      </c>
      <c r="D79" s="597">
        <v>20.094824973280261</v>
      </c>
      <c r="E79" s="597">
        <v>19.688088710494199</v>
      </c>
      <c r="F79" s="597">
        <v>19.175523712538141</v>
      </c>
      <c r="G79" s="597">
        <v>17.104043365793611</v>
      </c>
      <c r="H79" s="597">
        <v>14.632707316712759</v>
      </c>
      <c r="I79" s="597">
        <v>10.435681767249472</v>
      </c>
      <c r="J79" s="899">
        <v>7.5404905112449256</v>
      </c>
      <c r="K79" s="902"/>
      <c r="L79" s="900"/>
      <c r="M79" s="900"/>
      <c r="O79" s="65"/>
    </row>
    <row r="80" spans="2:15">
      <c r="B80" s="371" t="s">
        <v>317</v>
      </c>
      <c r="C80" s="155" t="s">
        <v>159</v>
      </c>
      <c r="D80" s="688">
        <v>20.094824973280261</v>
      </c>
      <c r="E80" s="689">
        <v>19.688088710494203</v>
      </c>
      <c r="F80" s="689">
        <v>19.141422583992846</v>
      </c>
      <c r="G80" s="689">
        <v>17.056083807980936</v>
      </c>
      <c r="H80" s="689">
        <v>14.612705025625598</v>
      </c>
      <c r="I80" s="689">
        <v>10.423013451151535</v>
      </c>
      <c r="J80" s="689">
        <v>7.5396394771227522</v>
      </c>
      <c r="K80" s="901">
        <v>4.5540988791053145</v>
      </c>
      <c r="L80" s="903">
        <v>101.01613855252539</v>
      </c>
      <c r="M80" s="903">
        <v>113.10987690875345</v>
      </c>
      <c r="O80" s="65"/>
    </row>
    <row r="81" spans="2:15" s="31" customFormat="1">
      <c r="B81" s="831"/>
      <c r="C81" s="65"/>
      <c r="D81" s="832"/>
      <c r="E81" s="832"/>
      <c r="F81" s="832"/>
      <c r="G81" s="832"/>
      <c r="H81" s="832"/>
      <c r="I81" s="832"/>
      <c r="J81" s="832"/>
      <c r="K81" s="832"/>
      <c r="L81" s="829"/>
      <c r="M81" s="829"/>
      <c r="O81" s="65"/>
    </row>
    <row r="82" spans="2:15" s="31" customFormat="1">
      <c r="B82" s="831"/>
      <c r="C82" s="65"/>
      <c r="D82" s="832"/>
      <c r="E82" s="833"/>
      <c r="F82" s="833"/>
      <c r="G82" s="833"/>
      <c r="H82" s="833"/>
      <c r="I82" s="833"/>
      <c r="J82" s="833"/>
      <c r="K82" s="833"/>
      <c r="L82" s="829"/>
      <c r="M82" s="829"/>
      <c r="O82" s="65"/>
    </row>
    <row r="83" spans="2:15">
      <c r="B83" s="835" t="s">
        <v>431</v>
      </c>
      <c r="C83" s="827"/>
      <c r="D83" s="827"/>
      <c r="E83" s="827"/>
      <c r="F83" s="827"/>
      <c r="G83" s="827"/>
      <c r="H83" s="827"/>
      <c r="I83" s="827"/>
      <c r="J83" s="827"/>
      <c r="K83" s="827"/>
      <c r="L83" s="827"/>
      <c r="M83" s="827"/>
      <c r="N83" s="827"/>
    </row>
    <row r="84" spans="2:15">
      <c r="B84" s="371"/>
      <c r="C84" s="155"/>
      <c r="D84" s="155"/>
      <c r="E84" s="155"/>
      <c r="F84" s="155"/>
      <c r="G84" s="155"/>
      <c r="H84" s="155"/>
      <c r="I84" s="155"/>
      <c r="J84" s="155"/>
      <c r="K84" s="155"/>
      <c r="L84" s="155"/>
      <c r="M84" s="155"/>
      <c r="N84" s="155"/>
    </row>
    <row r="85" spans="2:15">
      <c r="B85" s="854" t="s">
        <v>485</v>
      </c>
      <c r="C85" s="155"/>
      <c r="D85" s="155"/>
      <c r="E85" s="155"/>
      <c r="F85" s="155"/>
      <c r="G85" s="155"/>
      <c r="H85" s="155"/>
      <c r="I85" s="155"/>
      <c r="J85" s="155"/>
      <c r="K85" s="155"/>
      <c r="L85" s="155"/>
      <c r="M85" s="155"/>
      <c r="N85" s="155"/>
    </row>
    <row r="86" spans="2:15">
      <c r="B86" s="213" t="s">
        <v>486</v>
      </c>
      <c r="C86" s="155" t="s">
        <v>159</v>
      </c>
      <c r="D86" s="145">
        <v>-2.328498693739415</v>
      </c>
      <c r="E86" s="145">
        <v>1.0291304430124621</v>
      </c>
      <c r="F86" s="145">
        <v>10.632828197514831</v>
      </c>
      <c r="G86" s="145">
        <v>7.4024321701911502</v>
      </c>
      <c r="H86" s="145">
        <v>0.29271796107470283</v>
      </c>
      <c r="I86" s="145">
        <v>-12.194940603260623</v>
      </c>
      <c r="J86" s="145">
        <v>-7.08959318148377</v>
      </c>
      <c r="K86" s="145">
        <v>-6.0780708308194313</v>
      </c>
      <c r="L86" s="690">
        <v>4.8336694747931084</v>
      </c>
      <c r="M86" s="691">
        <v>-8.3339945375100939</v>
      </c>
    </row>
    <row r="87" spans="2:15">
      <c r="B87" s="213"/>
    </row>
    <row r="88" spans="2:15">
      <c r="B88" s="213" t="s">
        <v>487</v>
      </c>
      <c r="C88" s="155" t="s">
        <v>159</v>
      </c>
      <c r="D88" s="145">
        <v>-5.7394963198853199</v>
      </c>
      <c r="E88" s="145">
        <v>-0.79410348295580202</v>
      </c>
      <c r="F88" s="145">
        <v>9.8084584036137681</v>
      </c>
      <c r="G88" s="145">
        <v>6.5174810612033509</v>
      </c>
      <c r="H88" s="145">
        <v>-0.72186569341957196</v>
      </c>
      <c r="I88" s="145">
        <v>-13.671710906124881</v>
      </c>
      <c r="J88" s="145">
        <v>-9.7753622311860529</v>
      </c>
      <c r="K88" s="145">
        <v>-8.9488924349752725</v>
      </c>
      <c r="L88" s="690">
        <v>-4.601236937568455</v>
      </c>
      <c r="M88" s="691">
        <v>-23.32549160372978</v>
      </c>
    </row>
    <row r="89" spans="2:15">
      <c r="B89" s="213"/>
    </row>
    <row r="90" spans="2:15">
      <c r="B90" s="213" t="s">
        <v>488</v>
      </c>
      <c r="C90" s="155" t="s">
        <v>159</v>
      </c>
      <c r="D90" s="145">
        <v>3.410997626145905</v>
      </c>
      <c r="E90" s="145">
        <v>1.8232339259682642</v>
      </c>
      <c r="F90" s="145">
        <v>0.82436979390106302</v>
      </c>
      <c r="G90" s="145">
        <v>0.88495110898779927</v>
      </c>
      <c r="H90" s="145">
        <v>1.0145836544942748</v>
      </c>
      <c r="I90" s="145">
        <v>1.4767703028642583</v>
      </c>
      <c r="J90" s="145">
        <v>2.6857690497022828</v>
      </c>
      <c r="K90" s="145">
        <v>2.8708216041558412</v>
      </c>
      <c r="L90" s="690">
        <v>9.4349064123615634</v>
      </c>
      <c r="M90" s="691">
        <v>14.991497066219688</v>
      </c>
    </row>
    <row r="91" spans="2:15">
      <c r="B91" s="200"/>
    </row>
  </sheetData>
  <conditionalFormatting sqref="D6:K6">
    <cfRule type="expression" dxfId="53" priority="24">
      <formula>AND(D$5="Actuals",E$5="Forecast")</formula>
    </cfRule>
  </conditionalFormatting>
  <conditionalFormatting sqref="D5:K5">
    <cfRule type="expression" dxfId="52" priority="17">
      <formula>AND(D$5="Actuals",E$5="Forecast")</formula>
    </cfRule>
  </conditionalFormatting>
  <conditionalFormatting sqref="D29:G29 I29:K29">
    <cfRule type="expression" dxfId="51" priority="15">
      <formula>D$5="Forecast"</formula>
    </cfRule>
    <cfRule type="expression" dxfId="50" priority="16">
      <formula>D$5="Actuals"</formula>
    </cfRule>
  </conditionalFormatting>
  <conditionalFormatting sqref="D47:G47">
    <cfRule type="expression" dxfId="49" priority="9">
      <formula>D$5="Forecast"</formula>
    </cfRule>
    <cfRule type="expression" dxfId="48" priority="10">
      <formula>D$5="Actuals"</formula>
    </cfRule>
  </conditionalFormatting>
  <conditionalFormatting sqref="I47">
    <cfRule type="expression" dxfId="47" priority="7">
      <formula>I$5="Forecast"</formula>
    </cfRule>
    <cfRule type="expression" dxfId="46" priority="8">
      <formula>I$5="Actuals"</formula>
    </cfRule>
  </conditionalFormatting>
  <conditionalFormatting sqref="H47">
    <cfRule type="expression" dxfId="45" priority="5">
      <formula>H$5="Forecast"</formula>
    </cfRule>
    <cfRule type="expression" dxfId="44" priority="6">
      <formula>H$5="Actuals"</formula>
    </cfRule>
  </conditionalFormatting>
  <conditionalFormatting sqref="H29">
    <cfRule type="expression" dxfId="43" priority="3">
      <formula>H$5="Forecast"</formula>
    </cfRule>
    <cfRule type="expression" dxfId="42" priority="4">
      <formula>H$5="Actuals"</formula>
    </cfRule>
  </conditionalFormatting>
  <conditionalFormatting sqref="J47:K47">
    <cfRule type="expression" dxfId="41" priority="1">
      <formula>J$5="Forecast"</formula>
    </cfRule>
    <cfRule type="expression" dxfId="40" priority="2">
      <formula>J$5="Actuals"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4" id="{4F9EFF1D-0920-4D6C-8AB9-85AB6A059E37}">
            <xm:f>D6&gt;=('RFPR cover'!$C$7+2)</xm:f>
            <x14:dxf>
              <fill>
                <patternFill patternType="darkUp">
                  <fgColor rgb="FFC0C0C0"/>
                </patternFill>
              </fill>
            </x14:dxf>
          </x14:cfRule>
          <xm:sqref>D79:K79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5.7265625" bestFit="1" customWidth="1"/>
    <col min="3" max="3" width="14.08984375" customWidth="1"/>
    <col min="4" max="11" width="11.08984375" customWidth="1"/>
    <col min="12" max="12" width="5" customWidth="1"/>
    <col min="13" max="13" width="12.90625" customWidth="1"/>
  </cols>
  <sheetData>
    <row r="1" spans="1:12" s="31" customFormat="1" ht="21">
      <c r="A1" s="909" t="s">
        <v>237</v>
      </c>
      <c r="B1" s="919"/>
      <c r="C1" s="256"/>
      <c r="D1" s="256"/>
      <c r="E1" s="256"/>
      <c r="F1" s="256"/>
      <c r="G1" s="256"/>
      <c r="H1" s="256"/>
      <c r="I1" s="257"/>
      <c r="J1" s="257"/>
      <c r="K1" s="258"/>
      <c r="L1" s="363"/>
    </row>
    <row r="2" spans="1:12" s="31" customFormat="1" ht="21">
      <c r="A2" s="912" t="s">
        <v>249</v>
      </c>
      <c r="B2" s="904"/>
      <c r="C2" s="29"/>
      <c r="D2" s="29"/>
      <c r="E2" s="29"/>
      <c r="F2" s="29"/>
      <c r="G2" s="29"/>
      <c r="H2" s="29"/>
      <c r="I2" s="27"/>
      <c r="J2" s="27"/>
      <c r="K2" s="27"/>
      <c r="L2" s="123"/>
    </row>
    <row r="3" spans="1:12" s="31" customFormat="1" ht="22.8">
      <c r="A3" s="915">
        <v>2021</v>
      </c>
      <c r="B3" s="921" t="s">
        <v>645</v>
      </c>
      <c r="C3" s="260"/>
      <c r="D3" s="260"/>
      <c r="E3" s="260"/>
      <c r="F3" s="260"/>
      <c r="G3" s="260"/>
      <c r="H3" s="260"/>
      <c r="I3" s="255"/>
      <c r="J3" s="255"/>
      <c r="K3" s="255"/>
      <c r="L3" s="261"/>
    </row>
    <row r="4" spans="1:12" s="31" customFormat="1" ht="12.75" customHeight="1">
      <c r="A4" s="39"/>
      <c r="B4" s="39"/>
      <c r="C4" s="39"/>
      <c r="D4" s="39"/>
      <c r="E4" s="39"/>
      <c r="F4" s="39"/>
      <c r="G4" s="39"/>
      <c r="H4" s="39"/>
      <c r="I4" s="34"/>
      <c r="J4" s="34"/>
      <c r="K4" s="34"/>
      <c r="L4" s="33"/>
    </row>
    <row r="5" spans="1:12" s="2" customFormat="1">
      <c r="B5" s="3"/>
      <c r="C5" s="3"/>
      <c r="D5" s="389" t="s">
        <v>646</v>
      </c>
      <c r="E5" s="390" t="s">
        <v>646</v>
      </c>
      <c r="F5" s="390" t="s">
        <v>646</v>
      </c>
      <c r="G5" s="390" t="s">
        <v>646</v>
      </c>
      <c r="H5" s="390" t="s">
        <v>646</v>
      </c>
      <c r="I5" s="390" t="s">
        <v>646</v>
      </c>
      <c r="J5" s="390" t="s">
        <v>647</v>
      </c>
      <c r="K5" s="391" t="s">
        <v>647</v>
      </c>
    </row>
    <row r="6" spans="1:12" s="2" customFormat="1">
      <c r="D6" s="117">
        <v>2016</v>
      </c>
      <c r="E6" s="118">
        <v>2017</v>
      </c>
      <c r="F6" s="118">
        <v>2018</v>
      </c>
      <c r="G6" s="118">
        <v>2019</v>
      </c>
      <c r="H6" s="118">
        <v>2020</v>
      </c>
      <c r="I6" s="118">
        <v>2021</v>
      </c>
      <c r="J6" s="118">
        <v>2022</v>
      </c>
      <c r="K6" s="195">
        <v>2023</v>
      </c>
    </row>
    <row r="7" spans="1:12" s="2" customFormat="1"/>
    <row r="8" spans="1:12" s="2" customFormat="1">
      <c r="B8" s="213" t="s">
        <v>519</v>
      </c>
      <c r="C8" s="152" t="s">
        <v>128</v>
      </c>
      <c r="D8" s="883">
        <v>-97.081814760000015</v>
      </c>
      <c r="E8" s="698">
        <v>26.400000000000006</v>
      </c>
      <c r="F8" s="698">
        <v>83.76226441</v>
      </c>
      <c r="G8" s="698">
        <v>-68.352625219999993</v>
      </c>
      <c r="H8" s="698">
        <v>-42.773303950000006</v>
      </c>
      <c r="I8" s="698">
        <v>71.574834980000006</v>
      </c>
      <c r="J8" s="698">
        <v>71.026446039999996</v>
      </c>
      <c r="K8" s="698">
        <v>-39.056062361150452</v>
      </c>
    </row>
    <row r="9" spans="1:12" s="2" customFormat="1">
      <c r="B9" s="213"/>
    </row>
    <row r="10" spans="1:12">
      <c r="B10" s="213" t="s">
        <v>520</v>
      </c>
      <c r="C10" s="152" t="s">
        <v>128</v>
      </c>
      <c r="D10" s="692">
        <v>26.400000000000006</v>
      </c>
      <c r="E10" s="693">
        <v>83.76226441</v>
      </c>
      <c r="F10" s="693">
        <v>-68.352625219999993</v>
      </c>
      <c r="G10" s="693">
        <v>-42.773303950000006</v>
      </c>
      <c r="H10" s="693">
        <v>71.574834980000006</v>
      </c>
      <c r="I10" s="693">
        <v>71.026446039999996</v>
      </c>
      <c r="J10" s="693">
        <v>-39.056062361150452</v>
      </c>
      <c r="K10" s="694">
        <v>48.485206701104417</v>
      </c>
    </row>
    <row r="11" spans="1:12">
      <c r="B11" s="213" t="s">
        <v>368</v>
      </c>
      <c r="C11" s="152" t="s">
        <v>128</v>
      </c>
      <c r="D11" s="695">
        <v>736.14550000000008</v>
      </c>
      <c r="E11" s="696">
        <v>743.96578993999992</v>
      </c>
      <c r="F11" s="696">
        <v>1002.45224367</v>
      </c>
      <c r="G11" s="696">
        <v>1010.93329001</v>
      </c>
      <c r="H11" s="696">
        <v>1020.08743913</v>
      </c>
      <c r="I11" s="696">
        <v>1025.19383825</v>
      </c>
      <c r="J11" s="696">
        <v>1036.0728391760401</v>
      </c>
      <c r="K11" s="697">
        <v>1046.92865200708</v>
      </c>
    </row>
    <row r="12" spans="1:12">
      <c r="B12" s="213" t="s">
        <v>369</v>
      </c>
      <c r="C12" s="152" t="s">
        <v>128</v>
      </c>
      <c r="D12" s="695">
        <v>38.825000000000003</v>
      </c>
      <c r="E12" s="696">
        <v>8.8840000000000003</v>
      </c>
      <c r="F12" s="696">
        <v>0</v>
      </c>
      <c r="G12" s="696">
        <v>0</v>
      </c>
      <c r="H12" s="696">
        <v>0</v>
      </c>
      <c r="I12" s="696">
        <v>0</v>
      </c>
      <c r="J12" s="696">
        <v>0</v>
      </c>
      <c r="K12" s="697">
        <v>0</v>
      </c>
    </row>
    <row r="13" spans="1:12">
      <c r="B13" s="213" t="s">
        <v>370</v>
      </c>
      <c r="C13" s="152" t="s">
        <v>128</v>
      </c>
      <c r="D13" s="695">
        <v>-1.0044278900000001</v>
      </c>
      <c r="E13" s="696">
        <v>-1.1981082599999999</v>
      </c>
      <c r="F13" s="696">
        <v>-1.1077999999999999</v>
      </c>
      <c r="G13" s="696">
        <v>-0.88293804000000009</v>
      </c>
      <c r="H13" s="696">
        <v>-0.92665839000000005</v>
      </c>
      <c r="I13" s="696">
        <v>-0.83502118999999997</v>
      </c>
      <c r="J13" s="696">
        <v>-0.83502118999999997</v>
      </c>
      <c r="K13" s="697">
        <v>-0.83502118999999997</v>
      </c>
    </row>
    <row r="14" spans="1:12">
      <c r="B14" s="213" t="s">
        <v>371</v>
      </c>
      <c r="C14" s="152" t="s">
        <v>128</v>
      </c>
      <c r="D14" s="695">
        <v>43.246400000000008</v>
      </c>
      <c r="E14" s="696">
        <v>64.864019339999999</v>
      </c>
      <c r="F14" s="696">
        <v>64.984835840000002</v>
      </c>
      <c r="G14" s="696">
        <v>66.922432849999993</v>
      </c>
      <c r="H14" s="696">
        <v>12.893199999999998</v>
      </c>
      <c r="I14" s="696">
        <v>44.976564459999999</v>
      </c>
      <c r="J14" s="696">
        <v>44.9670445</v>
      </c>
      <c r="K14" s="697">
        <v>44.9670445</v>
      </c>
    </row>
    <row r="15" spans="1:12">
      <c r="B15" s="213" t="s">
        <v>293</v>
      </c>
      <c r="C15" s="152" t="s">
        <v>128</v>
      </c>
      <c r="D15" s="695">
        <v>0</v>
      </c>
      <c r="E15" s="696">
        <v>0</v>
      </c>
      <c r="F15" s="696">
        <v>0</v>
      </c>
      <c r="G15" s="696">
        <v>0</v>
      </c>
      <c r="H15" s="696">
        <v>0</v>
      </c>
      <c r="I15" s="696">
        <v>0</v>
      </c>
      <c r="J15" s="696">
        <v>0</v>
      </c>
      <c r="K15" s="697">
        <v>0</v>
      </c>
    </row>
    <row r="16" spans="1:12">
      <c r="B16" s="213" t="s">
        <v>294</v>
      </c>
      <c r="C16" s="152" t="s">
        <v>128</v>
      </c>
      <c r="D16" s="695">
        <v>0</v>
      </c>
      <c r="E16" s="696">
        <v>0</v>
      </c>
      <c r="F16" s="696">
        <v>0</v>
      </c>
      <c r="G16" s="696">
        <v>0</v>
      </c>
      <c r="H16" s="696">
        <v>0</v>
      </c>
      <c r="I16" s="696">
        <v>0</v>
      </c>
      <c r="J16" s="696">
        <v>0</v>
      </c>
      <c r="K16" s="697">
        <v>0</v>
      </c>
    </row>
    <row r="17" spans="2:13">
      <c r="B17" s="213" t="s">
        <v>298</v>
      </c>
      <c r="C17" s="152" t="s">
        <v>128</v>
      </c>
      <c r="D17" s="695">
        <v>0</v>
      </c>
      <c r="E17" s="696">
        <v>0</v>
      </c>
      <c r="F17" s="696">
        <v>0</v>
      </c>
      <c r="G17" s="696">
        <v>0</v>
      </c>
      <c r="H17" s="696">
        <v>0</v>
      </c>
      <c r="I17" s="696">
        <v>0</v>
      </c>
      <c r="J17" s="696">
        <v>0</v>
      </c>
      <c r="K17" s="697">
        <v>0</v>
      </c>
    </row>
    <row r="18" spans="2:13">
      <c r="B18" s="213" t="s">
        <v>299</v>
      </c>
      <c r="C18" s="152" t="s">
        <v>128</v>
      </c>
      <c r="D18" s="695">
        <v>0</v>
      </c>
      <c r="E18" s="696">
        <v>0</v>
      </c>
      <c r="F18" s="696">
        <v>0</v>
      </c>
      <c r="G18" s="696">
        <v>0</v>
      </c>
      <c r="H18" s="696">
        <v>0</v>
      </c>
      <c r="I18" s="696">
        <v>0</v>
      </c>
      <c r="J18" s="696">
        <v>0</v>
      </c>
      <c r="K18" s="697">
        <v>0</v>
      </c>
    </row>
    <row r="19" spans="2:13">
      <c r="B19" s="213" t="s">
        <v>300</v>
      </c>
      <c r="C19" s="152" t="s">
        <v>128</v>
      </c>
      <c r="D19" s="695">
        <v>0</v>
      </c>
      <c r="E19" s="696">
        <v>0</v>
      </c>
      <c r="F19" s="696">
        <v>0</v>
      </c>
      <c r="G19" s="696">
        <v>0</v>
      </c>
      <c r="H19" s="696">
        <v>0</v>
      </c>
      <c r="I19" s="696">
        <v>0</v>
      </c>
      <c r="J19" s="696">
        <v>0</v>
      </c>
      <c r="K19" s="697">
        <v>0</v>
      </c>
    </row>
    <row r="20" spans="2:13">
      <c r="B20" s="213" t="s">
        <v>301</v>
      </c>
      <c r="C20" s="152" t="s">
        <v>128</v>
      </c>
      <c r="D20" s="695">
        <v>0</v>
      </c>
      <c r="E20" s="696">
        <v>0</v>
      </c>
      <c r="F20" s="696">
        <v>0</v>
      </c>
      <c r="G20" s="696">
        <v>0</v>
      </c>
      <c r="H20" s="696">
        <v>0</v>
      </c>
      <c r="I20" s="696">
        <v>0</v>
      </c>
      <c r="J20" s="696">
        <v>0</v>
      </c>
      <c r="K20" s="697">
        <v>0</v>
      </c>
    </row>
    <row r="21" spans="2:13">
      <c r="B21" s="213" t="s">
        <v>302</v>
      </c>
      <c r="C21" s="152" t="s">
        <v>128</v>
      </c>
      <c r="D21" s="695">
        <v>0</v>
      </c>
      <c r="E21" s="696">
        <v>0</v>
      </c>
      <c r="F21" s="696">
        <v>0</v>
      </c>
      <c r="G21" s="696">
        <v>0</v>
      </c>
      <c r="H21" s="696">
        <v>0</v>
      </c>
      <c r="I21" s="696">
        <v>0</v>
      </c>
      <c r="J21" s="696">
        <v>0</v>
      </c>
      <c r="K21" s="697">
        <v>0</v>
      </c>
    </row>
    <row r="22" spans="2:13">
      <c r="B22" s="213" t="s">
        <v>303</v>
      </c>
      <c r="C22" s="152" t="s">
        <v>128</v>
      </c>
      <c r="D22" s="695">
        <v>0</v>
      </c>
      <c r="E22" s="696">
        <v>0</v>
      </c>
      <c r="F22" s="696">
        <v>0</v>
      </c>
      <c r="G22" s="696">
        <v>0</v>
      </c>
      <c r="H22" s="696">
        <v>0</v>
      </c>
      <c r="I22" s="696">
        <v>0</v>
      </c>
      <c r="J22" s="696">
        <v>0</v>
      </c>
      <c r="K22" s="697">
        <v>0</v>
      </c>
    </row>
    <row r="23" spans="2:13">
      <c r="B23" s="14" t="s">
        <v>319</v>
      </c>
      <c r="C23" s="235" t="s">
        <v>128</v>
      </c>
      <c r="D23" s="698">
        <v>843.61247211000011</v>
      </c>
      <c r="E23" s="698">
        <v>900.27796542999988</v>
      </c>
      <c r="F23" s="698">
        <v>997.97665428999994</v>
      </c>
      <c r="G23" s="698">
        <v>1034.1994808699999</v>
      </c>
      <c r="H23" s="698">
        <v>1103.6288157199999</v>
      </c>
      <c r="I23" s="698">
        <v>1140.3618275600002</v>
      </c>
      <c r="J23" s="698">
        <v>1041.1488001248897</v>
      </c>
      <c r="K23" s="699">
        <v>1139.5458820181846</v>
      </c>
      <c r="L23" s="2"/>
      <c r="M23" s="323"/>
    </row>
    <row r="24" spans="2:13">
      <c r="B24" s="14"/>
      <c r="C24" s="152"/>
      <c r="D24" s="239"/>
      <c r="E24" s="239"/>
      <c r="F24" s="239"/>
      <c r="G24" s="239"/>
      <c r="H24" s="239"/>
      <c r="I24" s="239"/>
      <c r="J24" s="239"/>
      <c r="K24" s="239"/>
      <c r="L24" s="2"/>
      <c r="M24" s="2"/>
    </row>
    <row r="25" spans="2:13">
      <c r="B25" s="14" t="s">
        <v>123</v>
      </c>
      <c r="C25" s="16"/>
      <c r="D25" s="240"/>
      <c r="E25" s="240"/>
      <c r="F25" s="240"/>
      <c r="G25" s="240"/>
      <c r="H25" s="240"/>
      <c r="I25" s="240"/>
      <c r="J25" s="240"/>
      <c r="K25" s="240"/>
      <c r="L25" s="2"/>
      <c r="M25" s="2"/>
    </row>
    <row r="26" spans="2:13">
      <c r="B26" s="369" t="s">
        <v>531</v>
      </c>
      <c r="C26" s="152" t="s">
        <v>128</v>
      </c>
      <c r="D26" s="347">
        <v>2.4692543600000003</v>
      </c>
      <c r="E26" s="347">
        <v>2.3290950399999999</v>
      </c>
      <c r="F26" s="347">
        <v>3.5756000000000001</v>
      </c>
      <c r="G26" s="347">
        <v>3.3085693899999997</v>
      </c>
      <c r="H26" s="347">
        <v>3.0444861099999998</v>
      </c>
      <c r="I26" s="347">
        <v>2.7804028299999999</v>
      </c>
      <c r="J26" s="347">
        <v>2.5155952886522632</v>
      </c>
      <c r="K26" s="347">
        <v>2.2507877073045268</v>
      </c>
      <c r="L26" s="2"/>
      <c r="M26" s="2"/>
    </row>
    <row r="27" spans="2:13">
      <c r="B27" s="369" t="s">
        <v>8</v>
      </c>
      <c r="C27" s="152" t="s">
        <v>128</v>
      </c>
      <c r="D27" s="347">
        <v>0</v>
      </c>
      <c r="E27" s="379">
        <v>0</v>
      </c>
      <c r="F27" s="379">
        <v>0</v>
      </c>
      <c r="G27" s="379">
        <v>0</v>
      </c>
      <c r="H27" s="379">
        <v>0</v>
      </c>
      <c r="I27" s="379">
        <v>0</v>
      </c>
      <c r="J27" s="379">
        <v>0</v>
      </c>
      <c r="K27" s="383">
        <v>0</v>
      </c>
      <c r="L27" s="35"/>
      <c r="M27" s="35"/>
    </row>
    <row r="28" spans="2:13">
      <c r="B28" s="369" t="s">
        <v>9</v>
      </c>
      <c r="C28" s="152" t="s">
        <v>128</v>
      </c>
      <c r="D28" s="347">
        <v>0</v>
      </c>
      <c r="E28" s="379">
        <v>0</v>
      </c>
      <c r="F28" s="379">
        <v>0</v>
      </c>
      <c r="G28" s="379">
        <v>0</v>
      </c>
      <c r="H28" s="379">
        <v>0</v>
      </c>
      <c r="I28" s="379">
        <v>0</v>
      </c>
      <c r="J28" s="379">
        <v>0</v>
      </c>
      <c r="K28" s="383">
        <v>0</v>
      </c>
      <c r="L28" s="35"/>
      <c r="M28" s="35"/>
    </row>
    <row r="29" spans="2:13">
      <c r="B29" s="369" t="s">
        <v>10</v>
      </c>
      <c r="C29" s="152" t="s">
        <v>128</v>
      </c>
      <c r="D29" s="347">
        <v>1.0044278900000001</v>
      </c>
      <c r="E29" s="379">
        <v>1.1981082599999999</v>
      </c>
      <c r="F29" s="379">
        <v>1.1077999999999999</v>
      </c>
      <c r="G29" s="379">
        <v>0.88293801999999999</v>
      </c>
      <c r="H29" s="379">
        <v>0.92665839000000005</v>
      </c>
      <c r="I29" s="379">
        <v>0.83502118999999997</v>
      </c>
      <c r="J29" s="379">
        <v>0.83502118999999997</v>
      </c>
      <c r="K29" s="383">
        <v>0.83502118999999997</v>
      </c>
      <c r="L29" s="35"/>
      <c r="M29" s="35"/>
    </row>
    <row r="30" spans="2:13">
      <c r="B30" s="369" t="s">
        <v>621</v>
      </c>
      <c r="C30" s="152" t="s">
        <v>128</v>
      </c>
      <c r="D30" s="347">
        <v>2.4309200799999999</v>
      </c>
      <c r="E30" s="379">
        <v>2.2854102399999996</v>
      </c>
      <c r="F30" s="379">
        <v>4.3586999999999998</v>
      </c>
      <c r="G30" s="379">
        <v>4.0143425600000002</v>
      </c>
      <c r="H30" s="379">
        <v>3.6697767200000002</v>
      </c>
      <c r="I30" s="379">
        <v>3.3252108799999998</v>
      </c>
      <c r="J30" s="379">
        <v>2.9800310353077655</v>
      </c>
      <c r="K30" s="383">
        <v>2.9800310353077655</v>
      </c>
    </row>
    <row r="31" spans="2:13">
      <c r="B31" s="369" t="s">
        <v>622</v>
      </c>
      <c r="C31" s="152" t="s">
        <v>128</v>
      </c>
      <c r="D31" s="347">
        <v>-43.246400000000008</v>
      </c>
      <c r="E31" s="379">
        <v>-64.864019339999999</v>
      </c>
      <c r="F31" s="379">
        <v>-64.984800000000007</v>
      </c>
      <c r="G31" s="379">
        <v>-66.922182850000013</v>
      </c>
      <c r="H31" s="379">
        <v>-12.893049220000002</v>
      </c>
      <c r="I31" s="379">
        <v>-44.976564459999999</v>
      </c>
      <c r="J31" s="379">
        <v>-44.9670445</v>
      </c>
      <c r="K31" s="383">
        <v>-44.9670445</v>
      </c>
    </row>
    <row r="32" spans="2:13" ht="12.75" customHeight="1">
      <c r="B32" s="369" t="s">
        <v>623</v>
      </c>
      <c r="C32" s="152" t="s">
        <v>128</v>
      </c>
      <c r="D32" s="347">
        <v>11.566366140000001</v>
      </c>
      <c r="E32" s="379">
        <v>8.8373250399999996</v>
      </c>
      <c r="F32" s="379">
        <v>4.4404000000000003</v>
      </c>
      <c r="G32" s="379">
        <v>2.5139474900000001</v>
      </c>
      <c r="H32" s="379">
        <v>2.060559</v>
      </c>
      <c r="I32" s="379">
        <v>0</v>
      </c>
      <c r="J32" s="379">
        <v>0</v>
      </c>
      <c r="K32" s="383">
        <v>0</v>
      </c>
    </row>
    <row r="33" spans="2:12">
      <c r="B33" s="369" t="s">
        <v>624</v>
      </c>
      <c r="C33" s="152" t="s">
        <v>128</v>
      </c>
      <c r="D33" s="347">
        <v>0</v>
      </c>
      <c r="E33" s="379">
        <v>0</v>
      </c>
      <c r="F33" s="379">
        <v>0</v>
      </c>
      <c r="G33" s="379">
        <v>0</v>
      </c>
      <c r="H33" s="379">
        <v>0</v>
      </c>
      <c r="I33" s="379">
        <v>0</v>
      </c>
      <c r="J33" s="379">
        <v>0</v>
      </c>
      <c r="K33" s="383">
        <v>0</v>
      </c>
    </row>
    <row r="34" spans="2:12">
      <c r="B34" s="369" t="s">
        <v>356</v>
      </c>
      <c r="C34" s="152" t="s">
        <v>128</v>
      </c>
      <c r="D34" s="347">
        <v>0</v>
      </c>
      <c r="E34" s="379">
        <v>0</v>
      </c>
      <c r="F34" s="379">
        <v>0</v>
      </c>
      <c r="G34" s="379">
        <v>0</v>
      </c>
      <c r="H34" s="379">
        <v>0</v>
      </c>
      <c r="I34" s="379">
        <v>0</v>
      </c>
      <c r="J34" s="379">
        <v>0</v>
      </c>
      <c r="K34" s="383">
        <v>0</v>
      </c>
    </row>
    <row r="35" spans="2:12">
      <c r="B35" s="369" t="s">
        <v>357</v>
      </c>
      <c r="C35" s="152" t="s">
        <v>128</v>
      </c>
      <c r="D35" s="347">
        <v>0</v>
      </c>
      <c r="E35" s="379">
        <v>0</v>
      </c>
      <c r="F35" s="379">
        <v>0</v>
      </c>
      <c r="G35" s="379">
        <v>0</v>
      </c>
      <c r="H35" s="379">
        <v>0</v>
      </c>
      <c r="I35" s="379">
        <v>0</v>
      </c>
      <c r="J35" s="379">
        <v>0</v>
      </c>
      <c r="K35" s="383">
        <v>0</v>
      </c>
    </row>
    <row r="36" spans="2:12">
      <c r="B36" s="369" t="s">
        <v>358</v>
      </c>
      <c r="C36" s="152" t="s">
        <v>128</v>
      </c>
      <c r="D36" s="347">
        <v>0</v>
      </c>
      <c r="E36" s="379">
        <v>0</v>
      </c>
      <c r="F36" s="379">
        <v>0</v>
      </c>
      <c r="G36" s="379">
        <v>0</v>
      </c>
      <c r="H36" s="379">
        <v>0</v>
      </c>
      <c r="I36" s="379">
        <v>0</v>
      </c>
      <c r="J36" s="379">
        <v>0</v>
      </c>
      <c r="K36" s="383">
        <v>0</v>
      </c>
    </row>
    <row r="37" spans="2:12">
      <c r="B37" s="369" t="s">
        <v>359</v>
      </c>
      <c r="C37" s="152" t="s">
        <v>128</v>
      </c>
      <c r="D37" s="347">
        <v>0</v>
      </c>
      <c r="E37" s="379">
        <v>0</v>
      </c>
      <c r="F37" s="379">
        <v>0</v>
      </c>
      <c r="G37" s="379">
        <v>0</v>
      </c>
      <c r="H37" s="379">
        <v>0</v>
      </c>
      <c r="I37" s="379">
        <v>0</v>
      </c>
      <c r="J37" s="379">
        <v>0</v>
      </c>
      <c r="K37" s="383">
        <v>0</v>
      </c>
    </row>
    <row r="38" spans="2:12">
      <c r="B38" s="369" t="s">
        <v>360</v>
      </c>
      <c r="C38" s="152" t="s">
        <v>128</v>
      </c>
      <c r="D38" s="347">
        <v>0</v>
      </c>
      <c r="E38" s="379">
        <v>0</v>
      </c>
      <c r="F38" s="379">
        <v>0</v>
      </c>
      <c r="G38" s="379">
        <v>0</v>
      </c>
      <c r="H38" s="379">
        <v>0</v>
      </c>
      <c r="I38" s="379">
        <v>0</v>
      </c>
      <c r="J38" s="379">
        <v>0</v>
      </c>
      <c r="K38" s="383">
        <v>0</v>
      </c>
    </row>
    <row r="39" spans="2:12">
      <c r="B39" s="369" t="s">
        <v>361</v>
      </c>
      <c r="C39" s="152" t="s">
        <v>128</v>
      </c>
      <c r="D39" s="347">
        <v>0</v>
      </c>
      <c r="E39" s="379">
        <v>0</v>
      </c>
      <c r="F39" s="379">
        <v>0</v>
      </c>
      <c r="G39" s="379">
        <v>0</v>
      </c>
      <c r="H39" s="379">
        <v>0</v>
      </c>
      <c r="I39" s="379">
        <v>0</v>
      </c>
      <c r="J39" s="379">
        <v>0</v>
      </c>
      <c r="K39" s="383">
        <v>0</v>
      </c>
    </row>
    <row r="40" spans="2:12">
      <c r="B40" s="369" t="s">
        <v>362</v>
      </c>
      <c r="C40" s="152" t="s">
        <v>128</v>
      </c>
      <c r="D40" s="347">
        <v>0</v>
      </c>
      <c r="E40" s="379">
        <v>0</v>
      </c>
      <c r="F40" s="379">
        <v>0</v>
      </c>
      <c r="G40" s="379">
        <v>0</v>
      </c>
      <c r="H40" s="379">
        <v>0</v>
      </c>
      <c r="I40" s="379">
        <v>0</v>
      </c>
      <c r="J40" s="379">
        <v>0</v>
      </c>
      <c r="K40" s="383">
        <v>0</v>
      </c>
    </row>
    <row r="41" spans="2:12">
      <c r="B41" s="369" t="s">
        <v>363</v>
      </c>
      <c r="C41" s="152" t="s">
        <v>128</v>
      </c>
      <c r="D41" s="380">
        <v>0</v>
      </c>
      <c r="E41" s="381">
        <v>0</v>
      </c>
      <c r="F41" s="381">
        <v>0</v>
      </c>
      <c r="G41" s="381">
        <v>0</v>
      </c>
      <c r="H41" s="381">
        <v>0</v>
      </c>
      <c r="I41" s="381">
        <v>0</v>
      </c>
      <c r="J41" s="381">
        <v>0</v>
      </c>
      <c r="K41" s="384">
        <v>0</v>
      </c>
    </row>
    <row r="42" spans="2:12">
      <c r="B42" s="199" t="s">
        <v>234</v>
      </c>
      <c r="C42" s="152" t="s">
        <v>128</v>
      </c>
      <c r="D42" s="706">
        <v>817.83704058000012</v>
      </c>
      <c r="E42" s="706">
        <v>850.06388466999988</v>
      </c>
      <c r="F42" s="706">
        <v>946.47435428999984</v>
      </c>
      <c r="G42" s="706">
        <v>977.99709547999976</v>
      </c>
      <c r="H42" s="706">
        <v>1100.4372467200001</v>
      </c>
      <c r="I42" s="706">
        <v>1102.3258980000001</v>
      </c>
      <c r="J42" s="706">
        <v>1002.5124031388497</v>
      </c>
      <c r="K42" s="706">
        <v>1100.6446774507967</v>
      </c>
    </row>
    <row r="43" spans="2:12">
      <c r="B43" s="370" t="s">
        <v>306</v>
      </c>
      <c r="C43" s="152" t="s">
        <v>128</v>
      </c>
      <c r="D43" s="707"/>
      <c r="E43" s="708"/>
      <c r="F43" s="708"/>
      <c r="G43" s="709"/>
      <c r="H43" s="709"/>
      <c r="I43" s="709"/>
      <c r="J43" s="709">
        <v>0</v>
      </c>
      <c r="K43" s="710">
        <v>0</v>
      </c>
    </row>
    <row r="44" spans="2:12">
      <c r="B44" s="346" t="s">
        <v>435</v>
      </c>
      <c r="C44" s="152" t="s">
        <v>128</v>
      </c>
      <c r="D44" s="95">
        <v>817.83704058000012</v>
      </c>
      <c r="E44" s="96">
        <v>850.06388466999988</v>
      </c>
      <c r="F44" s="96">
        <v>946.47435428999984</v>
      </c>
      <c r="G44" s="96">
        <v>977.99709547999976</v>
      </c>
      <c r="H44" s="96">
        <v>1100.4372467200001</v>
      </c>
      <c r="I44" s="96">
        <v>1102.3258980000001</v>
      </c>
      <c r="J44" s="96">
        <v>1002.5124031388497</v>
      </c>
      <c r="K44" s="97">
        <v>1100.6446774507967</v>
      </c>
    </row>
    <row r="45" spans="2:12">
      <c r="D45" s="226" t="s">
        <v>649</v>
      </c>
      <c r="E45" s="227" t="s">
        <v>649</v>
      </c>
      <c r="F45" s="227" t="s">
        <v>649</v>
      </c>
      <c r="G45" s="227" t="s">
        <v>649</v>
      </c>
      <c r="H45" s="227" t="s">
        <v>649</v>
      </c>
      <c r="I45" s="227" t="s">
        <v>649</v>
      </c>
      <c r="J45" s="227" t="s">
        <v>649</v>
      </c>
      <c r="K45" s="228" t="s">
        <v>649</v>
      </c>
    </row>
    <row r="47" spans="2:12">
      <c r="B47" s="822" t="s">
        <v>436</v>
      </c>
      <c r="C47" s="152" t="s">
        <v>128</v>
      </c>
      <c r="D47" s="837">
        <v>661.10660825000014</v>
      </c>
      <c r="E47" s="96">
        <v>817.83704058000012</v>
      </c>
      <c r="F47" s="96">
        <v>850.06388466999988</v>
      </c>
      <c r="G47" s="96">
        <v>946.47435428999984</v>
      </c>
      <c r="H47" s="96">
        <v>977.99709547999976</v>
      </c>
      <c r="I47" s="96">
        <v>1100.4372467200001</v>
      </c>
      <c r="J47" s="96">
        <v>1102.3258980000001</v>
      </c>
      <c r="K47" s="97">
        <v>1002.5124031388497</v>
      </c>
      <c r="L47" s="821"/>
    </row>
    <row r="48" spans="2:12">
      <c r="B48" s="822" t="s">
        <v>437</v>
      </c>
      <c r="C48" s="152" t="s">
        <v>128</v>
      </c>
      <c r="D48" s="578">
        <v>817.83704058000012</v>
      </c>
      <c r="E48" s="579">
        <v>850.06388466999988</v>
      </c>
      <c r="F48" s="579">
        <v>946.47435428999984</v>
      </c>
      <c r="G48" s="579">
        <v>977.99709547999976</v>
      </c>
      <c r="H48" s="579">
        <v>1100.4372467200001</v>
      </c>
      <c r="I48" s="579">
        <v>1102.3258980000001</v>
      </c>
      <c r="J48" s="579">
        <v>1002.5124031388497</v>
      </c>
      <c r="K48" s="836">
        <v>1100.6446774507967</v>
      </c>
      <c r="L48" s="821"/>
    </row>
    <row r="49" spans="2:13">
      <c r="D49" s="23"/>
      <c r="E49" s="23"/>
      <c r="F49" s="23"/>
      <c r="G49" s="23"/>
      <c r="H49" s="23"/>
      <c r="I49" s="23"/>
      <c r="J49" s="23"/>
      <c r="K49" s="23"/>
    </row>
    <row r="50" spans="2:13">
      <c r="B50" s="14" t="s">
        <v>124</v>
      </c>
    </row>
    <row r="51" spans="2:13">
      <c r="B51" t="s">
        <v>125</v>
      </c>
      <c r="C51" s="480" t="s">
        <v>7</v>
      </c>
      <c r="D51" s="474">
        <v>0</v>
      </c>
      <c r="E51" s="475">
        <v>0</v>
      </c>
      <c r="F51" s="475">
        <v>0</v>
      </c>
      <c r="G51" s="475">
        <v>0</v>
      </c>
      <c r="H51" s="475">
        <v>0</v>
      </c>
      <c r="I51" s="475">
        <v>0</v>
      </c>
      <c r="J51" s="475">
        <v>0</v>
      </c>
      <c r="K51" s="476">
        <v>0</v>
      </c>
    </row>
    <row r="52" spans="2:13">
      <c r="B52" t="s">
        <v>126</v>
      </c>
      <c r="C52" s="480" t="s">
        <v>7</v>
      </c>
      <c r="D52" s="486">
        <v>1</v>
      </c>
      <c r="E52" s="487">
        <v>1</v>
      </c>
      <c r="F52" s="487">
        <v>1</v>
      </c>
      <c r="G52" s="487">
        <v>1</v>
      </c>
      <c r="H52" s="487">
        <v>1</v>
      </c>
      <c r="I52" s="487">
        <v>1</v>
      </c>
      <c r="J52" s="487">
        <v>1</v>
      </c>
      <c r="K52" s="488">
        <v>1</v>
      </c>
    </row>
    <row r="53" spans="2:13">
      <c r="C53" s="821"/>
      <c r="D53" s="821"/>
      <c r="E53" s="821"/>
      <c r="F53" s="821"/>
      <c r="G53" s="821"/>
      <c r="H53" s="821"/>
      <c r="I53" s="821"/>
      <c r="J53" s="821"/>
      <c r="K53" s="821"/>
      <c r="L53" s="821"/>
    </row>
    <row r="54" spans="2:13">
      <c r="B54" s="200" t="s">
        <v>459</v>
      </c>
      <c r="C54" s="266" t="s">
        <v>128</v>
      </c>
      <c r="D54" s="711">
        <v>739.47182441500013</v>
      </c>
      <c r="E54" s="712">
        <v>833.950462625</v>
      </c>
      <c r="F54" s="712">
        <v>898.26911947999986</v>
      </c>
      <c r="G54" s="712">
        <v>962.23572488499985</v>
      </c>
      <c r="H54" s="712">
        <v>1039.2171710999999</v>
      </c>
      <c r="I54" s="712">
        <v>1101.3815723600001</v>
      </c>
      <c r="J54" s="712">
        <v>1052.4191505694248</v>
      </c>
      <c r="K54" s="713">
        <v>1051.5785402948231</v>
      </c>
    </row>
    <row r="55" spans="2:13">
      <c r="B55" s="200" t="s">
        <v>272</v>
      </c>
      <c r="C55" s="152" t="s">
        <v>128</v>
      </c>
      <c r="D55" s="700">
        <v>571.23434940692164</v>
      </c>
      <c r="E55" s="701">
        <v>574.41686342237199</v>
      </c>
      <c r="F55" s="701">
        <v>617.57621482388333</v>
      </c>
      <c r="G55" s="701">
        <v>653.83190563883818</v>
      </c>
      <c r="H55" s="701">
        <v>672.85455191781557</v>
      </c>
      <c r="I55" s="701">
        <v>703.68446121644979</v>
      </c>
      <c r="J55" s="701">
        <v>863.93767312388854</v>
      </c>
      <c r="K55" s="702">
        <v>1003.0648070724033</v>
      </c>
    </row>
    <row r="56" spans="2:13">
      <c r="B56" s="200" t="s">
        <v>507</v>
      </c>
      <c r="C56" s="152" t="s">
        <v>128</v>
      </c>
      <c r="D56" s="875">
        <v>1310.7061738219218</v>
      </c>
      <c r="E56" s="875">
        <v>1408.367326047372</v>
      </c>
      <c r="F56" s="875">
        <v>1515.8453343038832</v>
      </c>
      <c r="G56" s="875">
        <v>1616.067630523838</v>
      </c>
      <c r="H56" s="875">
        <v>1712.0717230178154</v>
      </c>
      <c r="I56" s="875">
        <v>1805.0660335764499</v>
      </c>
      <c r="J56" s="875">
        <v>1916.3568236933133</v>
      </c>
      <c r="K56" s="875">
        <v>2054.6433473672264</v>
      </c>
    </row>
    <row r="57" spans="2:13">
      <c r="B57" s="200" t="s">
        <v>235</v>
      </c>
      <c r="C57" s="152" t="s">
        <v>7</v>
      </c>
      <c r="D57" s="231">
        <v>0.56417818057479296</v>
      </c>
      <c r="E57" s="232">
        <v>0.59213988226033953</v>
      </c>
      <c r="F57" s="232">
        <v>0.59258626137640169</v>
      </c>
      <c r="G57" s="232">
        <v>0.59541798047962713</v>
      </c>
      <c r="H57" s="232">
        <v>0.60699394606448154</v>
      </c>
      <c r="I57" s="232">
        <v>0.61016137463834963</v>
      </c>
      <c r="J57" s="232">
        <v>0.5491770308940388</v>
      </c>
      <c r="K57" s="233">
        <v>0.51180587698701685</v>
      </c>
    </row>
    <row r="58" spans="2:13">
      <c r="B58" s="200" t="s">
        <v>115</v>
      </c>
      <c r="C58" s="152" t="s">
        <v>7</v>
      </c>
      <c r="D58" s="876">
        <v>0.65</v>
      </c>
      <c r="E58" s="877">
        <v>0.65</v>
      </c>
      <c r="F58" s="877">
        <v>0.65</v>
      </c>
      <c r="G58" s="877">
        <v>0.65</v>
      </c>
      <c r="H58" s="877">
        <v>0.65</v>
      </c>
      <c r="I58" s="877">
        <v>0.65</v>
      </c>
      <c r="J58" s="877">
        <v>0.65</v>
      </c>
      <c r="K58" s="878">
        <v>0.65</v>
      </c>
    </row>
    <row r="59" spans="2:13">
      <c r="B59" s="200" t="s">
        <v>236</v>
      </c>
      <c r="C59" s="152" t="s">
        <v>7</v>
      </c>
      <c r="D59" s="236">
        <v>-8.5821819425207058E-2</v>
      </c>
      <c r="E59" s="237">
        <v>-5.7860117739660488E-2</v>
      </c>
      <c r="F59" s="237">
        <v>-5.7413738623598332E-2</v>
      </c>
      <c r="G59" s="237">
        <v>-5.4582019520372893E-2</v>
      </c>
      <c r="H59" s="237">
        <v>-4.3006053935518485E-2</v>
      </c>
      <c r="I59" s="237">
        <v>-3.9838625361650393E-2</v>
      </c>
      <c r="J59" s="237">
        <v>-0.10082296910596122</v>
      </c>
      <c r="K59" s="238">
        <v>-0.13819412301298317</v>
      </c>
    </row>
    <row r="61" spans="2:13">
      <c r="B61" s="200" t="s">
        <v>514</v>
      </c>
      <c r="C61" s="155" t="s">
        <v>159</v>
      </c>
      <c r="D61" s="1001">
        <v>683.98562850040241</v>
      </c>
      <c r="E61" s="704">
        <v>753.59421661041733</v>
      </c>
      <c r="F61" s="704">
        <v>786.06680848746646</v>
      </c>
      <c r="G61" s="704">
        <v>818.00233393792018</v>
      </c>
      <c r="H61" s="704">
        <v>863.66343585012282</v>
      </c>
      <c r="I61" s="704">
        <v>897.6316464684021</v>
      </c>
      <c r="J61" s="704">
        <v>838.17749434367533</v>
      </c>
      <c r="K61" s="705">
        <v>814.9701296175125</v>
      </c>
      <c r="M61" s="322"/>
    </row>
    <row r="62" spans="2:13">
      <c r="B62" s="200" t="s">
        <v>512</v>
      </c>
      <c r="C62" s="155" t="s">
        <v>159</v>
      </c>
      <c r="D62" s="666">
        <v>528.37183595089539</v>
      </c>
      <c r="E62" s="667">
        <v>519.06827275572368</v>
      </c>
      <c r="F62" s="667">
        <v>540.43510308514919</v>
      </c>
      <c r="G62" s="667">
        <v>555.82640613303738</v>
      </c>
      <c r="H62" s="667">
        <v>559.19002331497904</v>
      </c>
      <c r="I62" s="667">
        <v>573.50645531727673</v>
      </c>
      <c r="J62" s="667">
        <v>688.06531479048499</v>
      </c>
      <c r="K62" s="668">
        <v>777.37213580392597</v>
      </c>
      <c r="M62" s="322"/>
    </row>
    <row r="63" spans="2:13">
      <c r="B63" s="200" t="s">
        <v>513</v>
      </c>
      <c r="C63" s="155" t="s">
        <v>159</v>
      </c>
      <c r="D63" s="874">
        <v>1212.3574644512978</v>
      </c>
      <c r="E63" s="874">
        <v>1272.662489366141</v>
      </c>
      <c r="F63" s="874">
        <v>1326.5019115726157</v>
      </c>
      <c r="G63" s="874">
        <v>1373.8287400709576</v>
      </c>
      <c r="H63" s="874">
        <v>1422.8534591651019</v>
      </c>
      <c r="I63" s="874">
        <v>1471.1381017856788</v>
      </c>
      <c r="J63" s="874">
        <v>1526.2428091341603</v>
      </c>
      <c r="K63" s="874">
        <v>1592.3422654214385</v>
      </c>
    </row>
    <row r="64" spans="2:13">
      <c r="B64" s="200" t="s">
        <v>235</v>
      </c>
      <c r="C64" s="152" t="s">
        <v>7</v>
      </c>
      <c r="D64" s="231">
        <v>0.56417818057479296</v>
      </c>
      <c r="E64" s="232">
        <v>0.59213988226033953</v>
      </c>
      <c r="F64" s="232">
        <v>0.59258626137640169</v>
      </c>
      <c r="G64" s="232">
        <v>0.59541798047962713</v>
      </c>
      <c r="H64" s="232">
        <v>0.60699394606448154</v>
      </c>
      <c r="I64" s="232">
        <v>0.61016137463834963</v>
      </c>
      <c r="J64" s="232">
        <v>0.5491770308940388</v>
      </c>
      <c r="K64" s="233">
        <v>0.51180587698701685</v>
      </c>
    </row>
    <row r="65" spans="2:11">
      <c r="B65" s="200" t="s">
        <v>115</v>
      </c>
      <c r="C65" s="152" t="s">
        <v>7</v>
      </c>
      <c r="D65" s="876">
        <v>0.65</v>
      </c>
      <c r="E65" s="877">
        <v>0.65</v>
      </c>
      <c r="F65" s="877">
        <v>0.65</v>
      </c>
      <c r="G65" s="877">
        <v>0.65</v>
      </c>
      <c r="H65" s="877">
        <v>0.65</v>
      </c>
      <c r="I65" s="877">
        <v>0.65</v>
      </c>
      <c r="J65" s="877">
        <v>0.65</v>
      </c>
      <c r="K65" s="878">
        <v>0.65</v>
      </c>
    </row>
    <row r="66" spans="2:11">
      <c r="B66" s="200" t="s">
        <v>236</v>
      </c>
      <c r="C66" s="152" t="s">
        <v>7</v>
      </c>
      <c r="D66" s="236">
        <v>-8.5821819425207058E-2</v>
      </c>
      <c r="E66" s="237">
        <v>-5.7860117739660488E-2</v>
      </c>
      <c r="F66" s="237">
        <v>-5.7413738623598332E-2</v>
      </c>
      <c r="G66" s="237">
        <v>-5.4582019520372893E-2</v>
      </c>
      <c r="H66" s="237">
        <v>-4.3006053935518485E-2</v>
      </c>
      <c r="I66" s="237">
        <v>-3.9838625361650393E-2</v>
      </c>
      <c r="J66" s="237">
        <v>-0.10082296910596122</v>
      </c>
      <c r="K66" s="238">
        <v>-0.13819412301298317</v>
      </c>
    </row>
  </sheetData>
  <conditionalFormatting sqref="D6:K6">
    <cfRule type="expression" dxfId="38" priority="18">
      <formula>AND(D$5="Actuals",E$5="Forecast")</formula>
    </cfRule>
  </conditionalFormatting>
  <conditionalFormatting sqref="D5:K5">
    <cfRule type="expression" dxfId="37"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100.08984375" customWidth="1"/>
    <col min="3" max="3" width="14.08984375" style="198" customWidth="1"/>
    <col min="4" max="11" width="11.08984375" customWidth="1"/>
    <col min="12" max="12" width="5" customWidth="1"/>
    <col min="14" max="14" width="9" style="213"/>
  </cols>
  <sheetData>
    <row r="1" spans="1:14" s="31" customFormat="1" ht="21">
      <c r="A1" s="909" t="s">
        <v>120</v>
      </c>
      <c r="B1" s="938"/>
      <c r="C1" s="397"/>
      <c r="D1" s="120"/>
      <c r="E1" s="120"/>
      <c r="F1" s="120"/>
      <c r="G1" s="120"/>
      <c r="H1" s="120"/>
      <c r="I1" s="126"/>
      <c r="J1" s="126"/>
      <c r="K1" s="127"/>
      <c r="L1" s="363"/>
      <c r="N1" s="212"/>
    </row>
    <row r="2" spans="1:14" s="31" customFormat="1" ht="21">
      <c r="A2" s="912" t="str">
        <f>'RFPR cover'!C5</f>
        <v>WPD-SWEST</v>
      </c>
      <c r="B2" s="904"/>
      <c r="C2" s="221"/>
      <c r="D2" s="29"/>
      <c r="E2" s="29"/>
      <c r="F2" s="29"/>
      <c r="G2" s="29"/>
      <c r="H2" s="29"/>
      <c r="I2" s="27"/>
      <c r="J2" s="27"/>
      <c r="K2" s="27"/>
      <c r="L2" s="123"/>
      <c r="N2" s="212"/>
    </row>
    <row r="3" spans="1:14" s="31" customFormat="1" ht="21">
      <c r="A3" s="915">
        <f>'RFPR cover'!C7</f>
        <v>2021</v>
      </c>
      <c r="B3" s="922"/>
      <c r="C3" s="398"/>
      <c r="D3" s="260"/>
      <c r="E3" s="260"/>
      <c r="F3" s="260"/>
      <c r="G3" s="260"/>
      <c r="H3" s="260"/>
      <c r="I3" s="255"/>
      <c r="J3" s="255"/>
      <c r="K3" s="255"/>
      <c r="L3" s="261"/>
      <c r="N3" s="212"/>
    </row>
    <row r="4" spans="1:14" s="2" customFormat="1" ht="12.75" customHeight="1">
      <c r="C4" s="1"/>
      <c r="N4" s="129"/>
    </row>
    <row r="5" spans="1:14" s="2" customFormat="1">
      <c r="B5" s="38"/>
      <c r="C5" s="222"/>
      <c r="D5" s="390" t="str">
        <f>IF(D6&lt;='RFPR cover'!$C$7-1,"Actuals","Forecast")</f>
        <v>Actuals</v>
      </c>
      <c r="E5" s="390" t="str">
        <f>IF(E6&lt;='RFPR cover'!$C$7-1,"Actuals","Forecast")</f>
        <v>Actuals</v>
      </c>
      <c r="F5" s="390" t="str">
        <f>IF(F6&lt;='RFPR cover'!$C$7-1,"Actuals","Forecast")</f>
        <v>Actuals</v>
      </c>
      <c r="G5" s="390" t="str">
        <f>IF(G6&lt;='RFPR cover'!$C$7-1,"Actuals","Forecast")</f>
        <v>Actuals</v>
      </c>
      <c r="H5" s="390" t="str">
        <f>IF(H6&lt;='RFPR cover'!$C$7-1,"Actuals","Forecast")</f>
        <v>Actuals</v>
      </c>
      <c r="I5" s="390" t="str">
        <f>IF(I6&lt;='RFPR cover'!$C$7-1,"Actuals","Forecast")</f>
        <v>Forecast</v>
      </c>
      <c r="J5" s="390" t="str">
        <f>IF(J6&lt;='RFPR cover'!$C$7-1,"Actuals","Forecast")</f>
        <v>Forecast</v>
      </c>
      <c r="K5" s="390" t="str">
        <f>IF(K6&lt;='RFPR cover'!$C$7-1,"Actuals","Forecast")</f>
        <v>Forecast</v>
      </c>
      <c r="N5" s="129"/>
    </row>
    <row r="6" spans="1:14" s="2" customFormat="1">
      <c r="C6" s="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N6" s="129"/>
    </row>
    <row r="7" spans="1:14" s="2" customFormat="1">
      <c r="A7" s="35"/>
      <c r="B7" s="35"/>
      <c r="C7" s="320"/>
      <c r="D7" s="429"/>
      <c r="E7" s="429"/>
      <c r="F7" s="429"/>
      <c r="G7" s="429"/>
      <c r="H7" s="429"/>
      <c r="I7" s="429"/>
      <c r="J7" s="429"/>
      <c r="K7" s="429"/>
      <c r="L7" s="35"/>
      <c r="M7" s="35"/>
      <c r="N7" s="225"/>
    </row>
    <row r="8" spans="1:14" s="2" customFormat="1">
      <c r="B8" s="12" t="s">
        <v>323</v>
      </c>
      <c r="N8" s="129"/>
    </row>
    <row r="9" spans="1:14" s="2" customFormat="1">
      <c r="B9" s="368" t="s">
        <v>322</v>
      </c>
      <c r="C9" s="368"/>
      <c r="D9" s="368"/>
      <c r="E9" s="368"/>
      <c r="F9" s="368"/>
      <c r="G9" s="368"/>
      <c r="H9" s="368"/>
      <c r="I9" s="368"/>
      <c r="J9" s="368"/>
      <c r="K9" s="368"/>
      <c r="L9" s="368"/>
      <c r="N9" s="129"/>
    </row>
    <row r="10" spans="1:14" s="35" customFormat="1">
      <c r="B10" s="428"/>
      <c r="C10" s="428"/>
      <c r="D10" s="428"/>
      <c r="E10" s="428"/>
      <c r="F10" s="428"/>
      <c r="G10" s="428"/>
      <c r="H10" s="428"/>
      <c r="I10" s="428"/>
      <c r="J10" s="428"/>
      <c r="K10" s="428"/>
      <c r="L10" s="428"/>
      <c r="N10" s="225"/>
    </row>
    <row r="11" spans="1:14" s="2" customFormat="1">
      <c r="B11" s="200" t="s">
        <v>321</v>
      </c>
      <c r="C11" s="210" t="str">
        <f>'RFPR cover'!$C$14</f>
        <v>£m 12/13</v>
      </c>
      <c r="D11" s="714">
        <v>1265.4860531644608</v>
      </c>
      <c r="E11" s="715">
        <v>1328.3064256790747</v>
      </c>
      <c r="F11" s="715">
        <v>1378.3864978483234</v>
      </c>
      <c r="G11" s="715">
        <v>1424.937201049662</v>
      </c>
      <c r="H11" s="715">
        <v>1471.2088084303637</v>
      </c>
      <c r="I11" s="715">
        <v>1518.1233533200598</v>
      </c>
      <c r="J11" s="715">
        <v>1576.6656974480893</v>
      </c>
      <c r="K11" s="716">
        <v>1643.2045713598429</v>
      </c>
      <c r="N11" s="129"/>
    </row>
    <row r="12" spans="1:14" s="2" customFormat="1">
      <c r="N12" s="129"/>
    </row>
    <row r="13" spans="1:14" s="2" customFormat="1">
      <c r="B13" s="12" t="s">
        <v>324</v>
      </c>
      <c r="C13" s="1"/>
      <c r="D13" s="1"/>
      <c r="E13" s="1"/>
      <c r="F13" s="1"/>
      <c r="G13" s="1"/>
      <c r="H13" s="1"/>
      <c r="I13" s="1"/>
      <c r="J13" s="1"/>
      <c r="K13" s="1"/>
      <c r="N13" s="129"/>
    </row>
    <row r="14" spans="1:14" s="2" customFormat="1">
      <c r="B14" s="368" t="s">
        <v>346</v>
      </c>
      <c r="C14" s="321"/>
      <c r="D14" s="321"/>
      <c r="E14" s="321"/>
      <c r="F14" s="321"/>
      <c r="G14" s="321"/>
      <c r="H14" s="321"/>
      <c r="I14" s="321"/>
      <c r="J14" s="321"/>
      <c r="K14" s="321"/>
      <c r="L14" s="293"/>
      <c r="N14" s="129"/>
    </row>
    <row r="15" spans="1:14" s="35" customFormat="1">
      <c r="B15" s="428"/>
      <c r="C15" s="320"/>
      <c r="D15" s="320"/>
      <c r="E15" s="320"/>
      <c r="F15" s="320"/>
      <c r="G15" s="320"/>
      <c r="H15" s="320"/>
      <c r="I15" s="320"/>
      <c r="J15" s="320"/>
      <c r="K15" s="320"/>
      <c r="N15" s="225"/>
    </row>
    <row r="16" spans="1:14" s="2" customFormat="1">
      <c r="B16" s="392" t="s">
        <v>325</v>
      </c>
      <c r="C16" s="210" t="str">
        <f>'RFPR cover'!$C$14</f>
        <v>£m 12/13</v>
      </c>
      <c r="D16" s="582">
        <v>1206.7009697943779</v>
      </c>
      <c r="E16" s="717">
        <f>D29</f>
        <v>1265.4860531644608</v>
      </c>
      <c r="F16" s="717">
        <f t="shared" ref="F16:K16" si="1">E29</f>
        <v>1328.3064256790747</v>
      </c>
      <c r="G16" s="717">
        <f t="shared" si="1"/>
        <v>1373.4860026148351</v>
      </c>
      <c r="H16" s="717">
        <f t="shared" si="1"/>
        <v>1422.0132575171854</v>
      </c>
      <c r="I16" s="717">
        <f t="shared" si="1"/>
        <v>1470.2057327117798</v>
      </c>
      <c r="J16" s="717">
        <f t="shared" si="1"/>
        <v>1515.4744686928727</v>
      </c>
      <c r="K16" s="585">
        <f t="shared" si="1"/>
        <v>1579.0330344048405</v>
      </c>
      <c r="N16" s="129"/>
    </row>
    <row r="17" spans="2:14" s="2" customFormat="1">
      <c r="B17" s="392" t="s">
        <v>326</v>
      </c>
      <c r="C17" s="210" t="str">
        <f>'RFPR cover'!$C$14</f>
        <v>£m 12/13</v>
      </c>
      <c r="D17" s="590"/>
      <c r="E17" s="591"/>
      <c r="F17" s="591"/>
      <c r="G17" s="591"/>
      <c r="H17" s="591"/>
      <c r="I17" s="591"/>
      <c r="J17" s="591"/>
      <c r="K17" s="684"/>
      <c r="N17" s="129"/>
    </row>
    <row r="18" spans="2:14" s="2" customFormat="1">
      <c r="B18" s="12" t="s">
        <v>327</v>
      </c>
      <c r="C18" s="210" t="str">
        <f>'RFPR cover'!$C$14</f>
        <v>£m 12/13</v>
      </c>
      <c r="D18" s="718">
        <f>SUM(D16:D17)</f>
        <v>1206.7009697943779</v>
      </c>
      <c r="E18" s="719">
        <f t="shared" ref="E18:K18" si="2">SUM(E16:E17)</f>
        <v>1265.4860531644608</v>
      </c>
      <c r="F18" s="719">
        <f t="shared" si="2"/>
        <v>1328.3064256790747</v>
      </c>
      <c r="G18" s="719">
        <f t="shared" si="2"/>
        <v>1373.4860026148351</v>
      </c>
      <c r="H18" s="719">
        <f t="shared" si="2"/>
        <v>1422.0132575171854</v>
      </c>
      <c r="I18" s="719">
        <f t="shared" si="2"/>
        <v>1470.2057327117798</v>
      </c>
      <c r="J18" s="719">
        <f t="shared" si="2"/>
        <v>1515.4744686928727</v>
      </c>
      <c r="K18" s="720">
        <f t="shared" si="2"/>
        <v>1579.0330344048405</v>
      </c>
      <c r="N18" s="129"/>
    </row>
    <row r="19" spans="2:14" s="2" customFormat="1">
      <c r="B19" s="394" t="s">
        <v>328</v>
      </c>
      <c r="C19" s="210" t="str">
        <f>'RFPR cover'!$C$14</f>
        <v>£m 12/13</v>
      </c>
      <c r="D19" s="586">
        <v>170.72268321246986</v>
      </c>
      <c r="E19" s="587">
        <v>178.41979956863486</v>
      </c>
      <c r="F19" s="587">
        <v>168.23953627078308</v>
      </c>
      <c r="G19" s="587">
        <v>166.03879012794701</v>
      </c>
      <c r="H19" s="587">
        <v>166.70605769476325</v>
      </c>
      <c r="I19" s="587">
        <v>164.75002630950979</v>
      </c>
      <c r="J19" s="587">
        <v>170.21677753953739</v>
      </c>
      <c r="K19" s="683">
        <v>176.89339105424304</v>
      </c>
      <c r="N19" s="129"/>
    </row>
    <row r="20" spans="2:14" s="2" customFormat="1">
      <c r="B20" s="394" t="s">
        <v>335</v>
      </c>
      <c r="C20" s="210" t="str">
        <f>'RFPR cover'!$C$14</f>
        <v>£m 12/13</v>
      </c>
      <c r="D20" s="590">
        <v>0</v>
      </c>
      <c r="E20" s="590">
        <v>0</v>
      </c>
      <c r="F20" s="590">
        <v>-4.9004952334883338</v>
      </c>
      <c r="G20" s="590">
        <v>1.8097263313609468</v>
      </c>
      <c r="H20" s="590">
        <v>1.8097263313609468</v>
      </c>
      <c r="I20" s="590">
        <v>1.5475955318852022</v>
      </c>
      <c r="J20" s="590">
        <v>2.545613013951483</v>
      </c>
      <c r="K20" s="590">
        <v>-0.46650169222120619</v>
      </c>
      <c r="N20" s="129"/>
    </row>
    <row r="21" spans="2:14" s="2" customFormat="1">
      <c r="B21" s="393" t="s">
        <v>331</v>
      </c>
      <c r="C21" s="210" t="str">
        <f>'RFPR cover'!$C$14</f>
        <v>£m 12/13</v>
      </c>
      <c r="D21" s="718">
        <f t="shared" ref="D21:K21" si="3">SUM(D19:D20)</f>
        <v>170.72268321246986</v>
      </c>
      <c r="E21" s="719">
        <f t="shared" si="3"/>
        <v>178.41979956863486</v>
      </c>
      <c r="F21" s="719">
        <f t="shared" si="3"/>
        <v>163.33904103729475</v>
      </c>
      <c r="G21" s="719">
        <f t="shared" si="3"/>
        <v>167.84851645930794</v>
      </c>
      <c r="H21" s="719">
        <f t="shared" si="3"/>
        <v>168.51578402612418</v>
      </c>
      <c r="I21" s="719">
        <f t="shared" si="3"/>
        <v>166.297621841395</v>
      </c>
      <c r="J21" s="719">
        <f t="shared" si="3"/>
        <v>172.76239055348887</v>
      </c>
      <c r="K21" s="720">
        <f t="shared" si="3"/>
        <v>176.42688936202183</v>
      </c>
      <c r="N21" s="129"/>
    </row>
    <row r="22" spans="2:14" s="2" customFormat="1">
      <c r="B22" s="394" t="s">
        <v>329</v>
      </c>
      <c r="C22" s="210" t="str">
        <f>'RFPR cover'!$C$14</f>
        <v>£m 12/13</v>
      </c>
      <c r="D22" s="586">
        <v>-111.93759984238713</v>
      </c>
      <c r="E22" s="587">
        <v>-115.59942705402113</v>
      </c>
      <c r="F22" s="587">
        <v>-118.15946410153421</v>
      </c>
      <c r="G22" s="587">
        <v>-119.48808692660846</v>
      </c>
      <c r="H22" s="587">
        <v>-120.43445031406178</v>
      </c>
      <c r="I22" s="587">
        <v>-121.08922800721695</v>
      </c>
      <c r="J22" s="587">
        <v>-109.22422903922573</v>
      </c>
      <c r="K22" s="587">
        <v>-109.20928396796347</v>
      </c>
      <c r="N22" s="129"/>
    </row>
    <row r="23" spans="2:14" s="2" customFormat="1">
      <c r="B23" s="394" t="s">
        <v>330</v>
      </c>
      <c r="C23" s="210" t="str">
        <f>'RFPR cover'!$C$14</f>
        <v>£m 12/13</v>
      </c>
      <c r="D23" s="590">
        <v>0</v>
      </c>
      <c r="E23" s="590">
        <v>0</v>
      </c>
      <c r="F23" s="590">
        <v>0</v>
      </c>
      <c r="G23" s="590">
        <v>0.16682536965066669</v>
      </c>
      <c r="H23" s="590">
        <v>0.11114148253186833</v>
      </c>
      <c r="I23" s="590">
        <v>6.0342146914718939E-2</v>
      </c>
      <c r="J23" s="590">
        <v>2.0404197704778235E-2</v>
      </c>
      <c r="K23" s="590">
        <v>-4.0386560837346736E-2</v>
      </c>
      <c r="N23" s="129"/>
    </row>
    <row r="24" spans="2:14" s="2" customFormat="1">
      <c r="B24" s="393" t="s">
        <v>332</v>
      </c>
      <c r="C24" s="210" t="str">
        <f>'RFPR cover'!$C$14</f>
        <v>£m 12/13</v>
      </c>
      <c r="D24" s="718">
        <f t="shared" ref="D24:K24" si="4">SUM(D22:D23)</f>
        <v>-111.93759984238713</v>
      </c>
      <c r="E24" s="719">
        <f t="shared" si="4"/>
        <v>-115.59942705402113</v>
      </c>
      <c r="F24" s="719">
        <f t="shared" si="4"/>
        <v>-118.15946410153421</v>
      </c>
      <c r="G24" s="719">
        <f t="shared" si="4"/>
        <v>-119.32126155695779</v>
      </c>
      <c r="H24" s="719">
        <f t="shared" si="4"/>
        <v>-120.32330883152991</v>
      </c>
      <c r="I24" s="719">
        <f t="shared" si="4"/>
        <v>-121.02888586030222</v>
      </c>
      <c r="J24" s="719">
        <f t="shared" si="4"/>
        <v>-109.20382484152096</v>
      </c>
      <c r="K24" s="720">
        <f t="shared" si="4"/>
        <v>-109.24967052880082</v>
      </c>
      <c r="N24" s="129"/>
    </row>
    <row r="25" spans="2:14" s="2" customFormat="1">
      <c r="B25" s="395" t="s">
        <v>268</v>
      </c>
      <c r="C25" s="210" t="str">
        <f>'RFPR cover'!$C$14</f>
        <v>£m 12/13</v>
      </c>
      <c r="D25" s="721"/>
      <c r="E25" s="722"/>
      <c r="F25" s="722"/>
      <c r="G25" s="722"/>
      <c r="H25" s="722"/>
      <c r="I25" s="722"/>
      <c r="J25" s="722"/>
      <c r="K25" s="723"/>
      <c r="N25" s="129"/>
    </row>
    <row r="26" spans="2:14" s="2" customFormat="1">
      <c r="B26" s="395" t="s">
        <v>268</v>
      </c>
      <c r="C26" s="210" t="str">
        <f>'RFPR cover'!$C$14</f>
        <v>£m 12/13</v>
      </c>
      <c r="D26" s="721"/>
      <c r="E26" s="722"/>
      <c r="F26" s="722"/>
      <c r="G26" s="722"/>
      <c r="H26" s="722"/>
      <c r="I26" s="722"/>
      <c r="J26" s="722"/>
      <c r="K26" s="723"/>
      <c r="N26" s="129"/>
    </row>
    <row r="27" spans="2:14" s="2" customFormat="1">
      <c r="B27" s="395" t="s">
        <v>268</v>
      </c>
      <c r="C27" s="210" t="str">
        <f>'RFPR cover'!$C$14</f>
        <v>£m 12/13</v>
      </c>
      <c r="D27" s="721"/>
      <c r="E27" s="722"/>
      <c r="F27" s="722"/>
      <c r="G27" s="722"/>
      <c r="H27" s="722"/>
      <c r="I27" s="722"/>
      <c r="J27" s="722"/>
      <c r="K27" s="723"/>
      <c r="N27" s="129"/>
    </row>
    <row r="28" spans="2:14" s="2" customFormat="1">
      <c r="B28" s="393" t="s">
        <v>333</v>
      </c>
      <c r="C28" s="210" t="str">
        <f>'RFPR cover'!$C$14</f>
        <v>£m 12/13</v>
      </c>
      <c r="D28" s="724">
        <f>SUM(D25:D27)</f>
        <v>0</v>
      </c>
      <c r="E28" s="725">
        <f t="shared" ref="E28:K28" si="5">SUM(E25:E27)</f>
        <v>0</v>
      </c>
      <c r="F28" s="725">
        <f t="shared" si="5"/>
        <v>0</v>
      </c>
      <c r="G28" s="725">
        <f t="shared" si="5"/>
        <v>0</v>
      </c>
      <c r="H28" s="725">
        <f t="shared" si="5"/>
        <v>0</v>
      </c>
      <c r="I28" s="725">
        <f t="shared" si="5"/>
        <v>0</v>
      </c>
      <c r="J28" s="725">
        <f t="shared" si="5"/>
        <v>0</v>
      </c>
      <c r="K28" s="726">
        <f t="shared" si="5"/>
        <v>0</v>
      </c>
      <c r="N28" s="129"/>
    </row>
    <row r="29" spans="2:14" s="2" customFormat="1">
      <c r="B29" s="12" t="s">
        <v>334</v>
      </c>
      <c r="C29" s="210" t="str">
        <f>'RFPR cover'!$C$14</f>
        <v>£m 12/13</v>
      </c>
      <c r="D29" s="727">
        <f>D18+D21+D24+D28</f>
        <v>1265.4860531644608</v>
      </c>
      <c r="E29" s="728">
        <f t="shared" ref="E29:K29" si="6">E18+E21+E24+E28</f>
        <v>1328.3064256790747</v>
      </c>
      <c r="F29" s="728">
        <f t="shared" si="6"/>
        <v>1373.4860026148351</v>
      </c>
      <c r="G29" s="728">
        <f t="shared" si="6"/>
        <v>1422.0132575171854</v>
      </c>
      <c r="H29" s="728">
        <f t="shared" si="6"/>
        <v>1470.2057327117798</v>
      </c>
      <c r="I29" s="728">
        <f t="shared" si="6"/>
        <v>1515.4744686928727</v>
      </c>
      <c r="J29" s="728">
        <f t="shared" si="6"/>
        <v>1579.0330344048405</v>
      </c>
      <c r="K29" s="729">
        <f t="shared" si="6"/>
        <v>1646.2102532380613</v>
      </c>
      <c r="N29" s="129"/>
    </row>
    <row r="30" spans="2:14" s="2" customFormat="1">
      <c r="B30" s="12"/>
      <c r="C30" s="210"/>
      <c r="D30" s="210"/>
      <c r="E30" s="210"/>
      <c r="F30" s="210"/>
      <c r="G30" s="210"/>
      <c r="H30" s="210"/>
      <c r="I30" s="210"/>
      <c r="J30" s="210"/>
      <c r="K30" s="210"/>
      <c r="L30" s="210"/>
      <c r="N30" s="129"/>
    </row>
    <row r="31" spans="2:14" s="2" customFormat="1">
      <c r="B31" s="12" t="s">
        <v>510</v>
      </c>
      <c r="C31" s="210" t="str">
        <f>'RFPR cover'!$C$14</f>
        <v>£m 12/13</v>
      </c>
      <c r="D31" s="727">
        <f t="shared" ref="D31:K31" si="7">(D20+D23+D28)</f>
        <v>0</v>
      </c>
      <c r="E31" s="727">
        <f t="shared" si="7"/>
        <v>0</v>
      </c>
      <c r="F31" s="727">
        <f t="shared" si="7"/>
        <v>-4.9004952334883338</v>
      </c>
      <c r="G31" s="727">
        <f t="shared" si="7"/>
        <v>1.9765517010116136</v>
      </c>
      <c r="H31" s="727">
        <f t="shared" si="7"/>
        <v>1.9208678138928152</v>
      </c>
      <c r="I31" s="727">
        <f t="shared" si="7"/>
        <v>1.6079376787999211</v>
      </c>
      <c r="J31" s="727">
        <f t="shared" si="7"/>
        <v>2.5660172116562614</v>
      </c>
      <c r="K31" s="727">
        <f t="shared" si="7"/>
        <v>-0.5068882530585529</v>
      </c>
      <c r="L31" s="210"/>
      <c r="N31" s="129"/>
    </row>
    <row r="32" spans="2:14" s="2" customFormat="1">
      <c r="B32" s="12" t="s">
        <v>511</v>
      </c>
      <c r="C32" s="210"/>
      <c r="D32" s="515" t="str">
        <f>IF(D5="Actuals",IF(ABS((D29-SUM($D$31:D31))-D11)&lt;'RFPR cover'!$F$14,"TRUE","FALSE"),"NA")</f>
        <v>TRUE</v>
      </c>
      <c r="E32" s="515" t="str">
        <f>IF(E5="Actuals",IF(ABS((E29-SUM($D$31:E31))-E11)&lt;'RFPR cover'!$F$14,"TRUE","FALSE"),"NA")</f>
        <v>TRUE</v>
      </c>
      <c r="F32" s="515" t="str">
        <f>IF(F5="Actuals",IF(ABS((F29-SUM($D$31:F31))-F11)&lt;'RFPR cover'!$F$14,"TRUE","FALSE"),"NA")</f>
        <v>TRUE</v>
      </c>
      <c r="G32" s="515" t="str">
        <f>IF(G5="Actuals",IF(ABS((G29-SUM($D$31:G31))-G11)&lt;'RFPR cover'!$F$14,"TRUE","FALSE"),"NA")</f>
        <v>TRUE</v>
      </c>
      <c r="H32" s="515" t="str">
        <f>IF(H5="Actuals",IF(ABS((H29-SUM($D$31:H31))-H11)&lt;'RFPR cover'!$F$14,"TRUE","FALSE"),"NA")</f>
        <v>TRUE</v>
      </c>
      <c r="I32" s="515" t="str">
        <f>IF(I5="Actuals",IF(ABS((I29-SUM($D$31:I31))-I11)&lt;'RFPR cover'!$F$14,"TRUE","FALSE"),"NA")</f>
        <v>NA</v>
      </c>
      <c r="J32" s="515" t="str">
        <f>IF(J5="Actuals",IF(ABS((J29-SUM($D$31:J31))-J11)&lt;'RFPR cover'!$F$14,"TRUE","FALSE"),"NA")</f>
        <v>NA</v>
      </c>
      <c r="K32" s="515" t="str">
        <f>IF(K5="Actuals",IF(ABS((K29-SUM($D$31:K31))-K11)&lt;'RFPR cover'!$F$14,"TRUE","FALSE"),"NA")</f>
        <v>NA</v>
      </c>
      <c r="L32" s="210"/>
      <c r="N32" s="129"/>
    </row>
    <row r="33" spans="2:14" s="35" customFormat="1">
      <c r="B33" s="50"/>
      <c r="C33" s="477"/>
      <c r="D33" s="478"/>
      <c r="E33" s="478"/>
      <c r="F33" s="478"/>
      <c r="G33" s="478"/>
      <c r="H33" s="478"/>
      <c r="I33" s="478"/>
      <c r="J33" s="478"/>
      <c r="K33" s="478"/>
      <c r="N33" s="225"/>
    </row>
    <row r="34" spans="2:14" s="35" customFormat="1">
      <c r="B34" s="50" t="s">
        <v>42</v>
      </c>
      <c r="C34" s="267" t="s">
        <v>127</v>
      </c>
      <c r="D34" s="112">
        <f>Data!C$35</f>
        <v>1.0677429242873198</v>
      </c>
      <c r="E34" s="112">
        <f>Data!D$35</f>
        <v>1.1033002963114336</v>
      </c>
      <c r="F34" s="112">
        <f>Data!E$35</f>
        <v>1.1402881373250229</v>
      </c>
      <c r="G34" s="112">
        <f>Data!F$35</f>
        <v>1.171554102380709</v>
      </c>
      <c r="H34" s="112">
        <f>Data!G$35</f>
        <v>1.1958720752017984</v>
      </c>
      <c r="I34" s="112">
        <f>Data!H$35</f>
        <v>1.2220292224379279</v>
      </c>
      <c r="J34" s="112">
        <f>Data!I$35</f>
        <v>1.2544129968325328</v>
      </c>
      <c r="K34" s="112">
        <f>Data!J$35</f>
        <v>1.2929861964851332</v>
      </c>
      <c r="N34" s="225"/>
    </row>
    <row r="35" spans="2:14" s="31" customFormat="1">
      <c r="B35" s="37" t="s">
        <v>374</v>
      </c>
      <c r="C35" s="267" t="s">
        <v>127</v>
      </c>
      <c r="D35" s="112">
        <f>Data!C$34</f>
        <v>1.0603167467048125</v>
      </c>
      <c r="E35" s="113">
        <f>Data!D$34</f>
        <v>1.0830366813119445</v>
      </c>
      <c r="F35" s="113">
        <f>Data!E$34</f>
        <v>1.1235639113109226</v>
      </c>
      <c r="G35" s="113">
        <f>Data!F$34</f>
        <v>1.1578951670583426</v>
      </c>
      <c r="H35" s="113">
        <f>Data!G$34</f>
        <v>1.1878696229692449</v>
      </c>
      <c r="I35" s="113">
        <f>Data!H$34</f>
        <v>1.2022764892203943</v>
      </c>
      <c r="J35" s="113">
        <f>Data!I$34</f>
        <v>1.2341368161847346</v>
      </c>
      <c r="K35" s="114">
        <f>Data!J$34</f>
        <v>1.2720865232824152</v>
      </c>
      <c r="L35" s="234"/>
      <c r="N35" s="212"/>
    </row>
    <row r="36" spans="2:14" s="31" customFormat="1">
      <c r="B36" s="171" t="s">
        <v>508</v>
      </c>
      <c r="C36" s="267" t="s">
        <v>127</v>
      </c>
      <c r="D36" s="870">
        <f>INDEX(Data!$F$14:$F$30,MATCH($D$6-1,Data!$C$14:$C$30,0),0)/IF('RFPR cover'!$C$6="ED1",Data!$E$17,Data!$E$14)</f>
        <v>1.0526208235414325</v>
      </c>
      <c r="E36" s="871"/>
      <c r="F36" s="871"/>
      <c r="G36" s="871"/>
      <c r="H36" s="871"/>
      <c r="I36" s="871"/>
      <c r="J36" s="871"/>
      <c r="K36" s="871"/>
      <c r="L36" s="234"/>
      <c r="N36" s="212"/>
    </row>
    <row r="37" spans="2:14" s="35" customFormat="1">
      <c r="B37" s="50"/>
      <c r="C37" s="477"/>
      <c r="D37" s="478"/>
      <c r="E37" s="478"/>
      <c r="F37" s="478"/>
      <c r="G37" s="478"/>
      <c r="H37" s="478"/>
      <c r="I37" s="478"/>
      <c r="J37" s="478"/>
      <c r="K37" s="478"/>
      <c r="N37" s="225"/>
    </row>
    <row r="38" spans="2:14" s="2" customFormat="1">
      <c r="B38" s="12" t="s">
        <v>334</v>
      </c>
      <c r="C38" s="266" t="s">
        <v>128</v>
      </c>
      <c r="D38" s="727">
        <f t="shared" ref="D38:K38" si="8">D29*D34</f>
        <v>1351.2137790506399</v>
      </c>
      <c r="E38" s="727">
        <f t="shared" si="8"/>
        <v>1465.5208730441043</v>
      </c>
      <c r="F38" s="727">
        <f t="shared" si="8"/>
        <v>1566.1697955636619</v>
      </c>
      <c r="G38" s="727">
        <f t="shared" si="8"/>
        <v>1665.9654654840142</v>
      </c>
      <c r="H38" s="727">
        <f t="shared" si="8"/>
        <v>1758.1779805516167</v>
      </c>
      <c r="I38" s="727">
        <f t="shared" si="8"/>
        <v>1851.9540866012831</v>
      </c>
      <c r="J38" s="727">
        <f t="shared" si="8"/>
        <v>1980.7595607853439</v>
      </c>
      <c r="K38" s="727">
        <f t="shared" si="8"/>
        <v>2128.5271339491092</v>
      </c>
      <c r="N38" s="129"/>
    </row>
    <row r="39" spans="2:14" s="2" customFormat="1">
      <c r="B39" s="12"/>
      <c r="C39" s="210"/>
      <c r="D39" s="210"/>
      <c r="E39" s="210"/>
      <c r="F39" s="210"/>
      <c r="G39" s="210"/>
      <c r="H39" s="210"/>
      <c r="I39" s="210"/>
      <c r="J39" s="210"/>
      <c r="K39" s="210"/>
      <c r="N39" s="129"/>
    </row>
    <row r="40" spans="2:14" s="2" customFormat="1">
      <c r="B40" s="506" t="s">
        <v>337</v>
      </c>
      <c r="C40" s="210" t="s">
        <v>340</v>
      </c>
      <c r="D40" s="408">
        <f>INDEX(Data!$K$73:$T$100,MATCH('RFPR cover'!$C$5,Data!$B$73:$B$100,0),MATCH('R9 - RAV'!D$6,Data!$K$72:$T$72,0))</f>
        <v>2.5499999999999998E-2</v>
      </c>
      <c r="E40" s="409">
        <f>INDEX(Data!$K$73:$T$100,MATCH('RFPR cover'!$C$5,Data!$B$73:$B$100,0),MATCH('R9 - RAV'!E$6,Data!$K$72:$T$72,0))</f>
        <v>2.3799999999999998E-2</v>
      </c>
      <c r="F40" s="409">
        <f>INDEX(Data!$K$73:$T$100,MATCH('RFPR cover'!$C$5,Data!$B$73:$B$100,0),MATCH('R9 - RAV'!F$6,Data!$K$72:$T$72,0))</f>
        <v>2.2200000000000001E-2</v>
      </c>
      <c r="G40" s="409">
        <f>INDEX(Data!$K$73:$T$100,MATCH('RFPR cover'!$C$5,Data!$B$73:$B$100,0),MATCH('R9 - RAV'!G$6,Data!$K$72:$T$72,0))</f>
        <v>1.9099999999999999E-2</v>
      </c>
      <c r="H40" s="409">
        <f>INDEX(Data!$K$73:$T$100,MATCH('RFPR cover'!$C$5,Data!$B$73:$B$100,0),MATCH('R9 - RAV'!H$6,Data!$K$72:$T$72,0))</f>
        <v>1.5800000000000002E-2</v>
      </c>
      <c r="I40" s="409">
        <f>INDEX(Data!$K$73:$T$100,MATCH('RFPR cover'!$C$5,Data!$B$73:$B$100,0),MATCH('R9 - RAV'!I$6,Data!$K$72:$T$72,0))</f>
        <v>1.09E-2</v>
      </c>
      <c r="J40" s="409">
        <f>INDEX(Data!$K$73:$T$100,MATCH('RFPR cover'!$C$5,Data!$B$73:$B$100,0),MATCH('R9 - RAV'!J$6,Data!$K$72:$T$72,0))</f>
        <v>7.6E-3</v>
      </c>
      <c r="K40" s="410">
        <f>INDEX(Data!$K$73:$T$100,MATCH('RFPR cover'!$C$5,Data!$B$73:$B$100,0),MATCH('R9 - RAV'!K$6,Data!$K$72:$T$72,0))</f>
        <v>4.4000000000000003E-3</v>
      </c>
      <c r="N40" s="129"/>
    </row>
    <row r="41" spans="2:14" s="2" customFormat="1">
      <c r="B41" s="506" t="s">
        <v>338</v>
      </c>
      <c r="C41" s="210" t="s">
        <v>340</v>
      </c>
      <c r="D41" s="411">
        <f>'RFPR cover'!$C$10</f>
        <v>6.4000000000000001E-2</v>
      </c>
      <c r="E41" s="412">
        <f>'RFPR cover'!$C$10</f>
        <v>6.4000000000000001E-2</v>
      </c>
      <c r="F41" s="412">
        <f>'RFPR cover'!$C$10</f>
        <v>6.4000000000000001E-2</v>
      </c>
      <c r="G41" s="412">
        <f>'RFPR cover'!$C$10</f>
        <v>6.4000000000000001E-2</v>
      </c>
      <c r="H41" s="412">
        <f>'RFPR cover'!$C$10</f>
        <v>6.4000000000000001E-2</v>
      </c>
      <c r="I41" s="412">
        <f>'RFPR cover'!$C$10</f>
        <v>6.4000000000000001E-2</v>
      </c>
      <c r="J41" s="412">
        <f>'RFPR cover'!$C$10</f>
        <v>6.4000000000000001E-2</v>
      </c>
      <c r="K41" s="413">
        <f>'RFPR cover'!$C$10</f>
        <v>6.4000000000000001E-2</v>
      </c>
      <c r="N41" s="129"/>
    </row>
    <row r="42" spans="2:14" s="2" customFormat="1">
      <c r="B42" s="506" t="s">
        <v>339</v>
      </c>
      <c r="C42" s="210" t="s">
        <v>7</v>
      </c>
      <c r="D42" s="414">
        <f>'RFPR cover'!$C$12</f>
        <v>0.65</v>
      </c>
      <c r="E42" s="415">
        <f>'RFPR cover'!$C$12</f>
        <v>0.65</v>
      </c>
      <c r="F42" s="415">
        <f>'RFPR cover'!$C$12</f>
        <v>0.65</v>
      </c>
      <c r="G42" s="415">
        <f>'RFPR cover'!$C$12</f>
        <v>0.65</v>
      </c>
      <c r="H42" s="415">
        <f>'RFPR cover'!$C$12</f>
        <v>0.65</v>
      </c>
      <c r="I42" s="415">
        <f>'RFPR cover'!$C$12</f>
        <v>0.65</v>
      </c>
      <c r="J42" s="415">
        <f>'RFPR cover'!$C$12</f>
        <v>0.65</v>
      </c>
      <c r="K42" s="416">
        <f>'RFPR cover'!$C$12</f>
        <v>0.65</v>
      </c>
      <c r="N42" s="129"/>
    </row>
    <row r="43" spans="2:14">
      <c r="B43" s="200" t="s">
        <v>273</v>
      </c>
      <c r="C43" s="396" t="s">
        <v>340</v>
      </c>
      <c r="D43" s="405">
        <f t="shared" ref="D43:K43" si="9">D40*D42+D41*(1-D42)</f>
        <v>3.8974999999999996E-2</v>
      </c>
      <c r="E43" s="406">
        <f t="shared" si="9"/>
        <v>3.7870000000000001E-2</v>
      </c>
      <c r="F43" s="406">
        <f t="shared" si="9"/>
        <v>3.6830000000000002E-2</v>
      </c>
      <c r="G43" s="406">
        <f t="shared" si="9"/>
        <v>3.4814999999999999E-2</v>
      </c>
      <c r="H43" s="406">
        <f t="shared" si="9"/>
        <v>3.2670000000000005E-2</v>
      </c>
      <c r="I43" s="406">
        <f t="shared" si="9"/>
        <v>2.9485000000000001E-2</v>
      </c>
      <c r="J43" s="406">
        <f t="shared" si="9"/>
        <v>2.734E-2</v>
      </c>
      <c r="K43" s="407">
        <f t="shared" si="9"/>
        <v>2.5260000000000001E-2</v>
      </c>
      <c r="L43" s="211"/>
    </row>
    <row r="44" spans="2:14">
      <c r="C44" s="223"/>
      <c r="D44" s="218"/>
      <c r="E44" s="218"/>
      <c r="F44" s="218"/>
      <c r="G44" s="218"/>
      <c r="H44" s="218"/>
      <c r="I44" s="218"/>
      <c r="J44" s="218"/>
      <c r="K44" s="218"/>
    </row>
    <row r="45" spans="2:14">
      <c r="B45" s="371" t="s">
        <v>341</v>
      </c>
      <c r="C45" s="396" t="str">
        <f>'RFPR cover'!$C$14</f>
        <v>£m 12/13</v>
      </c>
      <c r="D45" s="95">
        <f t="shared" ref="D45:K45" si="10">D47*D42</f>
        <v>788.03235189334362</v>
      </c>
      <c r="E45" s="96">
        <f t="shared" si="10"/>
        <v>827.23061808799173</v>
      </c>
      <c r="F45" s="96">
        <f t="shared" si="10"/>
        <v>862.22624252220021</v>
      </c>
      <c r="G45" s="96">
        <f t="shared" si="10"/>
        <v>892.98868104612245</v>
      </c>
      <c r="H45" s="96">
        <f t="shared" si="10"/>
        <v>924.85474845731619</v>
      </c>
      <c r="I45" s="96">
        <f t="shared" si="10"/>
        <v>956.23976616069126</v>
      </c>
      <c r="J45" s="96">
        <f t="shared" si="10"/>
        <v>992.05782593720426</v>
      </c>
      <c r="K45" s="97">
        <f t="shared" si="10"/>
        <v>1035.022472523935</v>
      </c>
    </row>
    <row r="46" spans="2:14">
      <c r="B46" s="371" t="s">
        <v>232</v>
      </c>
      <c r="C46" s="396" t="str">
        <f>'RFPR cover'!$C$14</f>
        <v>£m 12/13</v>
      </c>
      <c r="D46" s="521">
        <f t="shared" ref="D46:K46" si="11">D47*(1-D42)</f>
        <v>424.32511255795418</v>
      </c>
      <c r="E46" s="522">
        <f t="shared" si="11"/>
        <v>445.43187127814934</v>
      </c>
      <c r="F46" s="522">
        <f t="shared" si="11"/>
        <v>464.27566905041544</v>
      </c>
      <c r="G46" s="522">
        <f t="shared" si="11"/>
        <v>480.84005902483511</v>
      </c>
      <c r="H46" s="522">
        <f t="shared" si="11"/>
        <v>497.99871070778562</v>
      </c>
      <c r="I46" s="522">
        <f t="shared" si="11"/>
        <v>514.89833562498757</v>
      </c>
      <c r="J46" s="522">
        <f t="shared" si="11"/>
        <v>534.18498319695607</v>
      </c>
      <c r="K46" s="523">
        <f t="shared" si="11"/>
        <v>557.31979289750348</v>
      </c>
    </row>
    <row r="47" spans="2:14">
      <c r="B47" s="200" t="s">
        <v>231</v>
      </c>
      <c r="C47" s="210" t="str">
        <f>'RFPR cover'!$C$14</f>
        <v>£m 12/13</v>
      </c>
      <c r="D47" s="102">
        <f t="shared" ref="D47:K47" si="12">AVERAGE(D16,D29*(1/(1+D43)))</f>
        <v>1212.3574644512978</v>
      </c>
      <c r="E47" s="103">
        <f t="shared" si="12"/>
        <v>1272.662489366141</v>
      </c>
      <c r="F47" s="103">
        <f t="shared" si="12"/>
        <v>1326.5019115726157</v>
      </c>
      <c r="G47" s="103">
        <f t="shared" si="12"/>
        <v>1373.8287400709576</v>
      </c>
      <c r="H47" s="103">
        <f t="shared" si="12"/>
        <v>1422.8534591651019</v>
      </c>
      <c r="I47" s="103">
        <f t="shared" si="12"/>
        <v>1471.1381017856788</v>
      </c>
      <c r="J47" s="103">
        <f t="shared" si="12"/>
        <v>1526.2428091341603</v>
      </c>
      <c r="K47" s="104">
        <f t="shared" si="12"/>
        <v>1592.3422654214385</v>
      </c>
      <c r="N47" s="214"/>
    </row>
    <row r="48" spans="2:14">
      <c r="B48" s="200"/>
      <c r="C48" s="210"/>
      <c r="D48" s="210"/>
      <c r="E48" s="210"/>
      <c r="F48" s="210"/>
      <c r="G48" s="210"/>
      <c r="H48" s="210"/>
      <c r="I48" s="210"/>
      <c r="J48" s="210"/>
      <c r="K48" s="210"/>
      <c r="N48" s="214"/>
    </row>
    <row r="49" spans="2:14">
      <c r="B49" s="371" t="s">
        <v>342</v>
      </c>
      <c r="C49" s="396" t="str">
        <f>'RFPR cover'!$C$14</f>
        <v>£m 12/13</v>
      </c>
      <c r="D49" s="730">
        <f>D40*D45</f>
        <v>20.094824973280261</v>
      </c>
      <c r="E49" s="731">
        <f t="shared" ref="D49:K50" si="13">E40*E45</f>
        <v>19.688088710494203</v>
      </c>
      <c r="F49" s="731">
        <f t="shared" si="13"/>
        <v>19.141422583992846</v>
      </c>
      <c r="G49" s="731">
        <f t="shared" si="13"/>
        <v>17.056083807980936</v>
      </c>
      <c r="H49" s="731">
        <f t="shared" si="13"/>
        <v>14.612705025625598</v>
      </c>
      <c r="I49" s="731">
        <f t="shared" si="13"/>
        <v>10.423013451151535</v>
      </c>
      <c r="J49" s="731">
        <f t="shared" si="13"/>
        <v>7.5396394771227522</v>
      </c>
      <c r="K49" s="732">
        <f t="shared" si="13"/>
        <v>4.5540988791053145</v>
      </c>
    </row>
    <row r="50" spans="2:14">
      <c r="B50" s="371" t="s">
        <v>229</v>
      </c>
      <c r="C50" s="396" t="str">
        <f>'RFPR cover'!$C$14</f>
        <v>£m 12/13</v>
      </c>
      <c r="D50" s="92">
        <f t="shared" si="13"/>
        <v>27.156807203709068</v>
      </c>
      <c r="E50" s="93">
        <f t="shared" si="13"/>
        <v>28.50763976180156</v>
      </c>
      <c r="F50" s="93">
        <f t="shared" si="13"/>
        <v>29.713642819226589</v>
      </c>
      <c r="G50" s="93">
        <f t="shared" si="13"/>
        <v>30.773763777589448</v>
      </c>
      <c r="H50" s="93">
        <f t="shared" si="13"/>
        <v>31.87191748529828</v>
      </c>
      <c r="I50" s="93">
        <f t="shared" si="13"/>
        <v>32.953493479999203</v>
      </c>
      <c r="J50" s="93">
        <f t="shared" si="13"/>
        <v>34.187838924605188</v>
      </c>
      <c r="K50" s="94">
        <f t="shared" si="13"/>
        <v>35.66846674544022</v>
      </c>
      <c r="N50" s="214"/>
    </row>
    <row r="51" spans="2:14">
      <c r="B51" s="200" t="s">
        <v>344</v>
      </c>
      <c r="C51" s="396" t="str">
        <f>'RFPR cover'!$C$14</f>
        <v>£m 12/13</v>
      </c>
      <c r="D51" s="102">
        <f>SUM(D49:D50)</f>
        <v>47.251632176989332</v>
      </c>
      <c r="E51" s="103">
        <f t="shared" ref="E51:K51" si="14">SUM(E49:E50)</f>
        <v>48.195728472295762</v>
      </c>
      <c r="F51" s="103">
        <f t="shared" si="14"/>
        <v>48.855065403219434</v>
      </c>
      <c r="G51" s="103">
        <f t="shared" si="14"/>
        <v>47.829847585570384</v>
      </c>
      <c r="H51" s="103">
        <f t="shared" si="14"/>
        <v>46.484622510923877</v>
      </c>
      <c r="I51" s="103">
        <f t="shared" si="14"/>
        <v>43.376506931150736</v>
      </c>
      <c r="J51" s="103">
        <f t="shared" si="14"/>
        <v>41.727478401727943</v>
      </c>
      <c r="K51" s="104">
        <f t="shared" si="14"/>
        <v>40.222565624545538</v>
      </c>
      <c r="N51" s="214"/>
    </row>
    <row r="53" spans="2:14" s="31" customFormat="1">
      <c r="B53" s="371" t="s">
        <v>341</v>
      </c>
      <c r="C53" s="266" t="s">
        <v>128</v>
      </c>
      <c r="D53" s="95">
        <f t="shared" ref="D53:K54" si="15">D$35*D45</f>
        <v>835.5638996576921</v>
      </c>
      <c r="E53" s="96">
        <f t="shared" si="15"/>
        <v>895.92110329364721</v>
      </c>
      <c r="F53" s="96">
        <f t="shared" si="15"/>
        <v>968.7662894831634</v>
      </c>
      <c r="G53" s="96">
        <f t="shared" si="15"/>
        <v>1033.987278021109</v>
      </c>
      <c r="H53" s="96">
        <f t="shared" si="15"/>
        <v>1098.606861351308</v>
      </c>
      <c r="I53" s="96">
        <f t="shared" si="15"/>
        <v>1149.6645889126066</v>
      </c>
      <c r="J53" s="96">
        <f t="shared" si="15"/>
        <v>1224.3350867732909</v>
      </c>
      <c r="K53" s="97">
        <f t="shared" si="15"/>
        <v>1316.6381385921416</v>
      </c>
      <c r="L53" s="234"/>
      <c r="N53" s="212"/>
    </row>
    <row r="54" spans="2:14" s="31" customFormat="1">
      <c r="B54" s="371" t="s">
        <v>232</v>
      </c>
      <c r="C54" s="266" t="s">
        <v>128</v>
      </c>
      <c r="D54" s="521">
        <f t="shared" si="15"/>
        <v>449.91902289260332</v>
      </c>
      <c r="E54" s="522">
        <f t="shared" si="15"/>
        <v>482.41905561965615</v>
      </c>
      <c r="F54" s="522">
        <f t="shared" si="15"/>
        <v>521.64338664478021</v>
      </c>
      <c r="G54" s="522">
        <f t="shared" si="15"/>
        <v>556.76238047290474</v>
      </c>
      <c r="H54" s="522">
        <f t="shared" si="15"/>
        <v>591.55754072762738</v>
      </c>
      <c r="I54" s="522">
        <f t="shared" si="15"/>
        <v>619.05016326063435</v>
      </c>
      <c r="J54" s="522">
        <f t="shared" si="15"/>
        <v>659.25735441638733</v>
      </c>
      <c r="K54" s="523">
        <f t="shared" si="15"/>
        <v>708.95899770346091</v>
      </c>
      <c r="L54" s="234"/>
      <c r="N54" s="212"/>
    </row>
    <row r="55" spans="2:14">
      <c r="B55" s="200" t="s">
        <v>343</v>
      </c>
      <c r="C55" s="266" t="s">
        <v>128</v>
      </c>
      <c r="D55" s="733">
        <f>SUM(D53:D54)</f>
        <v>1285.4829225502954</v>
      </c>
      <c r="E55" s="734">
        <f t="shared" ref="E55:K55" si="16">SUM(E53:E54)</f>
        <v>1378.3401589133034</v>
      </c>
      <c r="F55" s="734">
        <f t="shared" si="16"/>
        <v>1490.4096761279436</v>
      </c>
      <c r="G55" s="734">
        <f t="shared" si="16"/>
        <v>1590.7496584940136</v>
      </c>
      <c r="H55" s="734">
        <f t="shared" si="16"/>
        <v>1690.1644020789354</v>
      </c>
      <c r="I55" s="734">
        <f t="shared" si="16"/>
        <v>1768.7147521732409</v>
      </c>
      <c r="J55" s="734">
        <f t="shared" si="16"/>
        <v>1883.5924411896781</v>
      </c>
      <c r="K55" s="735">
        <f t="shared" si="16"/>
        <v>2025.5971362956025</v>
      </c>
    </row>
    <row r="56" spans="2:14" s="31" customFormat="1">
      <c r="B56" s="200"/>
      <c r="C56" s="210"/>
      <c r="D56" s="210"/>
      <c r="E56" s="210"/>
      <c r="F56" s="210"/>
      <c r="G56" s="210"/>
      <c r="H56" s="210"/>
      <c r="I56" s="210"/>
      <c r="J56" s="210"/>
      <c r="K56" s="210"/>
      <c r="L56" s="234"/>
      <c r="N56" s="212"/>
    </row>
    <row r="57" spans="2:14" s="31" customFormat="1">
      <c r="B57" s="371" t="s">
        <v>342</v>
      </c>
      <c r="C57" s="266" t="s">
        <v>128</v>
      </c>
      <c r="D57" s="95">
        <f t="shared" ref="D57:K58" si="17">D$35*D49</f>
        <v>21.306879441271146</v>
      </c>
      <c r="E57" s="96">
        <f t="shared" si="17"/>
        <v>21.322922258388804</v>
      </c>
      <c r="F57" s="96">
        <f t="shared" si="17"/>
        <v>21.506611626526229</v>
      </c>
      <c r="G57" s="96">
        <f t="shared" si="17"/>
        <v>19.749157010203177</v>
      </c>
      <c r="H57" s="96">
        <f t="shared" si="17"/>
        <v>17.357988409350668</v>
      </c>
      <c r="I57" s="96">
        <f t="shared" si="17"/>
        <v>12.531344019147413</v>
      </c>
      <c r="J57" s="96">
        <f t="shared" si="17"/>
        <v>9.3049466594770109</v>
      </c>
      <c r="K57" s="97">
        <f t="shared" si="17"/>
        <v>5.7932078098054234</v>
      </c>
      <c r="L57" s="234"/>
      <c r="N57" s="212"/>
    </row>
    <row r="58" spans="2:14">
      <c r="B58" s="371" t="s">
        <v>238</v>
      </c>
      <c r="C58" s="266" t="s">
        <v>128</v>
      </c>
      <c r="D58" s="736">
        <f t="shared" si="17"/>
        <v>28.794817465126613</v>
      </c>
      <c r="E58" s="737">
        <f t="shared" si="17"/>
        <v>30.874819559657993</v>
      </c>
      <c r="F58" s="737">
        <f t="shared" si="17"/>
        <v>33.385176745265937</v>
      </c>
      <c r="G58" s="737">
        <f t="shared" si="17"/>
        <v>35.632792350265909</v>
      </c>
      <c r="H58" s="737">
        <f t="shared" si="17"/>
        <v>37.85968260656815</v>
      </c>
      <c r="I58" s="737">
        <f t="shared" si="17"/>
        <v>39.619210448680597</v>
      </c>
      <c r="J58" s="737">
        <f t="shared" si="17"/>
        <v>42.192470682648789</v>
      </c>
      <c r="K58" s="738">
        <f t="shared" si="17"/>
        <v>45.373375853021493</v>
      </c>
    </row>
    <row r="59" spans="2:14">
      <c r="B59" s="200" t="s">
        <v>344</v>
      </c>
      <c r="C59" s="266" t="s">
        <v>128</v>
      </c>
      <c r="D59" s="102">
        <f t="shared" ref="D59:K59" si="18">SUM(D57:D58)</f>
        <v>50.101696906397763</v>
      </c>
      <c r="E59" s="103">
        <f t="shared" si="18"/>
        <v>52.197741818046794</v>
      </c>
      <c r="F59" s="103">
        <f t="shared" si="18"/>
        <v>54.891788371792167</v>
      </c>
      <c r="G59" s="103">
        <f t="shared" si="18"/>
        <v>55.381949360469086</v>
      </c>
      <c r="H59" s="103">
        <f t="shared" si="18"/>
        <v>55.217671015918818</v>
      </c>
      <c r="I59" s="103">
        <f t="shared" si="18"/>
        <v>52.150554467828009</v>
      </c>
      <c r="J59" s="103">
        <f t="shared" si="18"/>
        <v>51.4974173421258</v>
      </c>
      <c r="K59" s="104">
        <f t="shared" si="18"/>
        <v>51.166583662826916</v>
      </c>
    </row>
    <row r="60" spans="2:14">
      <c r="B60" s="14"/>
      <c r="C60" s="235"/>
      <c r="D60" s="235"/>
      <c r="E60" s="235"/>
      <c r="F60" s="235"/>
      <c r="G60" s="235"/>
      <c r="H60" s="235"/>
      <c r="I60" s="235"/>
      <c r="J60" s="235"/>
      <c r="K60" s="235"/>
    </row>
    <row r="61" spans="2:14">
      <c r="B61" s="14"/>
      <c r="C61" s="235"/>
      <c r="D61" s="235"/>
      <c r="E61" s="235"/>
      <c r="F61" s="235"/>
      <c r="G61" s="235"/>
      <c r="H61" s="235"/>
      <c r="I61" s="235"/>
      <c r="J61" s="235"/>
      <c r="K61" s="235"/>
    </row>
    <row r="62" spans="2:14">
      <c r="B62" s="14"/>
      <c r="C62" s="235"/>
      <c r="D62" s="235"/>
      <c r="E62" s="235"/>
      <c r="F62" s="235"/>
      <c r="G62" s="235"/>
      <c r="H62" s="235"/>
      <c r="I62" s="235"/>
      <c r="J62" s="235"/>
      <c r="K62" s="235"/>
    </row>
    <row r="63" spans="2:14">
      <c r="B63" s="14"/>
      <c r="C63" s="235"/>
      <c r="D63" s="235"/>
      <c r="E63" s="235"/>
      <c r="F63" s="235"/>
      <c r="G63" s="235"/>
      <c r="H63" s="235"/>
      <c r="I63" s="235"/>
      <c r="J63" s="235"/>
      <c r="K63" s="235"/>
    </row>
  </sheetData>
  <conditionalFormatting sqref="D6:K6">
    <cfRule type="expression" dxfId="34" priority="13">
      <formula>AND(D$5="Actuals",E$5="Forecast")</formula>
    </cfRule>
  </conditionalFormatting>
  <conditionalFormatting sqref="D5:K5">
    <cfRule type="expression" dxfId="33"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95.453125" customWidth="1"/>
    <col min="3" max="3" width="14.08984375" customWidth="1"/>
    <col min="4" max="11" width="11.08984375" customWidth="1"/>
    <col min="12" max="12" width="5" customWidth="1"/>
  </cols>
  <sheetData>
    <row r="1" spans="1:13" s="31" customFormat="1" ht="21">
      <c r="A1" s="923" t="s">
        <v>261</v>
      </c>
      <c r="B1" s="919"/>
      <c r="C1" s="256"/>
      <c r="D1" s="256"/>
      <c r="E1" s="256"/>
      <c r="F1" s="256"/>
      <c r="G1" s="256"/>
      <c r="H1" s="256"/>
      <c r="I1" s="257"/>
      <c r="J1" s="257"/>
      <c r="K1" s="258"/>
      <c r="L1" s="259"/>
    </row>
    <row r="2" spans="1:13" s="31" customFormat="1" ht="21">
      <c r="A2" s="912" t="str">
        <f>'RFPR cover'!C5</f>
        <v>WPD-SWEST</v>
      </c>
      <c r="B2" s="904"/>
      <c r="C2" s="29"/>
      <c r="D2" s="29"/>
      <c r="E2" s="29"/>
      <c r="F2" s="29"/>
      <c r="G2" s="29"/>
      <c r="H2" s="29"/>
      <c r="I2" s="27"/>
      <c r="J2" s="27"/>
      <c r="K2" s="27"/>
      <c r="L2" s="123"/>
    </row>
    <row r="3" spans="1:13" s="31" customFormat="1" ht="21">
      <c r="A3" s="915">
        <f>'RFPR cover'!C7</f>
        <v>2021</v>
      </c>
      <c r="B3" s="922"/>
      <c r="C3" s="260"/>
      <c r="D3" s="260"/>
      <c r="E3" s="260"/>
      <c r="F3" s="260"/>
      <c r="G3" s="260"/>
      <c r="H3" s="260"/>
      <c r="I3" s="255"/>
      <c r="J3" s="255"/>
      <c r="K3" s="255"/>
      <c r="L3" s="261"/>
    </row>
    <row r="4" spans="1:13" s="31" customFormat="1" ht="12.75" customHeight="1">
      <c r="A4" s="262"/>
      <c r="B4" s="263"/>
      <c r="C4" s="262"/>
      <c r="D4" s="262"/>
      <c r="E4" s="262"/>
      <c r="F4" s="262"/>
      <c r="G4" s="262"/>
      <c r="H4" s="262"/>
      <c r="I4" s="264"/>
      <c r="J4" s="264"/>
      <c r="K4" s="264"/>
      <c r="L4" s="265"/>
      <c r="M4" s="263"/>
    </row>
    <row r="5" spans="1:13" s="2" customFormat="1">
      <c r="B5" s="3"/>
      <c r="C5" s="3"/>
      <c r="D5" s="389" t="str">
        <f>IF(D6&lt;=('RFPR cover'!$C$7-1),"Actuals","Forecast")</f>
        <v>Actuals</v>
      </c>
      <c r="E5" s="389" t="str">
        <f>IF(E6&lt;=('RFPR cover'!$C$7-1),"Actuals","Forecast")</f>
        <v>Actuals</v>
      </c>
      <c r="F5" s="389" t="str">
        <f>IF(F6&lt;=('RFPR cover'!$C$7-1),"Actuals","Forecast")</f>
        <v>Actuals</v>
      </c>
      <c r="G5" s="389" t="str">
        <f>IF(G6&lt;=('RFPR cover'!$C$7-1),"Actuals","Forecast")</f>
        <v>Actuals</v>
      </c>
      <c r="H5" s="389" t="str">
        <f>IF(H6&lt;=('RFPR cover'!$C$7-1),"Actuals","Forecast")</f>
        <v>Actuals</v>
      </c>
      <c r="I5" s="389" t="str">
        <f>IF(I6&lt;=('RFPR cover'!$C$7-1),"Actuals","Forecast")</f>
        <v>Forecast</v>
      </c>
      <c r="J5" s="389" t="str">
        <f>IF(J6&lt;=('RFPR cover'!$C$7-1),"Actuals","Forecast")</f>
        <v>Forecast</v>
      </c>
      <c r="K5" s="389" t="str">
        <f>IF(K6&lt;=('RFPR cover'!$C$7-1),"Actuals","Forecast")</f>
        <v>Forecast</v>
      </c>
    </row>
    <row r="6" spans="1:13"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3" s="35" customFormat="1">
      <c r="D7" s="429"/>
      <c r="E7" s="429"/>
      <c r="F7" s="429"/>
      <c r="G7" s="429"/>
      <c r="H7" s="429"/>
      <c r="I7" s="429"/>
      <c r="J7" s="429"/>
      <c r="K7" s="429"/>
    </row>
    <row r="8" spans="1:13" s="2" customFormat="1">
      <c r="B8" s="368" t="s">
        <v>364</v>
      </c>
      <c r="C8" s="293"/>
      <c r="D8" s="293"/>
      <c r="E8" s="293"/>
      <c r="F8" s="293"/>
      <c r="G8" s="293"/>
      <c r="H8" s="293"/>
      <c r="I8" s="293"/>
      <c r="J8" s="293"/>
      <c r="K8" s="293"/>
      <c r="L8" s="293"/>
    </row>
    <row r="9" spans="1:13" s="2" customFormat="1">
      <c r="B9" s="368" t="s">
        <v>469</v>
      </c>
      <c r="C9" s="293"/>
      <c r="D9" s="293"/>
      <c r="E9" s="293"/>
      <c r="F9" s="293"/>
      <c r="G9" s="293"/>
      <c r="H9" s="293"/>
      <c r="I9" s="293"/>
      <c r="J9" s="293"/>
      <c r="K9" s="293"/>
      <c r="L9" s="293"/>
    </row>
    <row r="10" spans="1:13" s="2" customFormat="1">
      <c r="B10" s="368" t="s">
        <v>365</v>
      </c>
      <c r="C10" s="293"/>
      <c r="D10" s="293"/>
      <c r="E10" s="293"/>
      <c r="F10" s="293"/>
      <c r="G10" s="293"/>
      <c r="H10" s="293"/>
      <c r="I10" s="293"/>
      <c r="J10" s="293"/>
      <c r="K10" s="293"/>
      <c r="L10" s="293"/>
    </row>
    <row r="11" spans="1:13" s="35" customFormat="1">
      <c r="B11" s="428"/>
    </row>
    <row r="12" spans="1:13">
      <c r="B12" s="199" t="s">
        <v>532</v>
      </c>
      <c r="C12" s="266" t="s">
        <v>128</v>
      </c>
      <c r="D12" s="638">
        <v>14.369399999999992</v>
      </c>
      <c r="E12" s="638">
        <v>11.399199999999992</v>
      </c>
      <c r="F12" s="638">
        <v>30.141790000000004</v>
      </c>
      <c r="G12" s="638">
        <v>18.085720000000002</v>
      </c>
      <c r="H12" s="638">
        <v>18.699990000000003</v>
      </c>
      <c r="I12" s="639"/>
      <c r="J12" s="639"/>
      <c r="K12" s="640"/>
    </row>
    <row r="13" spans="1:13">
      <c r="B13" s="14"/>
      <c r="C13" s="14"/>
      <c r="D13" s="739"/>
      <c r="E13" s="739"/>
      <c r="F13" s="739"/>
      <c r="G13" s="739"/>
      <c r="H13" s="739"/>
      <c r="I13" s="739"/>
      <c r="J13" s="739"/>
      <c r="K13" s="739"/>
    </row>
    <row r="14" spans="1:13">
      <c r="B14" s="14" t="s">
        <v>468</v>
      </c>
      <c r="C14" s="266"/>
      <c r="D14" s="739"/>
      <c r="E14" s="739"/>
      <c r="F14" s="739"/>
      <c r="G14" s="739"/>
      <c r="H14" s="739"/>
      <c r="I14" s="739"/>
      <c r="J14" s="739"/>
      <c r="K14" s="739"/>
    </row>
    <row r="15" spans="1:13">
      <c r="B15" s="369" t="s">
        <v>490</v>
      </c>
      <c r="C15" s="266" t="s">
        <v>128</v>
      </c>
      <c r="D15" s="594"/>
      <c r="E15" s="595"/>
      <c r="F15" s="595"/>
      <c r="G15" s="595"/>
      <c r="H15" s="595"/>
      <c r="I15" s="595"/>
      <c r="J15" s="595"/>
      <c r="K15" s="605"/>
    </row>
    <row r="16" spans="1:13">
      <c r="B16" s="430" t="s">
        <v>632</v>
      </c>
      <c r="C16" s="266" t="s">
        <v>128</v>
      </c>
      <c r="D16" s="638">
        <v>1.0901086346622078</v>
      </c>
      <c r="E16" s="638">
        <v>1.0385060359552349</v>
      </c>
      <c r="F16" s="638">
        <v>0.84656829932026456</v>
      </c>
      <c r="G16" s="638">
        <v>0.84940058794815265</v>
      </c>
      <c r="H16" s="638">
        <v>0.81086398616797528</v>
      </c>
      <c r="I16" s="595"/>
      <c r="J16" s="595"/>
      <c r="K16" s="605"/>
    </row>
    <row r="17" spans="2:12">
      <c r="B17" s="430" t="s">
        <v>633</v>
      </c>
      <c r="C17" s="266" t="s">
        <v>128</v>
      </c>
      <c r="D17" s="638">
        <v>-0.35113880002194037</v>
      </c>
      <c r="E17" s="638">
        <v>-0.55957060746967591</v>
      </c>
      <c r="F17" s="638">
        <v>-0.29099211962829724</v>
      </c>
      <c r="G17" s="638">
        <v>-6.8830073189457677E-2</v>
      </c>
      <c r="H17" s="638">
        <v>4.488565645724623E-2</v>
      </c>
      <c r="I17" s="595"/>
      <c r="J17" s="595"/>
      <c r="K17" s="605"/>
    </row>
    <row r="18" spans="2:12">
      <c r="B18" s="430" t="s">
        <v>142</v>
      </c>
      <c r="C18" s="266" t="s">
        <v>128</v>
      </c>
      <c r="D18" s="638">
        <v>0.24827717116580683</v>
      </c>
      <c r="E18" s="638">
        <v>0.23281211217444264</v>
      </c>
      <c r="F18" s="638">
        <v>8.2514469966497625E-2</v>
      </c>
      <c r="G18" s="638">
        <v>4.6331505018872822E-2</v>
      </c>
      <c r="H18" s="638">
        <v>-5.8168532398328802E-2</v>
      </c>
      <c r="I18" s="595"/>
      <c r="J18" s="595"/>
      <c r="K18" s="605"/>
    </row>
    <row r="19" spans="2:12">
      <c r="B19" s="268" t="s">
        <v>366</v>
      </c>
      <c r="C19" s="266" t="s">
        <v>128</v>
      </c>
      <c r="D19" s="740">
        <f>SUM(D15:D18)</f>
        <v>0.98724700580607416</v>
      </c>
      <c r="E19" s="741">
        <f t="shared" ref="E19:K19" si="1">SUM(E15:E18)</f>
        <v>0.71174754066000168</v>
      </c>
      <c r="F19" s="741">
        <f t="shared" si="1"/>
        <v>0.63809064965846496</v>
      </c>
      <c r="G19" s="741">
        <f t="shared" si="1"/>
        <v>0.82690201977756783</v>
      </c>
      <c r="H19" s="741">
        <f t="shared" si="1"/>
        <v>0.79758111022689271</v>
      </c>
      <c r="I19" s="741">
        <f t="shared" si="1"/>
        <v>0</v>
      </c>
      <c r="J19" s="741">
        <f t="shared" si="1"/>
        <v>0</v>
      </c>
      <c r="K19" s="742">
        <f t="shared" si="1"/>
        <v>0</v>
      </c>
    </row>
    <row r="20" spans="2:12" s="31" customFormat="1">
      <c r="B20" s="369"/>
      <c r="C20" s="369"/>
      <c r="D20" s="743"/>
      <c r="E20" s="743"/>
      <c r="F20" s="743"/>
      <c r="G20" s="743"/>
      <c r="H20" s="743"/>
      <c r="I20" s="743"/>
      <c r="J20" s="743"/>
      <c r="K20" s="743"/>
      <c r="L20" s="369"/>
    </row>
    <row r="21" spans="2:12">
      <c r="B21" s="14" t="s">
        <v>333</v>
      </c>
      <c r="C21" s="266"/>
      <c r="D21" s="744"/>
      <c r="E21" s="744"/>
      <c r="F21" s="744"/>
      <c r="G21" s="744"/>
      <c r="H21" s="744"/>
      <c r="I21" s="744"/>
      <c r="J21" s="744"/>
      <c r="K21" s="744"/>
      <c r="L21" s="266"/>
    </row>
    <row r="22" spans="2:12">
      <c r="B22" s="369" t="s">
        <v>491</v>
      </c>
      <c r="C22" s="266" t="s">
        <v>128</v>
      </c>
      <c r="D22" s="857">
        <f>('R5 - Output Incentives'!D102)*INDEX(Data!$G$14:$G$30,MATCH('R10 - Tax'!D$6,Data!$C$14:$C$30,0),1)</f>
        <v>1.459196167023</v>
      </c>
      <c r="E22" s="858">
        <f>('R5 - Output Incentives'!E102)*INDEX(Data!$G$14:$G$30,MATCH('R10 - Tax'!E$6,Data!$C$14:$C$30,0),1)</f>
        <v>1.5955874913953982</v>
      </c>
      <c r="F22" s="858">
        <f>('R5 - Output Incentives'!F102)*INDEX(Data!$G$14:$G$30,MATCH('R10 - Tax'!F$6,Data!$C$14:$C$30,0),1)</f>
        <v>2.1007627333178029</v>
      </c>
      <c r="G22" s="858">
        <f>('R5 - Output Incentives'!G102)*INDEX(Data!$G$14:$G$30,MATCH('R10 - Tax'!G$6,Data!$C$14:$C$30,0),1)</f>
        <v>1.7800761763358763</v>
      </c>
      <c r="H22" s="860">
        <f>('R5 - Output Incentives'!H102)*INDEX(Data!$G$14:$G$30,MATCH('R10 - Tax'!H$6,Data!$C$14:$C$30,0),1)</f>
        <v>0.98831240414770793</v>
      </c>
      <c r="I22" s="860">
        <f>('R5 - Output Incentives'!I102)*INDEX(Data!$G$14:$G$30,MATCH('R10 - Tax'!I$6,Data!$C$14:$C$30,0),1)</f>
        <v>1.9372692558782176</v>
      </c>
      <c r="J22" s="860">
        <f>('R5 - Output Incentives'!J102)*INDEX(Data!$G$14:$G$30,MATCH('R10 - Tax'!J$6,Data!$C$14:$C$30,0),1)</f>
        <v>2.5568106397324604</v>
      </c>
      <c r="K22" s="861">
        <f>('R5 - Output Incentives'!K102)*INDEX(Data!$G$14:$G$30,MATCH('R10 - Tax'!K$6,Data!$C$14:$C$30,0),1)</f>
        <v>1.3859548152905714</v>
      </c>
    </row>
    <row r="23" spans="2:12">
      <c r="B23" s="369" t="s">
        <v>492</v>
      </c>
      <c r="C23" s="266" t="s">
        <v>128</v>
      </c>
      <c r="D23" s="598">
        <f>('R4 - Totex'!D77-'R4 - Totex'!D79)*D40</f>
        <v>1.1401098647619827</v>
      </c>
      <c r="E23" s="600">
        <f>('R4 - Totex'!E77-'R4 - Totex'!E79)*E40</f>
        <v>1.1648269564822449</v>
      </c>
      <c r="F23" s="600">
        <f>('R4 - Totex'!F77-'R4 - Totex'!F79)*F40</f>
        <v>1.123276226405425</v>
      </c>
      <c r="G23" s="600">
        <f>('R4 - Totex'!G77-'R4 - Totex'!G79)*G40</f>
        <v>1.179387257949533</v>
      </c>
      <c r="H23" s="862">
        <f>('R4 - Totex'!H77-'R4 - Totex'!H79)*H40</f>
        <v>1.1886292968886352</v>
      </c>
      <c r="I23" s="862">
        <f>('R4 - Totex'!I77-'R4 - Totex'!I79)*I40</f>
        <v>1.2168870359220871</v>
      </c>
      <c r="J23" s="862">
        <f>('R4 - Totex'!J77-'R4 - Totex'!J79)*J40</f>
        <v>1.2480117056312459</v>
      </c>
      <c r="K23" s="863">
        <f>('R4 - Totex'!K77-'R4 - Totex'!K79)*K40</f>
        <v>1.3462462852696409</v>
      </c>
    </row>
    <row r="24" spans="2:12">
      <c r="B24" s="369" t="s">
        <v>493</v>
      </c>
      <c r="C24" s="266" t="s">
        <v>128</v>
      </c>
      <c r="D24" s="596">
        <v>-0.58316466921426247</v>
      </c>
      <c r="E24" s="596">
        <v>6.7675650604549382</v>
      </c>
      <c r="F24" s="596">
        <v>2.2451797052707918</v>
      </c>
      <c r="G24" s="596">
        <v>8.8472352399382004E-2</v>
      </c>
      <c r="H24" s="596">
        <v>-2.394178737811882</v>
      </c>
      <c r="I24" s="597"/>
      <c r="J24" s="597"/>
      <c r="K24" s="606"/>
    </row>
    <row r="25" spans="2:12">
      <c r="B25" s="369" t="s">
        <v>494</v>
      </c>
      <c r="C25" s="266" t="s">
        <v>128</v>
      </c>
      <c r="D25" s="596"/>
      <c r="E25" s="597"/>
      <c r="F25" s="597"/>
      <c r="G25" s="597"/>
      <c r="H25" s="597"/>
      <c r="I25" s="597"/>
      <c r="J25" s="597"/>
      <c r="K25" s="606"/>
    </row>
    <row r="26" spans="2:12">
      <c r="B26" s="369" t="s">
        <v>495</v>
      </c>
      <c r="C26" s="266" t="s">
        <v>128</v>
      </c>
      <c r="D26" s="596"/>
      <c r="E26" s="597"/>
      <c r="F26" s="597"/>
      <c r="G26" s="597"/>
      <c r="H26" s="597"/>
      <c r="I26" s="597"/>
      <c r="J26" s="597"/>
      <c r="K26" s="606"/>
    </row>
    <row r="27" spans="2:12">
      <c r="B27" s="369" t="s">
        <v>496</v>
      </c>
      <c r="C27" s="266" t="s">
        <v>128</v>
      </c>
      <c r="D27" s="596"/>
      <c r="E27" s="597"/>
      <c r="F27" s="597"/>
      <c r="G27" s="597"/>
      <c r="H27" s="597"/>
      <c r="I27" s="597"/>
      <c r="J27" s="597"/>
      <c r="K27" s="606"/>
    </row>
    <row r="28" spans="2:12">
      <c r="B28" s="369" t="s">
        <v>573</v>
      </c>
      <c r="C28" s="266" t="s">
        <v>128</v>
      </c>
      <c r="D28" s="596">
        <v>0.41614048384952984</v>
      </c>
      <c r="E28" s="596">
        <v>0.45659228890579429</v>
      </c>
      <c r="F28" s="596">
        <v>-1.0193793060725322</v>
      </c>
      <c r="G28" s="596">
        <v>-0.3705606609620975</v>
      </c>
      <c r="H28" s="596">
        <v>0.49359932770596826</v>
      </c>
      <c r="I28" s="597"/>
      <c r="J28" s="597"/>
      <c r="K28" s="606"/>
    </row>
    <row r="29" spans="2:12">
      <c r="B29" s="430" t="s">
        <v>634</v>
      </c>
      <c r="C29" s="266" t="s">
        <v>128</v>
      </c>
      <c r="D29" s="596">
        <v>1.4184140849061724</v>
      </c>
      <c r="E29" s="596">
        <v>0.2648970868648704</v>
      </c>
      <c r="F29" s="596">
        <v>-1.5094098896399155</v>
      </c>
      <c r="G29" s="596">
        <v>-0.18260263227987761</v>
      </c>
      <c r="H29" s="596">
        <v>0.79178752019184739</v>
      </c>
      <c r="I29" s="597"/>
      <c r="J29" s="597"/>
      <c r="K29" s="606"/>
    </row>
    <row r="30" spans="2:12">
      <c r="B30" s="430" t="s">
        <v>388</v>
      </c>
      <c r="C30" s="266" t="s">
        <v>128</v>
      </c>
      <c r="D30" s="596">
        <v>0.19487455592322478</v>
      </c>
      <c r="E30" s="596">
        <v>0.30740433087591157</v>
      </c>
      <c r="F30" s="596">
        <v>-3.1054663467904031E-2</v>
      </c>
      <c r="G30" s="596">
        <v>0.67735236586062753</v>
      </c>
      <c r="H30" s="596">
        <v>0.94225428338562534</v>
      </c>
      <c r="I30" s="597"/>
      <c r="J30" s="597"/>
      <c r="K30" s="606"/>
    </row>
    <row r="31" spans="2:12">
      <c r="B31" s="430" t="s">
        <v>587</v>
      </c>
      <c r="C31" s="266" t="s">
        <v>128</v>
      </c>
      <c r="D31" s="596">
        <v>-1.8809201851900483</v>
      </c>
      <c r="E31" s="596">
        <v>-0.38201713895261386</v>
      </c>
      <c r="F31" s="596">
        <v>0</v>
      </c>
      <c r="G31" s="596">
        <v>0</v>
      </c>
      <c r="H31" s="596">
        <v>0</v>
      </c>
      <c r="I31" s="597"/>
      <c r="J31" s="597"/>
      <c r="K31" s="606"/>
    </row>
    <row r="32" spans="2:12">
      <c r="B32" s="430" t="s">
        <v>635</v>
      </c>
      <c r="C32" s="266" t="s">
        <v>128</v>
      </c>
      <c r="D32" s="596">
        <v>0.82521640899108362</v>
      </c>
      <c r="E32" s="596">
        <v>0.86878635946403138</v>
      </c>
      <c r="F32" s="596">
        <v>0.8920797072718315</v>
      </c>
      <c r="G32" s="596">
        <v>0.96686924938480245</v>
      </c>
      <c r="H32" s="596">
        <v>1.047913543336789</v>
      </c>
      <c r="I32" s="597"/>
      <c r="J32" s="597"/>
      <c r="K32" s="606"/>
    </row>
    <row r="33" spans="2:13">
      <c r="B33" s="430" t="s">
        <v>636</v>
      </c>
      <c r="C33" s="266"/>
      <c r="D33" s="596">
        <v>0.11528749137871053</v>
      </c>
      <c r="E33" s="596">
        <v>-0.10946247293487724</v>
      </c>
      <c r="F33" s="596">
        <v>-0.10931128067340865</v>
      </c>
      <c r="G33" s="596">
        <v>-0.86493472718025177</v>
      </c>
      <c r="H33" s="596">
        <v>-1.0487970925724639</v>
      </c>
      <c r="I33" s="608"/>
      <c r="J33" s="608"/>
      <c r="K33" s="609"/>
    </row>
    <row r="34" spans="2:13">
      <c r="B34" s="430" t="s">
        <v>637</v>
      </c>
      <c r="C34" s="266" t="s">
        <v>128</v>
      </c>
      <c r="D34" s="607">
        <v>0</v>
      </c>
      <c r="E34" s="607">
        <v>-2.2313522533725045</v>
      </c>
      <c r="F34" s="607">
        <v>3.3553706302923119</v>
      </c>
      <c r="G34" s="607">
        <v>-0.42558126254799789</v>
      </c>
      <c r="H34" s="607">
        <v>-0.51055824704142017</v>
      </c>
      <c r="I34" s="608"/>
      <c r="J34" s="608"/>
      <c r="K34" s="609"/>
    </row>
    <row r="35" spans="2:13">
      <c r="B35" s="14" t="s">
        <v>177</v>
      </c>
      <c r="C35" s="266" t="s">
        <v>128</v>
      </c>
      <c r="D35" s="745">
        <f t="shared" ref="D35:K35" si="2">SUM(D22:D34)</f>
        <v>3.1051542024293921</v>
      </c>
      <c r="E35" s="746">
        <f t="shared" si="2"/>
        <v>8.7028277091831932</v>
      </c>
      <c r="F35" s="746">
        <f t="shared" si="2"/>
        <v>7.0475138627044043</v>
      </c>
      <c r="G35" s="746">
        <f t="shared" si="2"/>
        <v>2.8484781189599966</v>
      </c>
      <c r="H35" s="746">
        <f t="shared" si="2"/>
        <v>1.4989622982308073</v>
      </c>
      <c r="I35" s="746">
        <f t="shared" si="2"/>
        <v>3.1541562918003048</v>
      </c>
      <c r="J35" s="746">
        <f t="shared" si="2"/>
        <v>3.8048223453637062</v>
      </c>
      <c r="K35" s="747">
        <f t="shared" si="2"/>
        <v>2.7322011005602125</v>
      </c>
    </row>
    <row r="37" spans="2:13" ht="12.75" customHeight="1">
      <c r="B37" s="822" t="s">
        <v>503</v>
      </c>
      <c r="C37" s="266" t="s">
        <v>128</v>
      </c>
      <c r="D37" s="638"/>
      <c r="E37" s="638"/>
      <c r="F37" s="639"/>
      <c r="G37" s="639"/>
      <c r="H37" s="639"/>
      <c r="I37" s="591">
        <v>19.100607629184321</v>
      </c>
      <c r="J37" s="591">
        <v>6.3260914519162137</v>
      </c>
      <c r="K37" s="591">
        <v>2.732201100560216</v>
      </c>
    </row>
    <row r="38" spans="2:13" ht="12.75" customHeight="1">
      <c r="B38" s="822" t="s">
        <v>472</v>
      </c>
      <c r="C38" s="266" t="s">
        <v>128</v>
      </c>
      <c r="D38" s="745">
        <f t="shared" ref="D38:K38" si="3">D12+D37-D19-D35</f>
        <v>10.276998791764527</v>
      </c>
      <c r="E38" s="746">
        <f>E12+E37-E19-E35</f>
        <v>1.9846247501567973</v>
      </c>
      <c r="F38" s="746">
        <f>F12+F37-F19-F35</f>
        <v>22.456185487637136</v>
      </c>
      <c r="G38" s="746">
        <f>G12+G37-G19-G35</f>
        <v>14.41033986126244</v>
      </c>
      <c r="H38" s="746">
        <f t="shared" si="3"/>
        <v>16.403446591542302</v>
      </c>
      <c r="I38" s="746">
        <f t="shared" si="3"/>
        <v>15.946451337384016</v>
      </c>
      <c r="J38" s="746">
        <f t="shared" si="3"/>
        <v>2.5212691065525075</v>
      </c>
      <c r="K38" s="747">
        <f t="shared" si="3"/>
        <v>3.5527136788005009E-15</v>
      </c>
    </row>
    <row r="39" spans="2:13" ht="12.75" customHeight="1">
      <c r="B39" s="481"/>
      <c r="C39" s="266"/>
      <c r="D39" s="266"/>
      <c r="E39" s="266"/>
      <c r="F39" s="266"/>
      <c r="G39" s="266"/>
      <c r="H39" s="266"/>
      <c r="I39" s="266"/>
      <c r="J39" s="266"/>
      <c r="K39" s="266"/>
    </row>
    <row r="40" spans="2:13">
      <c r="B40" s="37" t="s">
        <v>480</v>
      </c>
      <c r="C40" s="267" t="s">
        <v>127</v>
      </c>
      <c r="D40" s="112">
        <f>Data!C$34</f>
        <v>1.0603167467048125</v>
      </c>
      <c r="E40" s="112">
        <f>Data!D$34</f>
        <v>1.0830366813119445</v>
      </c>
      <c r="F40" s="112">
        <f>Data!E$34</f>
        <v>1.1235639113109226</v>
      </c>
      <c r="G40" s="112">
        <f>Data!F$34</f>
        <v>1.1578951670583426</v>
      </c>
      <c r="H40" s="112">
        <f>Data!G$34</f>
        <v>1.1878696229692449</v>
      </c>
      <c r="I40" s="112">
        <f>Data!H$34</f>
        <v>1.2022764892203943</v>
      </c>
      <c r="J40" s="112">
        <f>Data!I$34</f>
        <v>1.2341368161847346</v>
      </c>
      <c r="K40" s="112">
        <f>Data!J$34</f>
        <v>1.2720865232824152</v>
      </c>
      <c r="L40" s="266"/>
    </row>
    <row r="41" spans="2:13">
      <c r="B41" s="199"/>
      <c r="C41" s="266"/>
      <c r="D41" s="266"/>
      <c r="E41" s="266"/>
      <c r="F41" s="266"/>
      <c r="G41" s="266"/>
      <c r="H41" s="266"/>
      <c r="I41" s="266"/>
      <c r="J41" s="266"/>
      <c r="K41" s="266"/>
    </row>
    <row r="42" spans="2:13">
      <c r="B42" s="543" t="s">
        <v>473</v>
      </c>
      <c r="C42" s="396" t="str">
        <f>'RFPR cover'!$C$14</f>
        <v>£m 12/13</v>
      </c>
      <c r="D42" s="787">
        <f t="shared" ref="D42:K42" si="4">D38/D40</f>
        <v>9.6923856231666203</v>
      </c>
      <c r="E42" s="788">
        <f t="shared" si="4"/>
        <v>1.832463096035406</v>
      </c>
      <c r="F42" s="788">
        <f t="shared" si="4"/>
        <v>19.986567084943385</v>
      </c>
      <c r="G42" s="788">
        <f t="shared" si="4"/>
        <v>12.445288892492933</v>
      </c>
      <c r="H42" s="788">
        <f t="shared" si="4"/>
        <v>13.809130458727964</v>
      </c>
      <c r="I42" s="788">
        <f t="shared" si="4"/>
        <v>13.263547512040557</v>
      </c>
      <c r="J42" s="788">
        <f t="shared" si="4"/>
        <v>2.0429413282936255</v>
      </c>
      <c r="K42" s="789">
        <f t="shared" si="4"/>
        <v>2.7928239264993492E-15</v>
      </c>
    </row>
    <row r="43" spans="2:13">
      <c r="B43" s="822"/>
      <c r="C43" s="822"/>
      <c r="D43" s="822"/>
      <c r="E43" s="822"/>
      <c r="F43" s="822"/>
      <c r="G43" s="822"/>
      <c r="H43" s="822"/>
      <c r="I43" s="822"/>
      <c r="J43" s="822"/>
      <c r="K43" s="822"/>
    </row>
    <row r="44" spans="2:13">
      <c r="B44" s="830" t="s">
        <v>453</v>
      </c>
      <c r="C44" s="210"/>
      <c r="D44" s="210"/>
      <c r="E44" s="210"/>
      <c r="F44" s="210"/>
      <c r="G44" s="210"/>
      <c r="H44" s="210"/>
      <c r="I44" s="210"/>
      <c r="J44" s="210"/>
      <c r="K44" s="210"/>
    </row>
    <row r="45" spans="2:13">
      <c r="B45" s="368" t="s">
        <v>441</v>
      </c>
      <c r="C45" s="431"/>
      <c r="D45" s="431"/>
      <c r="E45" s="431"/>
      <c r="F45" s="431"/>
      <c r="G45" s="431"/>
      <c r="H45" s="431"/>
      <c r="I45" s="431"/>
      <c r="J45" s="431"/>
      <c r="K45" s="431"/>
      <c r="L45" s="431"/>
      <c r="M45" s="431"/>
    </row>
    <row r="47" spans="2:13" ht="12.75" customHeight="1">
      <c r="B47" s="213" t="s">
        <v>115</v>
      </c>
      <c r="C47" s="155" t="s">
        <v>7</v>
      </c>
      <c r="D47" s="893">
        <f>'RFPR cover'!$C$12</f>
        <v>0.65</v>
      </c>
      <c r="E47" s="894">
        <f>'RFPR cover'!$C$12</f>
        <v>0.65</v>
      </c>
      <c r="F47" s="894">
        <f>'RFPR cover'!$C$12</f>
        <v>0.65</v>
      </c>
      <c r="G47" s="894">
        <f>'RFPR cover'!$C$12</f>
        <v>0.65</v>
      </c>
      <c r="H47" s="894">
        <f>'RFPR cover'!$C$12</f>
        <v>0.65</v>
      </c>
      <c r="I47" s="894">
        <f>'RFPR cover'!$C$12</f>
        <v>0.65</v>
      </c>
      <c r="J47" s="894">
        <f>'RFPR cover'!$C$12</f>
        <v>0.65</v>
      </c>
      <c r="K47" s="895">
        <f>'RFPR cover'!$C$12</f>
        <v>0.65</v>
      </c>
    </row>
    <row r="48" spans="2:13" ht="12.75" customHeight="1">
      <c r="B48" s="213" t="s">
        <v>403</v>
      </c>
      <c r="C48" s="155" t="s">
        <v>7</v>
      </c>
      <c r="D48" s="893">
        <f>'R8 - Net Debt'!D57</f>
        <v>0.56417818057479296</v>
      </c>
      <c r="E48" s="894">
        <f>'R8 - Net Debt'!E57</f>
        <v>0.59213988226033953</v>
      </c>
      <c r="F48" s="894">
        <f>'R8 - Net Debt'!F57</f>
        <v>0.59258626137640169</v>
      </c>
      <c r="G48" s="894">
        <f>'R8 - Net Debt'!G57</f>
        <v>0.59541798047962713</v>
      </c>
      <c r="H48" s="894">
        <f>'R8 - Net Debt'!H57</f>
        <v>0.60699394606448154</v>
      </c>
      <c r="I48" s="894">
        <f>'R8 - Net Debt'!I57</f>
        <v>0.61016137463834963</v>
      </c>
      <c r="J48" s="894">
        <f>'R8 - Net Debt'!J57</f>
        <v>0.5491770308940388</v>
      </c>
      <c r="K48" s="895">
        <f>'R8 - Net Debt'!K57</f>
        <v>0.51180587698701685</v>
      </c>
    </row>
    <row r="49" spans="2:14" ht="12.75" customHeight="1">
      <c r="B49" s="213"/>
      <c r="C49" s="155"/>
      <c r="D49" s="155"/>
      <c r="E49" s="155"/>
      <c r="F49" s="155"/>
      <c r="G49" s="155"/>
      <c r="H49" s="155"/>
      <c r="I49" s="155"/>
      <c r="J49" s="155"/>
      <c r="K49" s="155"/>
      <c r="L49" s="155"/>
    </row>
    <row r="50" spans="2:14" ht="12.75" customHeight="1">
      <c r="B50" s="822" t="s">
        <v>473</v>
      </c>
      <c r="C50" s="266" t="s">
        <v>128</v>
      </c>
      <c r="D50" s="787">
        <f>D38</f>
        <v>10.276998791764527</v>
      </c>
      <c r="E50" s="787">
        <f t="shared" ref="E50:K50" si="5">E38</f>
        <v>1.9846247501567973</v>
      </c>
      <c r="F50" s="787">
        <f t="shared" si="5"/>
        <v>22.456185487637136</v>
      </c>
      <c r="G50" s="787">
        <f t="shared" si="5"/>
        <v>14.41033986126244</v>
      </c>
      <c r="H50" s="787">
        <f t="shared" si="5"/>
        <v>16.403446591542302</v>
      </c>
      <c r="I50" s="787">
        <f t="shared" si="5"/>
        <v>15.946451337384016</v>
      </c>
      <c r="J50" s="787">
        <f t="shared" si="5"/>
        <v>2.5212691065525075</v>
      </c>
      <c r="K50" s="787">
        <f t="shared" si="5"/>
        <v>3.5527136788005009E-15</v>
      </c>
    </row>
    <row r="51" spans="2:14">
      <c r="B51" s="213" t="s">
        <v>454</v>
      </c>
      <c r="C51" s="266" t="s">
        <v>128</v>
      </c>
      <c r="D51" s="787">
        <f>D86-D88</f>
        <v>-0.72334758119457288</v>
      </c>
      <c r="E51" s="787">
        <f t="shared" ref="E51:K51" si="6">E86-E88</f>
        <v>-0.39492584408720327</v>
      </c>
      <c r="F51" s="787">
        <f t="shared" si="6"/>
        <v>-0.17598410850039059</v>
      </c>
      <c r="G51" s="787">
        <f t="shared" si="6"/>
        <v>-0.19468931631417963</v>
      </c>
      <c r="H51" s="787">
        <f t="shared" si="6"/>
        <v>-0.22898668959562585</v>
      </c>
      <c r="I51" s="787">
        <f t="shared" si="6"/>
        <v>-0.33734238087138957</v>
      </c>
      <c r="J51" s="787">
        <f t="shared" si="6"/>
        <v>-0.62977522816134424</v>
      </c>
      <c r="K51" s="787">
        <f t="shared" si="6"/>
        <v>-0.69386735994498339</v>
      </c>
      <c r="L51" s="266"/>
    </row>
    <row r="52" spans="2:14" s="31" customFormat="1">
      <c r="B52" s="831" t="s">
        <v>411</v>
      </c>
      <c r="C52" s="266" t="s">
        <v>128</v>
      </c>
      <c r="D52" s="745">
        <f>SUM(D50:D51)</f>
        <v>9.5536512105699529</v>
      </c>
      <c r="E52" s="746">
        <f t="shared" ref="E52:K52" si="7">SUM(E50:E51)</f>
        <v>1.5896989060695941</v>
      </c>
      <c r="F52" s="746">
        <f t="shared" si="7"/>
        <v>22.280201379136745</v>
      </c>
      <c r="G52" s="746">
        <f t="shared" si="7"/>
        <v>14.215650544948261</v>
      </c>
      <c r="H52" s="746">
        <f t="shared" si="7"/>
        <v>16.174459901946676</v>
      </c>
      <c r="I52" s="746">
        <f t="shared" si="7"/>
        <v>15.609108956512626</v>
      </c>
      <c r="J52" s="746">
        <f t="shared" si="7"/>
        <v>1.8914938783911632</v>
      </c>
      <c r="K52" s="747">
        <f t="shared" si="7"/>
        <v>-0.69386735994497983</v>
      </c>
      <c r="L52" s="807"/>
    </row>
    <row r="54" spans="2:14">
      <c r="B54" s="831" t="s">
        <v>411</v>
      </c>
      <c r="C54" s="396" t="str">
        <f>'RFPR cover'!$C$14</f>
        <v>£m 12/13</v>
      </c>
      <c r="D54" s="745">
        <f>D52/D40</f>
        <v>9.0101860979374386</v>
      </c>
      <c r="E54" s="746">
        <f t="shared" ref="E54:K54" si="8">E52/E40</f>
        <v>1.4678163108417532</v>
      </c>
      <c r="F54" s="746">
        <f t="shared" si="8"/>
        <v>19.829936824102184</v>
      </c>
      <c r="G54" s="746">
        <f t="shared" si="8"/>
        <v>12.277148181785252</v>
      </c>
      <c r="H54" s="746">
        <f t="shared" si="8"/>
        <v>13.616359564374051</v>
      </c>
      <c r="I54" s="746">
        <f t="shared" si="8"/>
        <v>12.982961154496348</v>
      </c>
      <c r="J54" s="746">
        <f t="shared" si="8"/>
        <v>1.5326452088501918</v>
      </c>
      <c r="K54" s="747">
        <f t="shared" si="8"/>
        <v>-0.54545610478960693</v>
      </c>
    </row>
    <row r="55" spans="2:14">
      <c r="B55" s="831"/>
      <c r="C55" s="396"/>
      <c r="D55" s="396"/>
      <c r="E55" s="396"/>
      <c r="F55" s="396"/>
      <c r="G55" s="396"/>
      <c r="H55" s="396"/>
      <c r="I55" s="396"/>
      <c r="J55" s="396"/>
      <c r="K55" s="396"/>
    </row>
    <row r="57" spans="2:14">
      <c r="B57" s="790" t="s">
        <v>377</v>
      </c>
      <c r="C57" s="791"/>
      <c r="D57" s="791"/>
      <c r="E57" s="791"/>
      <c r="F57" s="791"/>
      <c r="G57" s="791"/>
      <c r="H57" s="791"/>
      <c r="I57" s="791"/>
      <c r="J57" s="791"/>
      <c r="K57" s="791"/>
      <c r="L57" s="791"/>
      <c r="M57" s="489"/>
    </row>
    <row r="58" spans="2:14" s="31" customFormat="1">
      <c r="B58" s="490"/>
      <c r="C58" s="489"/>
      <c r="D58" s="489"/>
      <c r="E58" s="489"/>
      <c r="F58" s="489"/>
      <c r="G58" s="489"/>
      <c r="H58" s="489"/>
      <c r="I58" s="489"/>
      <c r="J58" s="489"/>
      <c r="K58" s="489"/>
      <c r="L58" s="489"/>
      <c r="M58" s="489"/>
    </row>
    <row r="59" spans="2:14">
      <c r="B59" s="367" t="s">
        <v>474</v>
      </c>
      <c r="C59" s="293"/>
      <c r="D59" s="293"/>
      <c r="E59" s="293"/>
      <c r="F59" s="293"/>
      <c r="G59" s="293"/>
      <c r="H59" s="293"/>
      <c r="I59" s="293"/>
      <c r="J59" s="293"/>
      <c r="K59" s="293"/>
      <c r="L59" s="293"/>
      <c r="M59" s="200"/>
      <c r="N59" s="200"/>
    </row>
    <row r="60" spans="2:14" s="31" customFormat="1">
      <c r="B60" s="372"/>
      <c r="C60" s="35"/>
      <c r="D60" s="35"/>
      <c r="E60" s="35"/>
      <c r="F60" s="35"/>
      <c r="G60" s="35"/>
      <c r="H60" s="35"/>
      <c r="I60" s="35"/>
      <c r="J60" s="35"/>
      <c r="K60" s="35"/>
      <c r="L60" s="35"/>
      <c r="M60" s="37"/>
      <c r="N60" s="37"/>
    </row>
    <row r="61" spans="2:14">
      <c r="B61" s="200" t="s">
        <v>376</v>
      </c>
      <c r="C61" s="210" t="str">
        <f>'RFPR cover'!$C$14</f>
        <v>£m 12/13</v>
      </c>
      <c r="D61" s="582">
        <v>10.284235088259434</v>
      </c>
      <c r="E61" s="583">
        <v>7.6771529968093715</v>
      </c>
      <c r="F61" s="583">
        <v>14.648343409888987</v>
      </c>
      <c r="G61" s="583">
        <v>10.952058048773551</v>
      </c>
      <c r="H61" s="583">
        <v>10.114585570657418</v>
      </c>
      <c r="I61" s="583">
        <v>8.9612066319709953</v>
      </c>
      <c r="J61" s="583">
        <v>9.0825388193043342</v>
      </c>
      <c r="K61" s="685">
        <v>8.4715819390521716</v>
      </c>
    </row>
    <row r="62" spans="2:14">
      <c r="B62" s="200" t="s">
        <v>379</v>
      </c>
      <c r="C62" s="210" t="str">
        <f>'RFPR cover'!$C$14</f>
        <v>£m 12/13</v>
      </c>
      <c r="D62" s="590"/>
      <c r="E62" s="591"/>
      <c r="F62" s="591"/>
      <c r="G62" s="591"/>
      <c r="H62" s="591"/>
      <c r="I62" s="591"/>
      <c r="J62" s="591"/>
      <c r="K62" s="684"/>
    </row>
    <row r="63" spans="2:14">
      <c r="B63" s="200" t="s">
        <v>380</v>
      </c>
      <c r="C63" s="210" t="str">
        <f>'RFPR cover'!$C$14</f>
        <v>£m 12/13</v>
      </c>
      <c r="D63" s="646">
        <f t="shared" ref="D63:K63" si="9">SUM(D61:D62)</f>
        <v>10.284235088259434</v>
      </c>
      <c r="E63" s="647">
        <f t="shared" si="9"/>
        <v>7.6771529968093715</v>
      </c>
      <c r="F63" s="647">
        <f t="shared" si="9"/>
        <v>14.648343409888987</v>
      </c>
      <c r="G63" s="647">
        <f t="shared" si="9"/>
        <v>10.952058048773551</v>
      </c>
      <c r="H63" s="647">
        <f t="shared" si="9"/>
        <v>10.114585570657418</v>
      </c>
      <c r="I63" s="647">
        <f t="shared" si="9"/>
        <v>8.9612066319709953</v>
      </c>
      <c r="J63" s="647">
        <f t="shared" si="9"/>
        <v>9.0825388193043342</v>
      </c>
      <c r="K63" s="648">
        <f t="shared" si="9"/>
        <v>8.4715819390521716</v>
      </c>
    </row>
    <row r="64" spans="2:14">
      <c r="B64" s="200"/>
      <c r="C64" s="210"/>
      <c r="D64" s="210"/>
      <c r="E64" s="210"/>
      <c r="F64" s="210"/>
      <c r="G64" s="210"/>
      <c r="H64" s="210"/>
      <c r="I64" s="210"/>
      <c r="J64" s="210"/>
      <c r="K64" s="210"/>
      <c r="L64" s="210"/>
    </row>
    <row r="65" spans="2:13">
      <c r="B65" s="512" t="s">
        <v>475</v>
      </c>
      <c r="C65" s="293"/>
      <c r="D65" s="293"/>
      <c r="E65" s="293"/>
      <c r="F65" s="293"/>
      <c r="G65" s="293"/>
      <c r="H65" s="293"/>
      <c r="I65" s="293"/>
      <c r="J65" s="293"/>
      <c r="K65" s="293"/>
      <c r="L65" s="293"/>
    </row>
    <row r="66" spans="2:13" s="31" customFormat="1">
      <c r="B66" s="513"/>
      <c r="C66" s="35"/>
      <c r="D66" s="35"/>
      <c r="E66" s="35"/>
      <c r="F66" s="35"/>
      <c r="G66" s="35"/>
      <c r="H66" s="35"/>
      <c r="I66" s="35"/>
      <c r="J66" s="35"/>
      <c r="K66" s="35"/>
      <c r="L66" s="35"/>
    </row>
    <row r="67" spans="2:13">
      <c r="B67" s="200" t="s">
        <v>367</v>
      </c>
      <c r="C67" s="210" t="str">
        <f>'RFPR cover'!$C$14</f>
        <v>£m 12/13</v>
      </c>
      <c r="D67" s="582">
        <v>10.284235088259434</v>
      </c>
      <c r="E67" s="582">
        <v>7.6771529968093715</v>
      </c>
      <c r="F67" s="582">
        <v>14.648343409888987</v>
      </c>
      <c r="G67" s="582">
        <v>10.952058048773551</v>
      </c>
      <c r="H67" s="582">
        <v>10.114585570657418</v>
      </c>
      <c r="I67" s="582">
        <v>10.356909920570997</v>
      </c>
      <c r="J67" s="582">
        <v>1.9728157699965019</v>
      </c>
      <c r="K67" s="582">
        <v>-1.6846389466513289E-15</v>
      </c>
    </row>
    <row r="68" spans="2:13">
      <c r="B68" s="200" t="s">
        <v>382</v>
      </c>
      <c r="C68" s="210" t="str">
        <f>'RFPR cover'!$C$14</f>
        <v>£m 12/13</v>
      </c>
      <c r="D68" s="590"/>
      <c r="E68" s="591"/>
      <c r="F68" s="591"/>
      <c r="G68" s="591"/>
      <c r="H68" s="591"/>
      <c r="I68" s="591"/>
      <c r="J68" s="591"/>
      <c r="K68" s="684"/>
    </row>
    <row r="69" spans="2:13">
      <c r="B69" s="14" t="s">
        <v>383</v>
      </c>
      <c r="C69" s="210" t="str">
        <f>'RFPR cover'!$C$14</f>
        <v>£m 12/13</v>
      </c>
      <c r="D69" s="610">
        <f t="shared" ref="D69:K69" si="10">SUM(D67:D68)</f>
        <v>10.284235088259434</v>
      </c>
      <c r="E69" s="611">
        <f t="shared" si="10"/>
        <v>7.6771529968093715</v>
      </c>
      <c r="F69" s="611">
        <f t="shared" si="10"/>
        <v>14.648343409888987</v>
      </c>
      <c r="G69" s="611">
        <f t="shared" si="10"/>
        <v>10.952058048773551</v>
      </c>
      <c r="H69" s="611">
        <f t="shared" si="10"/>
        <v>10.114585570657418</v>
      </c>
      <c r="I69" s="611">
        <f t="shared" si="10"/>
        <v>10.356909920570997</v>
      </c>
      <c r="J69" s="611">
        <f t="shared" si="10"/>
        <v>1.9728157699965019</v>
      </c>
      <c r="K69" s="612">
        <f t="shared" si="10"/>
        <v>-1.6846389466513289E-15</v>
      </c>
    </row>
    <row r="70" spans="2:13" s="31" customFormat="1">
      <c r="B70" s="513"/>
      <c r="C70" s="35"/>
      <c r="D70" s="748"/>
      <c r="E70" s="748"/>
      <c r="F70" s="748"/>
      <c r="G70" s="748"/>
      <c r="H70" s="748"/>
      <c r="I70" s="748"/>
      <c r="J70" s="748"/>
      <c r="K70" s="748"/>
      <c r="L70" s="35"/>
    </row>
    <row r="71" spans="2:13" s="31" customFormat="1">
      <c r="B71" s="514" t="s">
        <v>381</v>
      </c>
      <c r="C71" s="35"/>
      <c r="D71" s="703">
        <f t="shared" ref="D71:K71" si="11">D69-D63</f>
        <v>0</v>
      </c>
      <c r="E71" s="704">
        <f t="shared" si="11"/>
        <v>0</v>
      </c>
      <c r="F71" s="704">
        <f t="shared" si="11"/>
        <v>0</v>
      </c>
      <c r="G71" s="704">
        <f t="shared" si="11"/>
        <v>0</v>
      </c>
      <c r="H71" s="704">
        <f t="shared" si="11"/>
        <v>0</v>
      </c>
      <c r="I71" s="704">
        <f t="shared" si="11"/>
        <v>1.3957032886000018</v>
      </c>
      <c r="J71" s="704">
        <f t="shared" si="11"/>
        <v>-7.1097230493078323</v>
      </c>
      <c r="K71" s="705">
        <f t="shared" si="11"/>
        <v>-8.4715819390521734</v>
      </c>
      <c r="L71" s="35"/>
    </row>
    <row r="72" spans="2:13">
      <c r="B72" s="200" t="s">
        <v>378</v>
      </c>
      <c r="C72" s="210" t="str">
        <f>'RFPR cover'!$C$14</f>
        <v>£m 12/13</v>
      </c>
      <c r="D72" s="586">
        <v>0</v>
      </c>
      <c r="E72" s="586">
        <v>0</v>
      </c>
      <c r="F72" s="586">
        <v>0</v>
      </c>
      <c r="G72" s="586">
        <v>0</v>
      </c>
      <c r="H72" s="586">
        <v>0</v>
      </c>
      <c r="I72" s="586">
        <v>-8.4980803175881192E-2</v>
      </c>
      <c r="J72" s="586">
        <v>1.4664820064512085E-2</v>
      </c>
      <c r="K72" s="586">
        <v>-0.57149210102169512</v>
      </c>
    </row>
    <row r="73" spans="2:13">
      <c r="B73" s="200" t="s">
        <v>429</v>
      </c>
      <c r="C73" s="210" t="str">
        <f>'RFPR cover'!$C$14</f>
        <v>£m 12/13</v>
      </c>
      <c r="D73" s="586">
        <v>0</v>
      </c>
      <c r="E73" s="586">
        <v>0</v>
      </c>
      <c r="F73" s="586">
        <v>0</v>
      </c>
      <c r="G73" s="586">
        <v>0</v>
      </c>
      <c r="H73" s="586">
        <v>0</v>
      </c>
      <c r="I73" s="586">
        <v>0.1039950803266354</v>
      </c>
      <c r="J73" s="586">
        <v>1.9224158115441747</v>
      </c>
      <c r="K73" s="586">
        <v>0.65025080826383652</v>
      </c>
    </row>
    <row r="74" spans="2:13">
      <c r="B74" s="200" t="s">
        <v>333</v>
      </c>
      <c r="C74" s="210" t="str">
        <f>'RFPR cover'!$C$14</f>
        <v>£m 12/13</v>
      </c>
      <c r="D74" s="586">
        <v>0</v>
      </c>
      <c r="E74" s="586">
        <v>0</v>
      </c>
      <c r="F74" s="586">
        <v>0</v>
      </c>
      <c r="G74" s="586">
        <v>0</v>
      </c>
      <c r="H74" s="586">
        <v>0</v>
      </c>
      <c r="I74" s="586">
        <v>1.3766890114492458</v>
      </c>
      <c r="J74" s="586">
        <v>-9.0468036809165184</v>
      </c>
      <c r="K74" s="586">
        <v>-8.5374559936774137</v>
      </c>
    </row>
    <row r="75" spans="2:13">
      <c r="B75" s="200" t="s">
        <v>122</v>
      </c>
      <c r="C75" s="210" t="str">
        <f>'RFPR cover'!$C$14</f>
        <v>£m 12/13</v>
      </c>
      <c r="D75" s="515" t="str">
        <f>IF(ABS(D71-SUM(D72:D74))&lt;'RFPR cover'!$F$14,"OK","ERROR")</f>
        <v>OK</v>
      </c>
      <c r="E75" s="516" t="str">
        <f>IF(ABS(E71-SUM(E72:E74))&lt;'RFPR cover'!$F$14,"OK","ERROR")</f>
        <v>OK</v>
      </c>
      <c r="F75" s="516" t="str">
        <f>IF(ABS(F71-SUM(F72:F74))&lt;'RFPR cover'!$F$14,"OK","ERROR")</f>
        <v>OK</v>
      </c>
      <c r="G75" s="516" t="str">
        <f>IF(ABS(G71-SUM(G72:G74))&lt;'RFPR cover'!$F$14,"OK","ERROR")</f>
        <v>OK</v>
      </c>
      <c r="H75" s="516" t="str">
        <f>IF(ABS(H71-SUM(H72:H74))&lt;'RFPR cover'!$F$14,"OK","ERROR")</f>
        <v>OK</v>
      </c>
      <c r="I75" s="516" t="str">
        <f>IF(ABS(I71-SUM(I72:I74))&lt;'RFPR cover'!$F$14,"OK","ERROR")</f>
        <v>OK</v>
      </c>
      <c r="J75" s="516" t="str">
        <f>IF(ABS(J71-SUM(J72:J74))&lt;'RFPR cover'!$F$14,"OK","ERROR")</f>
        <v>OK</v>
      </c>
      <c r="K75" s="517" t="str">
        <f>IF(ABS(K71-SUM(K72:K74))&lt;'RFPR cover'!$F$14,"OK","ERROR")</f>
        <v>OK</v>
      </c>
    </row>
    <row r="76" spans="2:13">
      <c r="B76" s="200"/>
      <c r="C76" s="200"/>
      <c r="D76" s="200"/>
      <c r="E76" s="200"/>
      <c r="F76" s="200"/>
      <c r="G76" s="200"/>
      <c r="H76" s="200"/>
      <c r="I76" s="200"/>
      <c r="J76" s="200"/>
      <c r="K76" s="200"/>
      <c r="L76" s="200"/>
      <c r="M76" s="200"/>
    </row>
    <row r="78" spans="2:13">
      <c r="B78" s="835" t="s">
        <v>431</v>
      </c>
      <c r="C78" s="835"/>
      <c r="D78" s="835"/>
      <c r="E78" s="835"/>
      <c r="F78" s="835"/>
      <c r="G78" s="835"/>
      <c r="H78" s="835"/>
      <c r="I78" s="835"/>
      <c r="J78" s="835"/>
      <c r="K78" s="835"/>
      <c r="L78" s="835"/>
    </row>
    <row r="80" spans="2:13">
      <c r="B80" s="14" t="s">
        <v>432</v>
      </c>
      <c r="C80" s="211" t="str">
        <f>'RFPR cover'!$C$14</f>
        <v>£m 12/13</v>
      </c>
      <c r="D80" s="610">
        <f t="shared" ref="D80:K80" si="12">D$69-D42</f>
        <v>0.59184946509281389</v>
      </c>
      <c r="E80" s="611">
        <f t="shared" si="12"/>
        <v>5.8446899007739654</v>
      </c>
      <c r="F80" s="611">
        <f t="shared" si="12"/>
        <v>-5.3382236750543974</v>
      </c>
      <c r="G80" s="611">
        <f t="shared" si="12"/>
        <v>-1.4932308437193811</v>
      </c>
      <c r="H80" s="611">
        <f t="shared" si="12"/>
        <v>-3.6945448880705456</v>
      </c>
      <c r="I80" s="611">
        <f t="shared" si="12"/>
        <v>-2.9066375914695595</v>
      </c>
      <c r="J80" s="611">
        <f t="shared" si="12"/>
        <v>-7.0125558297123636E-2</v>
      </c>
      <c r="K80" s="612">
        <f t="shared" si="12"/>
        <v>-4.4774628731506784E-15</v>
      </c>
    </row>
    <row r="81" spans="2:11">
      <c r="B81" s="14"/>
      <c r="C81" s="14"/>
      <c r="D81" s="14"/>
      <c r="E81" s="14"/>
      <c r="F81" s="14"/>
      <c r="G81" s="14"/>
      <c r="H81" s="14"/>
      <c r="I81" s="14"/>
      <c r="J81" s="14"/>
      <c r="K81" s="14"/>
    </row>
    <row r="82" spans="2:11">
      <c r="B82" s="14" t="s">
        <v>443</v>
      </c>
      <c r="C82" s="211" t="str">
        <f>'RFPR cover'!$C$14</f>
        <v>£m 12/13</v>
      </c>
      <c r="D82" s="610">
        <f t="shared" ref="D82:K82" si="13">D$69-D54</f>
        <v>1.2740489903219956</v>
      </c>
      <c r="E82" s="611">
        <f t="shared" si="13"/>
        <v>6.2093366859676182</v>
      </c>
      <c r="F82" s="611">
        <f t="shared" si="13"/>
        <v>-5.1815934142131965</v>
      </c>
      <c r="G82" s="611">
        <f t="shared" si="13"/>
        <v>-1.3250901330117006</v>
      </c>
      <c r="H82" s="611">
        <f t="shared" si="13"/>
        <v>-3.5017739937166326</v>
      </c>
      <c r="I82" s="611">
        <f t="shared" si="13"/>
        <v>-2.6260512339253506</v>
      </c>
      <c r="J82" s="611">
        <f t="shared" si="13"/>
        <v>0.44017056114631004</v>
      </c>
      <c r="K82" s="612">
        <f t="shared" si="13"/>
        <v>0.54545610478960527</v>
      </c>
    </row>
    <row r="84" spans="2:11">
      <c r="B84" s="14" t="s">
        <v>442</v>
      </c>
      <c r="C84" s="211" t="str">
        <f>'RFPR cover'!$C$14</f>
        <v>£m 12/13</v>
      </c>
      <c r="D84" s="610">
        <f>D80-D82</f>
        <v>-0.6821995252291817</v>
      </c>
      <c r="E84" s="611">
        <f t="shared" ref="E84:K84" si="14">E80-E82</f>
        <v>-0.36464678519365279</v>
      </c>
      <c r="F84" s="611">
        <f t="shared" si="14"/>
        <v>-0.15663026084120091</v>
      </c>
      <c r="G84" s="611">
        <f t="shared" si="14"/>
        <v>-0.16814071070768044</v>
      </c>
      <c r="H84" s="611">
        <f t="shared" si="14"/>
        <v>-0.19277089435391304</v>
      </c>
      <c r="I84" s="611">
        <f t="shared" si="14"/>
        <v>-0.28058635754420891</v>
      </c>
      <c r="J84" s="611">
        <f t="shared" si="14"/>
        <v>-0.51029611944343367</v>
      </c>
      <c r="K84" s="612">
        <f t="shared" si="14"/>
        <v>-0.54545610478960971</v>
      </c>
    </row>
    <row r="86" spans="2:11">
      <c r="B86" t="s">
        <v>526</v>
      </c>
      <c r="C86" s="266" t="s">
        <v>128</v>
      </c>
      <c r="D86" s="586">
        <f>-'R7 - Financing'!D86*Data!$G$20*D$40</f>
        <v>0.49378923193043639</v>
      </c>
      <c r="E86" s="586">
        <f>-'R7 - Financing'!E86*Data!$G$21*E$40</f>
        <v>-0.22291720392746164</v>
      </c>
      <c r="F86" s="586">
        <f>-'R7 - Financing'!F86*Data!$G$22*F$40</f>
        <v>-2.2698657872003976</v>
      </c>
      <c r="G86" s="586">
        <f>-'R7 - Financing'!G86*Data!$G$23*G$40</f>
        <v>-1.6285356825248911</v>
      </c>
      <c r="H86" s="586">
        <f>-'R7 - Financing'!H86*Data!$G$24*H$40</f>
        <v>-6.6065047071045338E-2</v>
      </c>
      <c r="I86" s="586">
        <f>-'R7 - Financing'!I86*Data!$G$25*I$40</f>
        <v>2.7857211712004899</v>
      </c>
      <c r="J86" s="586">
        <f>-'R7 - Financing'!J86*Data!$G$26*J$40</f>
        <v>1.6624103118378628</v>
      </c>
      <c r="K86" s="586">
        <f>-'R7 - Financing'!K86*Data!$G$27*K$40</f>
        <v>1.4690480783738569</v>
      </c>
    </row>
    <row r="87" spans="2:11">
      <c r="B87" t="s">
        <v>526</v>
      </c>
      <c r="C87" s="396" t="str">
        <f>'RFPR cover'!$C$14</f>
        <v>£m 12/13</v>
      </c>
      <c r="D87" s="787">
        <f>D86/D$40</f>
        <v>0.46569973874788301</v>
      </c>
      <c r="E87" s="787">
        <f t="shared" ref="E87:K87" si="15">E86/E$40</f>
        <v>-0.20582608860249244</v>
      </c>
      <c r="F87" s="787">
        <f t="shared" si="15"/>
        <v>-2.0202373575278179</v>
      </c>
      <c r="G87" s="787">
        <f t="shared" si="15"/>
        <v>-1.4064621123363186</v>
      </c>
      <c r="H87" s="787">
        <f t="shared" si="15"/>
        <v>-5.5616412604193539E-2</v>
      </c>
      <c r="I87" s="787">
        <f t="shared" si="15"/>
        <v>2.3170387146195184</v>
      </c>
      <c r="J87" s="787">
        <f t="shared" si="15"/>
        <v>1.3470227044819163</v>
      </c>
      <c r="K87" s="787">
        <f t="shared" si="15"/>
        <v>1.154833457855692</v>
      </c>
    </row>
    <row r="88" spans="2:11">
      <c r="B88" t="s">
        <v>527</v>
      </c>
      <c r="C88" s="266" t="s">
        <v>128</v>
      </c>
      <c r="D88" s="586">
        <f>-'R7 - Financing'!D88*Data!$G$20*D$40</f>
        <v>1.2171368131250093</v>
      </c>
      <c r="E88" s="586">
        <f>-'R7 - Financing'!E88*Data!$G$21*E$40</f>
        <v>0.17200864015974163</v>
      </c>
      <c r="F88" s="586">
        <f>-'R7 - Financing'!F88*Data!$G$22*F$40</f>
        <v>-2.093881678700007</v>
      </c>
      <c r="G88" s="586">
        <f>-'R7 - Financing'!G88*Data!$G$23*G$40</f>
        <v>-1.4338463662107115</v>
      </c>
      <c r="H88" s="586">
        <f>-'R7 - Financing'!H88*Data!$G$24*H$40</f>
        <v>0.1629216425245805</v>
      </c>
      <c r="I88" s="586">
        <f>-'R7 - Financing'!I88*Data!$G$25*I$40</f>
        <v>3.1230635520718795</v>
      </c>
      <c r="J88" s="586">
        <f>-'R7 - Financing'!J88*Data!$G$26*J$40</f>
        <v>2.292185539999207</v>
      </c>
      <c r="K88" s="586">
        <f>-'R7 - Financing'!K88*Data!$G$27*K$40</f>
        <v>2.1629154383188403</v>
      </c>
    </row>
    <row r="89" spans="2:11">
      <c r="B89" t="s">
        <v>527</v>
      </c>
      <c r="C89" s="396" t="str">
        <f>'RFPR cover'!$C$14</f>
        <v>£m 12/13</v>
      </c>
      <c r="D89" s="787">
        <f t="shared" ref="D89:K89" si="16">D88/D$40</f>
        <v>1.147899263977064</v>
      </c>
      <c r="E89" s="787">
        <f t="shared" si="16"/>
        <v>0.15882069659116041</v>
      </c>
      <c r="F89" s="787">
        <f t="shared" si="16"/>
        <v>-1.8636070966866161</v>
      </c>
      <c r="G89" s="787">
        <f t="shared" si="16"/>
        <v>-1.2383214016286368</v>
      </c>
      <c r="H89" s="787">
        <f t="shared" si="16"/>
        <v>0.13715448174971867</v>
      </c>
      <c r="I89" s="787">
        <f t="shared" si="16"/>
        <v>2.5976250721637273</v>
      </c>
      <c r="J89" s="787">
        <f t="shared" si="16"/>
        <v>1.85731882392535</v>
      </c>
      <c r="K89" s="787">
        <f t="shared" si="16"/>
        <v>1.7002895626453018</v>
      </c>
    </row>
    <row r="90" spans="2:11">
      <c r="B90" t="s">
        <v>530</v>
      </c>
      <c r="C90" s="396" t="str">
        <f>'RFPR cover'!$C$14</f>
        <v>£m 12/13</v>
      </c>
      <c r="D90" s="787">
        <f>D87-D89</f>
        <v>-0.68219952522918104</v>
      </c>
      <c r="E90" s="787">
        <f t="shared" ref="E90:K90" si="17">E87-E89</f>
        <v>-0.36464678519365284</v>
      </c>
      <c r="F90" s="787">
        <f t="shared" si="17"/>
        <v>-0.1566302608412018</v>
      </c>
      <c r="G90" s="787">
        <f t="shared" si="17"/>
        <v>-0.16814071070768177</v>
      </c>
      <c r="H90" s="787">
        <f t="shared" si="17"/>
        <v>-0.1927708943539122</v>
      </c>
      <c r="I90" s="787">
        <f t="shared" si="17"/>
        <v>-0.28058635754420891</v>
      </c>
      <c r="J90" s="787">
        <f t="shared" si="17"/>
        <v>-0.51029611944343367</v>
      </c>
      <c r="K90" s="787">
        <f t="shared" si="17"/>
        <v>-0.54545610478960982</v>
      </c>
    </row>
  </sheetData>
  <conditionalFormatting sqref="D6:K7">
    <cfRule type="expression" dxfId="32" priority="74">
      <formula>AND(D$6="Actuals",E$6="Forecast")</formula>
    </cfRule>
  </conditionalFormatting>
  <conditionalFormatting sqref="D5:K5">
    <cfRule type="expression" dxfId="31" priority="49">
      <formula>AND(D$5="Actuals",E$5="Forecast")</formula>
    </cfRule>
  </conditionalFormatting>
  <conditionalFormatting sqref="D37:F37">
    <cfRule type="expression" dxfId="30" priority="17">
      <formula>AND(D$5="Actuals",E$5="Actuals")</formula>
    </cfRule>
  </conditionalFormatting>
  <conditionalFormatting sqref="I12:K12 D19:K19 I24:K34 I15:K18">
    <cfRule type="expression" dxfId="29" priority="16">
      <formula>NOT(AND(D$5="Actuals"))</formula>
    </cfRule>
  </conditionalFormatting>
  <conditionalFormatting sqref="G37">
    <cfRule type="expression" dxfId="28" priority="182">
      <formula>AND(E$5="Actuals",F$5="Actuals")</formula>
    </cfRule>
  </conditionalFormatting>
  <conditionalFormatting sqref="H37">
    <cfRule type="expression" dxfId="27" priority="5">
      <formula>AND(F$5="Actuals",G$5="Actuals")</formula>
    </cfRule>
  </conditionalFormatting>
  <conditionalFormatting sqref="D12:H12 D15:H18">
    <cfRule type="expression" dxfId="26" priority="4">
      <formula>NOT(AND(D$5="Actuals"))</formula>
    </cfRule>
  </conditionalFormatting>
  <conditionalFormatting sqref="D24:H27">
    <cfRule type="expression" dxfId="25" priority="3">
      <formula>NOT(AND(D$5="Actuals"))</formula>
    </cfRule>
  </conditionalFormatting>
  <conditionalFormatting sqref="D28:H33">
    <cfRule type="expression" dxfId="24" priority="2">
      <formula>NOT(AND(D$5="Actuals"))</formula>
    </cfRule>
  </conditionalFormatting>
  <conditionalFormatting sqref="D34:H34">
    <cfRule type="expression" dxfId="23" priority="1">
      <formula>NOT(AND(D$5="Actuals"))</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3.08984375" bestFit="1" customWidth="1"/>
    <col min="3" max="3" width="14.08984375" customWidth="1"/>
    <col min="4" max="11" width="11.08984375" customWidth="1"/>
    <col min="12" max="12" width="5" customWidth="1"/>
    <col min="17" max="17" width="13.08984375" customWidth="1"/>
  </cols>
  <sheetData>
    <row r="1" spans="1:18" s="31" customFormat="1" ht="21">
      <c r="A1" s="927" t="s">
        <v>260</v>
      </c>
      <c r="B1" s="938"/>
      <c r="C1" s="120"/>
      <c r="D1" s="120"/>
      <c r="E1" s="120"/>
      <c r="F1" s="120"/>
      <c r="G1" s="120"/>
      <c r="H1" s="120"/>
      <c r="I1" s="126"/>
      <c r="J1" s="126"/>
      <c r="K1" s="127"/>
      <c r="L1" s="128"/>
    </row>
    <row r="2" spans="1:18" s="31" customFormat="1" ht="21">
      <c r="A2" s="912" t="str">
        <f>'RFPR cover'!C5</f>
        <v>WPD-SWEST</v>
      </c>
      <c r="B2" s="904"/>
      <c r="C2" s="29"/>
      <c r="D2" s="29"/>
      <c r="E2" s="29"/>
      <c r="F2" s="29"/>
      <c r="G2" s="29"/>
      <c r="H2" s="29"/>
      <c r="I2" s="27"/>
      <c r="J2" s="27"/>
      <c r="K2" s="27"/>
      <c r="L2" s="123"/>
    </row>
    <row r="3" spans="1:18" s="31" customFormat="1" ht="22.8">
      <c r="A3" s="929">
        <f>'RFPR cover'!C7</f>
        <v>2021</v>
      </c>
      <c r="B3" s="921" t="str">
        <f>'R1 - RoRE'!B3</f>
        <v/>
      </c>
      <c r="C3" s="124"/>
      <c r="D3" s="124"/>
      <c r="E3" s="124"/>
      <c r="F3" s="124"/>
      <c r="G3" s="124"/>
      <c r="H3" s="124"/>
      <c r="I3" s="28"/>
      <c r="J3" s="28"/>
      <c r="K3" s="28"/>
      <c r="L3" s="125"/>
    </row>
    <row r="4" spans="1:18" s="2" customFormat="1" ht="12.75" customHeight="1"/>
    <row r="5" spans="1:18" s="2" customFormat="1">
      <c r="B5" s="3"/>
      <c r="C5" s="3"/>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N/A</v>
      </c>
      <c r="K5" s="391" t="str">
        <f>IF(K6&lt;='RFPR cover'!$C$7,"Actuals","N/A")</f>
        <v>N/A</v>
      </c>
    </row>
    <row r="6" spans="1:18"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8" s="2" customFormat="1"/>
    <row r="8" spans="1:18">
      <c r="B8" s="14" t="s">
        <v>230</v>
      </c>
      <c r="C8" s="152" t="s">
        <v>128</v>
      </c>
      <c r="D8" s="638">
        <v>125.2</v>
      </c>
      <c r="E8" s="639">
        <v>24.4</v>
      </c>
      <c r="F8" s="639">
        <v>94.9</v>
      </c>
      <c r="G8" s="639">
        <v>38.6</v>
      </c>
      <c r="H8" s="639">
        <v>25</v>
      </c>
      <c r="I8" s="639">
        <v>0</v>
      </c>
      <c r="J8" s="639"/>
      <c r="K8" s="640"/>
    </row>
    <row r="9" spans="1:18">
      <c r="B9" s="15" t="s">
        <v>105</v>
      </c>
      <c r="C9" s="14"/>
      <c r="D9" s="749"/>
      <c r="E9" s="749"/>
      <c r="F9" s="749"/>
      <c r="G9" s="749"/>
      <c r="H9" s="749"/>
      <c r="I9" s="749"/>
      <c r="J9" s="749"/>
      <c r="K9" s="749"/>
    </row>
    <row r="10" spans="1:18">
      <c r="B10" s="430" t="s">
        <v>22</v>
      </c>
      <c r="C10" s="152" t="s">
        <v>128</v>
      </c>
      <c r="D10" s="594">
        <v>5.507261804362539</v>
      </c>
      <c r="E10" s="595">
        <v>0.97126222828598407</v>
      </c>
      <c r="F10" s="595">
        <v>5.34399111117727</v>
      </c>
      <c r="G10" s="595">
        <v>2.7648099392942198</v>
      </c>
      <c r="H10" s="595">
        <v>2.5165511353456438</v>
      </c>
      <c r="I10" s="595">
        <v>0</v>
      </c>
      <c r="J10" s="595"/>
      <c r="K10" s="605"/>
    </row>
    <row r="11" spans="1:18">
      <c r="B11" s="430" t="s">
        <v>22</v>
      </c>
      <c r="C11" s="152" t="s">
        <v>128</v>
      </c>
      <c r="D11" s="596">
        <v>0</v>
      </c>
      <c r="E11" s="597">
        <v>0</v>
      </c>
      <c r="F11" s="597">
        <v>0</v>
      </c>
      <c r="G11" s="597">
        <v>0</v>
      </c>
      <c r="H11" s="597">
        <v>0</v>
      </c>
      <c r="I11" s="597">
        <v>0</v>
      </c>
      <c r="J11" s="597"/>
      <c r="K11" s="606"/>
    </row>
    <row r="12" spans="1:18">
      <c r="B12" s="430" t="s">
        <v>20</v>
      </c>
      <c r="C12" s="152" t="s">
        <v>128</v>
      </c>
      <c r="D12" s="607">
        <v>0</v>
      </c>
      <c r="E12" s="608">
        <v>0</v>
      </c>
      <c r="F12" s="608">
        <v>0</v>
      </c>
      <c r="G12" s="608">
        <v>0</v>
      </c>
      <c r="H12" s="608">
        <v>0</v>
      </c>
      <c r="I12" s="608">
        <v>0</v>
      </c>
      <c r="J12" s="608"/>
      <c r="K12" s="609"/>
      <c r="Q12" s="216"/>
    </row>
    <row r="13" spans="1:18">
      <c r="B13" s="14" t="s">
        <v>106</v>
      </c>
      <c r="C13" s="152" t="s">
        <v>128</v>
      </c>
      <c r="D13" s="740">
        <f>D8-SUM(D10:D12)</f>
        <v>119.69273819563746</v>
      </c>
      <c r="E13" s="741">
        <f t="shared" ref="E13:K13" si="1">E8-SUM(E10:E12)</f>
        <v>23.428737771714015</v>
      </c>
      <c r="F13" s="741">
        <f t="shared" si="1"/>
        <v>89.556008888822731</v>
      </c>
      <c r="G13" s="741">
        <f t="shared" si="1"/>
        <v>35.835190060705784</v>
      </c>
      <c r="H13" s="741">
        <f t="shared" si="1"/>
        <v>22.483448864654356</v>
      </c>
      <c r="I13" s="741">
        <f t="shared" si="1"/>
        <v>0</v>
      </c>
      <c r="J13" s="741">
        <f t="shared" si="1"/>
        <v>0</v>
      </c>
      <c r="K13" s="742">
        <f t="shared" si="1"/>
        <v>0</v>
      </c>
      <c r="R13" s="215"/>
    </row>
    <row r="14" spans="1:18">
      <c r="C14" s="14"/>
      <c r="Q14" s="216"/>
    </row>
    <row r="15" spans="1:18">
      <c r="B15" s="14" t="s">
        <v>502</v>
      </c>
      <c r="C15" s="152" t="s">
        <v>128</v>
      </c>
      <c r="D15" s="594">
        <v>0</v>
      </c>
      <c r="E15" s="595">
        <v>0</v>
      </c>
      <c r="F15" s="595">
        <v>0</v>
      </c>
      <c r="G15" s="595">
        <v>0</v>
      </c>
      <c r="H15" s="595">
        <v>0</v>
      </c>
      <c r="I15" s="595">
        <v>0</v>
      </c>
      <c r="J15" s="595"/>
      <c r="K15" s="605"/>
    </row>
  </sheetData>
  <conditionalFormatting sqref="D6:K6">
    <cfRule type="expression" dxfId="22" priority="10">
      <formula>AND(D$5="Actuals",E$5="N/A")</formula>
    </cfRule>
  </conditionalFormatting>
  <conditionalFormatting sqref="D5:K5">
    <cfRule type="expression" dxfId="21" priority="3">
      <formula>AND(D$5="Actuals",E$5="N/A")</formula>
    </cfRule>
  </conditionalFormatting>
  <conditionalFormatting sqref="D8:K8 D5:K6 D10:K13">
    <cfRule type="expression" dxfId="20" priority="2">
      <formula>D$5="N/A"</formula>
    </cfRule>
  </conditionalFormatting>
  <conditionalFormatting sqref="D15:K15">
    <cfRule type="expression" dxfId="19"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2" customWidth="1"/>
    <col min="3" max="3" width="14.08984375" customWidth="1"/>
    <col min="4" max="11" width="11.08984375" customWidth="1"/>
    <col min="12" max="12" width="5" customWidth="1"/>
  </cols>
  <sheetData>
    <row r="1" spans="1:12" s="31" customFormat="1" ht="21">
      <c r="A1" s="923" t="s">
        <v>259</v>
      </c>
      <c r="B1" s="919"/>
      <c r="C1" s="256"/>
      <c r="D1" s="256"/>
      <c r="E1" s="256"/>
      <c r="F1" s="256"/>
      <c r="G1" s="256"/>
      <c r="H1" s="256"/>
      <c r="I1" s="257"/>
      <c r="J1" s="257"/>
      <c r="K1" s="258"/>
      <c r="L1" s="259"/>
    </row>
    <row r="2" spans="1:12" s="31" customFormat="1" ht="21">
      <c r="A2" s="912" t="str">
        <f>'RFPR cover'!C5</f>
        <v>WPD-SWEST</v>
      </c>
      <c r="B2" s="904"/>
      <c r="C2" s="29"/>
      <c r="D2" s="29"/>
      <c r="E2" s="29"/>
      <c r="F2" s="29"/>
      <c r="G2" s="29"/>
      <c r="H2" s="29"/>
      <c r="I2" s="27"/>
      <c r="J2" s="27"/>
      <c r="K2" s="27"/>
      <c r="L2" s="123"/>
    </row>
    <row r="3" spans="1:12" s="31" customFormat="1" ht="21">
      <c r="A3" s="915">
        <f>'RFPR cover'!C7</f>
        <v>2021</v>
      </c>
      <c r="B3" s="922"/>
      <c r="C3" s="260"/>
      <c r="D3" s="260"/>
      <c r="E3" s="260"/>
      <c r="F3" s="260"/>
      <c r="G3" s="260"/>
      <c r="H3" s="260"/>
      <c r="I3" s="255"/>
      <c r="J3" s="255"/>
      <c r="K3" s="255"/>
      <c r="L3" s="261"/>
    </row>
    <row r="4" spans="1:12" s="2" customFormat="1" ht="12.75" customHeight="1">
      <c r="A4" s="35"/>
      <c r="B4" s="269"/>
      <c r="C4" s="31"/>
      <c r="D4" s="270"/>
      <c r="E4" s="270"/>
      <c r="F4" s="35"/>
      <c r="G4" s="35"/>
      <c r="H4" s="35"/>
      <c r="I4" s="35"/>
      <c r="J4" s="35"/>
      <c r="K4" s="35"/>
    </row>
    <row r="5" spans="1:12" s="2" customFormat="1" ht="12.75" customHeight="1">
      <c r="A5" s="35"/>
      <c r="B5" s="269"/>
      <c r="C5" s="3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12" s="2" customFormat="1">
      <c r="A6" s="35"/>
      <c r="B6" s="35"/>
      <c r="C6" s="3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A7" s="35"/>
      <c r="B7" s="35"/>
      <c r="C7" s="31"/>
      <c r="D7" s="31"/>
      <c r="E7" s="31"/>
      <c r="F7" s="31"/>
      <c r="G7" s="31"/>
      <c r="H7" s="31"/>
      <c r="I7" s="31"/>
      <c r="J7" s="31"/>
      <c r="K7" s="31"/>
      <c r="L7" s="31"/>
    </row>
    <row r="8" spans="1:12">
      <c r="B8" s="14" t="s">
        <v>391</v>
      </c>
      <c r="C8" s="152" t="s">
        <v>128</v>
      </c>
      <c r="D8" s="750">
        <v>51.763798323994465</v>
      </c>
      <c r="E8" s="751">
        <v>105.85862570239269</v>
      </c>
      <c r="F8" s="751">
        <v>0</v>
      </c>
      <c r="G8" s="751">
        <v>54.344982891809458</v>
      </c>
      <c r="H8" s="751">
        <v>53.633380647422761</v>
      </c>
      <c r="I8" s="751">
        <v>49.96524279268715</v>
      </c>
      <c r="J8" s="751"/>
      <c r="K8" s="752"/>
    </row>
    <row r="9" spans="1:12">
      <c r="B9" s="16" t="s">
        <v>24</v>
      </c>
      <c r="D9" s="749"/>
      <c r="E9" s="749"/>
      <c r="F9" s="749"/>
      <c r="G9" s="749"/>
      <c r="H9" s="749"/>
      <c r="I9" s="749"/>
      <c r="J9" s="749"/>
      <c r="K9" s="749"/>
    </row>
    <row r="10" spans="1:12">
      <c r="B10" t="s">
        <v>23</v>
      </c>
      <c r="C10" s="152" t="s">
        <v>128</v>
      </c>
      <c r="D10" s="677">
        <v>41.00773470345063</v>
      </c>
      <c r="E10" s="678">
        <v>83.862165828947809</v>
      </c>
      <c r="F10" s="678">
        <v>0</v>
      </c>
      <c r="G10" s="678">
        <v>42.928145743424871</v>
      </c>
      <c r="H10" s="678">
        <v>42.366037424828896</v>
      </c>
      <c r="I10" s="678">
        <v>43.068628047465069</v>
      </c>
      <c r="J10" s="678"/>
      <c r="K10" s="679"/>
    </row>
    <row r="11" spans="1:12">
      <c r="B11" t="s">
        <v>25</v>
      </c>
      <c r="C11" s="152" t="s">
        <v>128</v>
      </c>
      <c r="D11" s="753">
        <v>1.1916971284990834</v>
      </c>
      <c r="E11" s="754">
        <v>2.4370588009559624</v>
      </c>
      <c r="F11" s="754">
        <v>0</v>
      </c>
      <c r="G11" s="754">
        <v>-8.8552002484216935E-2</v>
      </c>
      <c r="H11" s="754">
        <v>-8.7392487836136998E-2</v>
      </c>
      <c r="I11" s="754">
        <v>-3.1683727714216339</v>
      </c>
      <c r="J11" s="754"/>
      <c r="K11" s="755"/>
    </row>
    <row r="12" spans="1:12">
      <c r="D12" s="749"/>
      <c r="E12" s="749"/>
      <c r="F12" s="749"/>
      <c r="G12" s="749"/>
      <c r="H12" s="749"/>
      <c r="I12" s="749"/>
      <c r="J12" s="749"/>
      <c r="K12" s="749"/>
    </row>
    <row r="13" spans="1:12">
      <c r="D13" s="749"/>
      <c r="E13" s="749"/>
      <c r="F13" s="749"/>
      <c r="G13" s="749"/>
      <c r="H13" s="749"/>
      <c r="I13" s="749"/>
      <c r="J13" s="749"/>
      <c r="K13" s="749"/>
    </row>
    <row r="14" spans="1:12">
      <c r="B14" t="s">
        <v>23</v>
      </c>
      <c r="C14" s="210" t="str">
        <f>'RFPR cover'!$C$14</f>
        <v>£m 12/13</v>
      </c>
      <c r="D14" s="17">
        <f>D10/Data!C$34</f>
        <v>38.674985404966918</v>
      </c>
      <c r="E14" s="17">
        <f>E10/Data!D$34</f>
        <v>77.432433523267889</v>
      </c>
      <c r="F14" s="17">
        <f>F10/Data!E$34</f>
        <v>0</v>
      </c>
      <c r="G14" s="17">
        <f>G10/Data!F$34</f>
        <v>37.074293912535055</v>
      </c>
      <c r="H14" s="17">
        <f>H10/Data!G$34</f>
        <v>35.665561780196981</v>
      </c>
      <c r="I14" s="17">
        <f>I10/Data!H$34</f>
        <v>35.822565303088098</v>
      </c>
      <c r="J14" s="17">
        <f>J10/Data!I$34</f>
        <v>0</v>
      </c>
      <c r="K14" s="17">
        <f>K10/Data!J$34</f>
        <v>0</v>
      </c>
    </row>
    <row r="15" spans="1:12">
      <c r="D15" s="749"/>
      <c r="E15" s="749"/>
      <c r="F15" s="749"/>
      <c r="G15" s="749"/>
      <c r="H15" s="749"/>
      <c r="I15" s="749"/>
      <c r="J15" s="749"/>
      <c r="K15" s="749"/>
    </row>
    <row r="16" spans="1:12">
      <c r="D16" s="749"/>
      <c r="E16" s="749"/>
      <c r="F16" s="749"/>
      <c r="G16" s="749"/>
      <c r="H16" s="749"/>
      <c r="I16" s="749"/>
      <c r="J16" s="749"/>
      <c r="K16" s="749"/>
    </row>
    <row r="17" spans="2:11" s="2" customFormat="1">
      <c r="B17" s="14" t="s">
        <v>313</v>
      </c>
      <c r="C17" s="210" t="str">
        <f>'RFPR cover'!$C$14</f>
        <v>£m 12/13</v>
      </c>
      <c r="D17" s="756">
        <v>38.102678465092197</v>
      </c>
      <c r="E17" s="756">
        <v>38.102678465092197</v>
      </c>
      <c r="F17" s="756">
        <v>38.102678465092197</v>
      </c>
      <c r="G17" s="756">
        <v>38.096387397332229</v>
      </c>
      <c r="H17" s="756">
        <v>38.096387397332229</v>
      </c>
      <c r="I17" s="756">
        <v>38.096387397332229</v>
      </c>
      <c r="J17" s="756">
        <v>24.20567663744292</v>
      </c>
      <c r="K17" s="756">
        <v>24.20567663744292</v>
      </c>
    </row>
    <row r="18" spans="2:11" s="2" customFormat="1">
      <c r="B18" s="200" t="s">
        <v>314</v>
      </c>
      <c r="C18" s="210" t="str">
        <f>'RFPR cover'!$C$14</f>
        <v>£m 12/13</v>
      </c>
      <c r="D18" s="756">
        <v>1.7436112179257888</v>
      </c>
      <c r="E18" s="756">
        <v>1.7436112179257888</v>
      </c>
      <c r="F18" s="756">
        <v>1.7436112179257888</v>
      </c>
      <c r="G18" s="756">
        <v>1.73732015016582</v>
      </c>
      <c r="H18" s="756">
        <v>1.73732015016582</v>
      </c>
      <c r="I18" s="756">
        <v>1.73732015016582</v>
      </c>
      <c r="J18" s="756">
        <v>1.73732015016582</v>
      </c>
      <c r="K18" s="756">
        <v>7.6973201501658197</v>
      </c>
    </row>
    <row r="19" spans="2:11" s="2" customFormat="1">
      <c r="B19" s="14" t="s">
        <v>315</v>
      </c>
      <c r="C19" s="210" t="str">
        <f>'RFPR cover'!$C$14</f>
        <v>£m 12/13</v>
      </c>
      <c r="D19" s="17">
        <f>D17-D18</f>
        <v>36.359067247166408</v>
      </c>
      <c r="E19" s="17">
        <f t="shared" ref="E19:K19" si="1">E17-E18</f>
        <v>36.359067247166408</v>
      </c>
      <c r="F19" s="17">
        <f t="shared" si="1"/>
        <v>36.359067247166408</v>
      </c>
      <c r="G19" s="17">
        <f t="shared" si="1"/>
        <v>36.359067247166408</v>
      </c>
      <c r="H19" s="17">
        <f t="shared" si="1"/>
        <v>36.359067247166408</v>
      </c>
      <c r="I19" s="17">
        <f t="shared" si="1"/>
        <v>36.359067247166408</v>
      </c>
      <c r="J19" s="17">
        <f t="shared" si="1"/>
        <v>22.468356487277099</v>
      </c>
      <c r="K19" s="17">
        <f t="shared" si="1"/>
        <v>16.508356487277101</v>
      </c>
    </row>
    <row r="20" spans="2:11" s="2" customFormat="1">
      <c r="B20" s="14"/>
      <c r="C20" s="14"/>
      <c r="D20" s="14"/>
      <c r="E20" s="14"/>
      <c r="F20" s="14"/>
      <c r="G20" s="14"/>
      <c r="H20" s="14"/>
      <c r="I20" s="14"/>
      <c r="J20" s="14"/>
      <c r="K20" s="14"/>
    </row>
    <row r="21" spans="2:11" s="2" customFormat="1">
      <c r="B21" s="14"/>
      <c r="C21" s="14"/>
      <c r="D21" s="998" t="s">
        <v>118</v>
      </c>
      <c r="E21" s="14"/>
      <c r="F21" s="14"/>
      <c r="G21" s="14"/>
      <c r="H21" s="14"/>
      <c r="I21" s="14"/>
      <c r="J21" s="14"/>
      <c r="K21" s="14"/>
    </row>
    <row r="22" spans="2:11" s="2" customFormat="1" ht="12.75" customHeight="1">
      <c r="B22" s="14"/>
      <c r="C22" s="14"/>
      <c r="D22" s="999"/>
      <c r="E22" s="14"/>
      <c r="F22" s="14"/>
      <c r="G22" s="14"/>
      <c r="H22" s="14"/>
      <c r="I22" s="14"/>
      <c r="J22" s="14"/>
      <c r="K22" s="14"/>
    </row>
    <row r="23" spans="2:11">
      <c r="C23" s="14"/>
      <c r="D23" s="1000"/>
      <c r="E23" s="14"/>
    </row>
    <row r="24" spans="2:11">
      <c r="B24" s="14" t="s">
        <v>117</v>
      </c>
      <c r="C24" s="14"/>
      <c r="D24" s="949">
        <v>43555</v>
      </c>
    </row>
    <row r="25" spans="2:11">
      <c r="B25" s="14"/>
      <c r="C25" s="14"/>
      <c r="D25" s="40"/>
      <c r="E25" s="41"/>
      <c r="F25" s="41"/>
    </row>
    <row r="26" spans="2:11">
      <c r="B26" s="200" t="s">
        <v>312</v>
      </c>
      <c r="C26" s="14"/>
      <c r="D26" s="950" t="s">
        <v>77</v>
      </c>
      <c r="E26" s="41"/>
      <c r="F26" s="41"/>
    </row>
    <row r="27" spans="2:11">
      <c r="B27" s="200"/>
      <c r="C27" s="14"/>
      <c r="D27" s="40"/>
      <c r="E27" s="41"/>
      <c r="F27" s="41"/>
    </row>
    <row r="28" spans="2:11">
      <c r="B28" s="14"/>
      <c r="D28" s="362" t="s">
        <v>282</v>
      </c>
      <c r="E28" s="41"/>
      <c r="F28" s="41"/>
    </row>
    <row r="29" spans="2:11">
      <c r="B29" t="s">
        <v>26</v>
      </c>
      <c r="D29" s="951">
        <v>389.98603000000003</v>
      </c>
    </row>
    <row r="30" spans="2:11">
      <c r="B30" t="s">
        <v>27</v>
      </c>
      <c r="D30" s="951">
        <v>2304.3139700000002</v>
      </c>
    </row>
    <row r="31" spans="2:11">
      <c r="D31" s="749"/>
    </row>
    <row r="32" spans="2:11">
      <c r="B32" t="s">
        <v>28</v>
      </c>
      <c r="D32" s="951">
        <v>410.80000000000007</v>
      </c>
    </row>
    <row r="33" spans="2:4">
      <c r="B33" t="s">
        <v>29</v>
      </c>
      <c r="D33" s="951">
        <v>2011.8000000000002</v>
      </c>
    </row>
    <row r="34" spans="2:4">
      <c r="D34" s="749"/>
    </row>
    <row r="35" spans="2:4">
      <c r="B35" s="43" t="s">
        <v>31</v>
      </c>
      <c r="D35" s="17">
        <f>D29-D32</f>
        <v>-20.81397000000004</v>
      </c>
    </row>
    <row r="36" spans="2:4">
      <c r="B36" s="43" t="s">
        <v>30</v>
      </c>
      <c r="D36" s="17">
        <f>D30-D33</f>
        <v>292.51396999999997</v>
      </c>
    </row>
    <row r="37" spans="2:4">
      <c r="D37" s="749"/>
    </row>
    <row r="38" spans="2:4">
      <c r="B38" t="s">
        <v>32</v>
      </c>
      <c r="D38" s="951">
        <v>182.41686200340436</v>
      </c>
    </row>
    <row r="39" spans="2:4">
      <c r="B39" t="s">
        <v>33</v>
      </c>
      <c r="D39" s="951">
        <v>-12.722406168740672</v>
      </c>
    </row>
  </sheetData>
  <mergeCells count="1">
    <mergeCell ref="D21:D23"/>
  </mergeCells>
  <conditionalFormatting sqref="D6:J6">
    <cfRule type="expression" dxfId="18" priority="22">
      <formula>AND(D$4="Actuals",E$4="Forecast")</formula>
    </cfRule>
  </conditionalFormatting>
  <conditionalFormatting sqref="D11:H11 J11:K11">
    <cfRule type="expression" dxfId="17" priority="16">
      <formula>D$5="Forecast"</formula>
    </cfRule>
    <cfRule type="expression" dxfId="16" priority="17">
      <formula>D$5="Actuals"</formula>
    </cfRule>
  </conditionalFormatting>
  <conditionalFormatting sqref="D8:H8 J8:K8">
    <cfRule type="expression" dxfId="15" priority="20">
      <formula>D$5="Forecast"</formula>
    </cfRule>
    <cfRule type="expression" dxfId="14" priority="21">
      <formula>D$5="Actuals"</formula>
    </cfRule>
  </conditionalFormatting>
  <conditionalFormatting sqref="D10:H10 J10:K10">
    <cfRule type="expression" dxfId="13" priority="18">
      <formula>D$5="Forecast"</formula>
    </cfRule>
    <cfRule type="expression" dxfId="12" priority="19">
      <formula>D$5="Actuals"</formula>
    </cfRule>
  </conditionalFormatting>
  <conditionalFormatting sqref="D5:K6">
    <cfRule type="expression" dxfId="11" priority="15">
      <formula>AND(D$5="Actuals",E$5="Forecast")</formula>
    </cfRule>
  </conditionalFormatting>
  <conditionalFormatting sqref="D21">
    <cfRule type="expression" dxfId="10" priority="12">
      <formula>AND(E$4="Actuals",F$4="Forecast")</formula>
    </cfRule>
  </conditionalFormatting>
  <conditionalFormatting sqref="K6">
    <cfRule type="expression" dxfId="9" priority="118">
      <formula>AND(K$4="Actuals",#REF!="Forecast")</formula>
    </cfRule>
  </conditionalFormatting>
  <conditionalFormatting sqref="K5">
    <cfRule type="expression" dxfId="8" priority="120">
      <formula>AND(K$5="Actuals",#REF!="Forecast")</formula>
    </cfRule>
  </conditionalFormatting>
  <conditionalFormatting sqref="I11">
    <cfRule type="expression" dxfId="7" priority="1">
      <formula>I$5="Forecast"</formula>
    </cfRule>
    <cfRule type="expression" dxfId="6" priority="2">
      <formula>I$5="Actuals"</formula>
    </cfRule>
  </conditionalFormatting>
  <conditionalFormatting sqref="I8">
    <cfRule type="expression" dxfId="5" priority="5">
      <formula>I$5="Forecast"</formula>
    </cfRule>
    <cfRule type="expression" dxfId="4" priority="6">
      <formula>I$5="Actuals"</formula>
    </cfRule>
  </conditionalFormatting>
  <conditionalFormatting sqref="I10">
    <cfRule type="expression" dxfId="3" priority="3">
      <formula>I$5="Forecast"</formula>
    </cfRule>
    <cfRule type="expression" dxfId="2" priority="4">
      <formula>I$5="Actuals"</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70" zoomScaleNormal="70" workbookViewId="0">
      <pane ySplit="6" topLeftCell="A7" activePane="bottomLeft" state="frozen"/>
      <selection activeCell="B130" sqref="B130"/>
      <selection pane="bottomLeft" activeCell="A3" sqref="A3"/>
    </sheetView>
  </sheetViews>
  <sheetFormatPr defaultRowHeight="12.6"/>
  <cols>
    <col min="1" max="1" width="8.36328125" customWidth="1"/>
    <col min="2" max="2" width="70.7265625" customWidth="1"/>
    <col min="3" max="3" width="14.08984375" customWidth="1"/>
    <col min="4" max="11" width="11.08984375" customWidth="1"/>
    <col min="12" max="12" width="5" customWidth="1"/>
  </cols>
  <sheetData>
    <row r="1" spans="1:19" s="31" customFormat="1" ht="21">
      <c r="A1" s="909" t="s">
        <v>258</v>
      </c>
      <c r="B1" s="919"/>
      <c r="C1" s="256"/>
      <c r="D1" s="256"/>
      <c r="E1" s="256"/>
      <c r="F1" s="256"/>
      <c r="G1" s="256"/>
      <c r="H1" s="256"/>
      <c r="I1" s="257"/>
      <c r="J1" s="257"/>
      <c r="K1" s="258"/>
      <c r="L1" s="363"/>
      <c r="M1" s="33"/>
      <c r="N1" s="33"/>
      <c r="O1" s="32" t="s">
        <v>84</v>
      </c>
      <c r="P1" s="33"/>
      <c r="Q1" s="33"/>
      <c r="R1" s="33"/>
      <c r="S1" s="33"/>
    </row>
    <row r="2" spans="1:19" s="31" customFormat="1" ht="21">
      <c r="A2" s="912" t="str">
        <f>'RFPR cover'!C5</f>
        <v>WPD-SWEST</v>
      </c>
      <c r="B2" s="904"/>
      <c r="C2" s="29"/>
      <c r="D2" s="29"/>
      <c r="E2" s="29"/>
      <c r="F2" s="29"/>
      <c r="G2" s="29"/>
      <c r="H2" s="29"/>
      <c r="I2" s="27"/>
      <c r="J2" s="27"/>
      <c r="K2" s="27"/>
      <c r="L2" s="123"/>
      <c r="M2" s="33"/>
      <c r="N2" s="33"/>
      <c r="O2" s="32" t="s">
        <v>84</v>
      </c>
      <c r="P2" s="33"/>
      <c r="Q2" s="33"/>
      <c r="R2" s="33"/>
      <c r="S2" s="33"/>
    </row>
    <row r="3" spans="1:19" s="31" customFormat="1" ht="21">
      <c r="A3" s="915">
        <f>'RFPR cover'!C7</f>
        <v>2021</v>
      </c>
      <c r="B3" s="922"/>
      <c r="C3" s="260"/>
      <c r="D3" s="260"/>
      <c r="E3" s="260"/>
      <c r="F3" s="260"/>
      <c r="G3" s="260"/>
      <c r="H3" s="260"/>
      <c r="I3" s="255"/>
      <c r="J3" s="255"/>
      <c r="K3" s="255"/>
      <c r="L3" s="261"/>
      <c r="M3" s="33"/>
      <c r="N3" s="33"/>
      <c r="O3" s="32" t="s">
        <v>84</v>
      </c>
      <c r="P3" s="33"/>
      <c r="Q3" s="33"/>
      <c r="R3" s="33"/>
      <c r="S3" s="33"/>
    </row>
    <row r="4" spans="1:19" s="2" customFormat="1" ht="12.75" customHeight="1">
      <c r="M4" s="33"/>
      <c r="N4" s="33"/>
      <c r="O4" s="32" t="s">
        <v>84</v>
      </c>
      <c r="P4" s="33"/>
      <c r="Q4" s="33"/>
      <c r="R4" s="33"/>
      <c r="S4" s="33"/>
    </row>
    <row r="5" spans="1:19" s="2" customFormat="1" ht="12.75" customHeight="1">
      <c r="B5" s="3"/>
      <c r="C5" s="3"/>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c r="M5" s="33"/>
      <c r="N5" s="33"/>
      <c r="O5" s="32" t="s">
        <v>84</v>
      </c>
      <c r="P5" s="33"/>
      <c r="Q5" s="33"/>
      <c r="R5" s="33"/>
      <c r="S5" s="33"/>
    </row>
    <row r="6" spans="1:19" s="2" customFormat="1">
      <c r="C6" s="14"/>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9">
      <c r="D7" s="760"/>
      <c r="E7" s="760"/>
      <c r="F7" s="760"/>
      <c r="G7" s="760"/>
      <c r="H7" s="760"/>
      <c r="I7" s="760"/>
      <c r="J7" s="760"/>
      <c r="K7" s="760"/>
    </row>
    <row r="8" spans="1:19">
      <c r="B8" s="50" t="s">
        <v>465</v>
      </c>
      <c r="C8" s="210" t="str">
        <f>'RFPR cover'!$C$14</f>
        <v>£m 12/13</v>
      </c>
      <c r="D8" s="757">
        <f>(D16+D21)/Data!C34</f>
        <v>2.3238338993111897E-3</v>
      </c>
      <c r="E8" s="757">
        <f>(E16+E21)/Data!D34</f>
        <v>1.6841534838787566E-3</v>
      </c>
      <c r="F8" s="757">
        <f>(F16+F21)/Data!E34</f>
        <v>2.8224028629577859E-3</v>
      </c>
      <c r="G8" s="757">
        <f>(G16+G21)/Data!F34</f>
        <v>1.5949630437545035E-3</v>
      </c>
      <c r="H8" s="757">
        <f>(H16+H21)/Data!G34</f>
        <v>3.1980782457456253E-3</v>
      </c>
      <c r="I8" s="757">
        <f>(I16+I21)/Data!H34</f>
        <v>3.5404085816899923E-3</v>
      </c>
      <c r="J8" s="757">
        <f>(J16+J21)/Data!I34</f>
        <v>2.3518462150516803E-3</v>
      </c>
      <c r="K8" s="757">
        <f>(K16+K21)/Data!J34</f>
        <v>2.2816844191624352E-3</v>
      </c>
    </row>
    <row r="9" spans="1:19">
      <c r="D9" s="760"/>
      <c r="E9" s="760"/>
      <c r="F9" s="760"/>
      <c r="G9" s="760"/>
      <c r="H9" s="760"/>
      <c r="I9" s="760"/>
      <c r="J9" s="760"/>
      <c r="K9" s="760"/>
    </row>
    <row r="10" spans="1:19">
      <c r="B10" s="14" t="s">
        <v>449</v>
      </c>
      <c r="D10" s="760"/>
      <c r="E10" s="760"/>
      <c r="F10" s="760"/>
      <c r="G10" s="760"/>
      <c r="H10" s="760"/>
      <c r="I10" s="760"/>
      <c r="J10" s="760"/>
      <c r="K10" s="760"/>
    </row>
    <row r="11" spans="1:19">
      <c r="B11" s="44" t="s">
        <v>36</v>
      </c>
      <c r="C11" s="152" t="s">
        <v>128</v>
      </c>
      <c r="D11" s="638">
        <v>0</v>
      </c>
      <c r="E11" s="639">
        <v>0</v>
      </c>
      <c r="F11" s="639">
        <v>0</v>
      </c>
      <c r="G11" s="639">
        <v>0</v>
      </c>
      <c r="H11" s="639">
        <v>0</v>
      </c>
      <c r="I11" s="639">
        <v>0</v>
      </c>
      <c r="J11" s="639">
        <v>0</v>
      </c>
      <c r="K11" s="640">
        <v>0</v>
      </c>
    </row>
    <row r="12" spans="1:19">
      <c r="B12" s="44" t="s">
        <v>36</v>
      </c>
      <c r="C12" s="152" t="s">
        <v>128</v>
      </c>
      <c r="D12" s="638">
        <v>0</v>
      </c>
      <c r="E12" s="639">
        <v>0</v>
      </c>
      <c r="F12" s="639">
        <v>0</v>
      </c>
      <c r="G12" s="639">
        <v>0</v>
      </c>
      <c r="H12" s="639">
        <v>0</v>
      </c>
      <c r="I12" s="639">
        <v>0</v>
      </c>
      <c r="J12" s="639">
        <v>0</v>
      </c>
      <c r="K12" s="640">
        <v>0</v>
      </c>
    </row>
    <row r="13" spans="1:19">
      <c r="B13" s="44" t="s">
        <v>20</v>
      </c>
      <c r="C13" s="152" t="s">
        <v>128</v>
      </c>
      <c r="D13" s="638">
        <v>0</v>
      </c>
      <c r="E13" s="639">
        <v>0</v>
      </c>
      <c r="F13" s="639">
        <v>0</v>
      </c>
      <c r="G13" s="639">
        <v>0</v>
      </c>
      <c r="H13" s="639">
        <v>0</v>
      </c>
      <c r="I13" s="639">
        <v>0</v>
      </c>
      <c r="J13" s="639">
        <v>0</v>
      </c>
      <c r="K13" s="640">
        <v>0</v>
      </c>
    </row>
    <row r="14" spans="1:19">
      <c r="B14" s="14" t="s">
        <v>462</v>
      </c>
      <c r="C14" s="152" t="s">
        <v>128</v>
      </c>
      <c r="D14" s="757">
        <f>SUM(D11:D13)</f>
        <v>0</v>
      </c>
      <c r="E14" s="758">
        <f t="shared" ref="E14:H14" si="1">SUM(E11:E13)</f>
        <v>0</v>
      </c>
      <c r="F14" s="758">
        <f t="shared" si="1"/>
        <v>0</v>
      </c>
      <c r="G14" s="758">
        <f t="shared" si="1"/>
        <v>0</v>
      </c>
      <c r="H14" s="758">
        <f t="shared" si="1"/>
        <v>0</v>
      </c>
      <c r="I14" s="758">
        <f t="shared" ref="I14:K14" si="2">SUM(I11:I13)</f>
        <v>0</v>
      </c>
      <c r="J14" s="758">
        <f t="shared" si="2"/>
        <v>0</v>
      </c>
      <c r="K14" s="759">
        <f t="shared" si="2"/>
        <v>0</v>
      </c>
    </row>
    <row r="15" spans="1:19">
      <c r="B15" s="35" t="s">
        <v>456</v>
      </c>
      <c r="C15" s="152" t="s">
        <v>128</v>
      </c>
      <c r="D15" s="638">
        <v>0</v>
      </c>
      <c r="E15" s="639">
        <v>0</v>
      </c>
      <c r="F15" s="639">
        <v>0</v>
      </c>
      <c r="G15" s="639">
        <v>0</v>
      </c>
      <c r="H15" s="639">
        <v>0</v>
      </c>
      <c r="I15" s="639">
        <v>0</v>
      </c>
      <c r="J15" s="639">
        <v>0</v>
      </c>
      <c r="K15" s="640">
        <v>0</v>
      </c>
    </row>
    <row r="16" spans="1:19">
      <c r="B16" s="50" t="s">
        <v>463</v>
      </c>
      <c r="C16" s="152" t="s">
        <v>128</v>
      </c>
      <c r="D16" s="757">
        <f>D14-D15</f>
        <v>0</v>
      </c>
      <c r="E16" s="757">
        <f t="shared" ref="E16:K16" si="3">E14-E15</f>
        <v>0</v>
      </c>
      <c r="F16" s="757">
        <f t="shared" si="3"/>
        <v>0</v>
      </c>
      <c r="G16" s="757">
        <f t="shared" si="3"/>
        <v>0</v>
      </c>
      <c r="H16" s="757">
        <f t="shared" si="3"/>
        <v>0</v>
      </c>
      <c r="I16" s="757">
        <f t="shared" si="3"/>
        <v>0</v>
      </c>
      <c r="J16" s="757">
        <f t="shared" si="3"/>
        <v>0</v>
      </c>
      <c r="K16" s="757">
        <f t="shared" si="3"/>
        <v>0</v>
      </c>
    </row>
    <row r="18" spans="2:11">
      <c r="B18" s="14" t="s">
        <v>460</v>
      </c>
      <c r="D18" s="760"/>
      <c r="E18" s="760"/>
      <c r="F18" s="760"/>
      <c r="G18" s="760"/>
      <c r="H18" s="760"/>
      <c r="I18" s="760"/>
      <c r="J18" s="760"/>
      <c r="K18" s="760"/>
    </row>
    <row r="19" spans="2:11">
      <c r="B19" s="845" t="s">
        <v>461</v>
      </c>
      <c r="C19" s="152" t="s">
        <v>128</v>
      </c>
      <c r="D19" s="638">
        <v>3.0799999999999994E-3</v>
      </c>
      <c r="E19" s="639">
        <v>2.2799999999999973E-3</v>
      </c>
      <c r="F19" s="639">
        <v>3.9149999999999949E-3</v>
      </c>
      <c r="G19" s="639">
        <v>2.2800000000000042E-3</v>
      </c>
      <c r="H19" s="639">
        <v>4.6899999999999997E-3</v>
      </c>
      <c r="I19" s="639">
        <v>5.2550000000000001E-3</v>
      </c>
      <c r="J19" s="639">
        <f>AVERAGE(D19:I19)</f>
        <v>3.5833333333333325E-3</v>
      </c>
      <c r="K19" s="640">
        <f>+J19</f>
        <v>3.5833333333333325E-3</v>
      </c>
    </row>
    <row r="20" spans="2:11">
      <c r="B20" s="35" t="s">
        <v>456</v>
      </c>
      <c r="C20" s="152" t="s">
        <v>128</v>
      </c>
      <c r="D20" s="638">
        <v>6.159999999999999E-4</v>
      </c>
      <c r="E20" s="639">
        <v>4.5599999999999948E-4</v>
      </c>
      <c r="F20" s="639">
        <v>7.4384999999999903E-4</v>
      </c>
      <c r="G20" s="639">
        <v>4.3320000000000083E-4</v>
      </c>
      <c r="H20" s="639">
        <v>8.9109999999999992E-4</v>
      </c>
      <c r="I20" s="639">
        <f>+I19*Data!$G$25</f>
        <v>9.9845000000000012E-4</v>
      </c>
      <c r="J20" s="639">
        <f>+J19*Data!$G$26</f>
        <v>6.808333333333332E-4</v>
      </c>
      <c r="K20" s="639">
        <f>+K19*Data!$G$27</f>
        <v>6.808333333333332E-4</v>
      </c>
    </row>
    <row r="21" spans="2:11">
      <c r="B21" s="50" t="s">
        <v>464</v>
      </c>
      <c r="C21" s="152" t="s">
        <v>128</v>
      </c>
      <c r="D21" s="757">
        <f>D19-D20</f>
        <v>2.4639999999999996E-3</v>
      </c>
      <c r="E21" s="757">
        <f t="shared" ref="E21:K21" si="4">E19-E20</f>
        <v>1.8239999999999979E-3</v>
      </c>
      <c r="F21" s="757">
        <f t="shared" si="4"/>
        <v>3.1711499999999958E-3</v>
      </c>
      <c r="G21" s="757">
        <f t="shared" si="4"/>
        <v>1.8468000000000035E-3</v>
      </c>
      <c r="H21" s="757">
        <f t="shared" si="4"/>
        <v>3.7989E-3</v>
      </c>
      <c r="I21" s="757">
        <f t="shared" si="4"/>
        <v>4.2565499999999996E-3</v>
      </c>
      <c r="J21" s="757">
        <f t="shared" si="4"/>
        <v>2.9024999999999993E-3</v>
      </c>
      <c r="K21" s="757">
        <f t="shared" si="4"/>
        <v>2.9024999999999993E-3</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70" zoomScaleNormal="70" workbookViewId="0">
      <pane ySplit="4" topLeftCell="A5" activePane="bottomLeft" state="frozen"/>
      <selection activeCell="A3" sqref="A3"/>
      <selection pane="bottomLeft" activeCell="A3" sqref="A3"/>
    </sheetView>
  </sheetViews>
  <sheetFormatPr defaultRowHeight="12.6"/>
  <cols>
    <col min="1" max="1" width="8.36328125" customWidth="1"/>
    <col min="2" max="2" width="35.08984375" customWidth="1"/>
    <col min="8" max="8" width="10.08984375" bestFit="1" customWidth="1"/>
    <col min="14" max="14" width="9" customWidth="1"/>
  </cols>
  <sheetData>
    <row r="1" spans="1:14" ht="21">
      <c r="A1" s="909" t="s">
        <v>373</v>
      </c>
      <c r="B1" s="910"/>
      <c r="C1" s="910"/>
      <c r="D1" s="910"/>
      <c r="E1" s="910"/>
      <c r="F1" s="910"/>
      <c r="G1" s="910"/>
      <c r="H1" s="910"/>
      <c r="I1" s="910"/>
      <c r="J1" s="910"/>
      <c r="K1" s="910"/>
      <c r="L1" s="910"/>
      <c r="M1" s="910"/>
      <c r="N1" s="911"/>
    </row>
    <row r="2" spans="1:14" ht="21">
      <c r="A2" s="912" t="str">
        <f>'RFPR cover'!C5</f>
        <v>WPD-SWEST</v>
      </c>
      <c r="B2" s="913"/>
      <c r="C2" s="913"/>
      <c r="D2" s="913"/>
      <c r="E2" s="913"/>
      <c r="F2" s="913"/>
      <c r="G2" s="913"/>
      <c r="H2" s="913"/>
      <c r="I2" s="913"/>
      <c r="J2" s="913"/>
      <c r="K2" s="913"/>
      <c r="L2" s="913"/>
      <c r="M2" s="913"/>
      <c r="N2" s="914"/>
    </row>
    <row r="3" spans="1:14" ht="21">
      <c r="A3" s="915">
        <f>'RFPR cover'!C7</f>
        <v>2021</v>
      </c>
      <c r="B3" s="916"/>
      <c r="C3" s="916"/>
      <c r="D3" s="916"/>
      <c r="E3" s="916"/>
      <c r="F3" s="916"/>
      <c r="G3" s="916"/>
      <c r="H3" s="916"/>
      <c r="I3" s="916"/>
      <c r="J3" s="916"/>
      <c r="K3" s="916"/>
      <c r="L3" s="916"/>
      <c r="M3" s="916"/>
      <c r="N3" s="917"/>
    </row>
    <row r="6" spans="1:14">
      <c r="A6" s="30"/>
      <c r="B6" s="21">
        <v>2018</v>
      </c>
      <c r="C6" s="20" t="s">
        <v>63</v>
      </c>
      <c r="D6" s="18"/>
      <c r="E6" s="18"/>
      <c r="F6" s="842"/>
      <c r="G6" s="18"/>
    </row>
    <row r="7" spans="1:14">
      <c r="A7" s="30"/>
      <c r="B7" s="21">
        <v>2019</v>
      </c>
      <c r="C7" s="20" t="s">
        <v>64</v>
      </c>
      <c r="D7" s="18"/>
      <c r="E7" s="18"/>
      <c r="F7" s="18"/>
      <c r="G7" s="18"/>
    </row>
    <row r="8" spans="1:14" ht="13.2">
      <c r="A8" s="30"/>
      <c r="B8" s="21">
        <v>2020</v>
      </c>
      <c r="C8" s="20" t="s">
        <v>65</v>
      </c>
      <c r="D8" s="19"/>
      <c r="E8" s="19"/>
      <c r="F8" s="19"/>
      <c r="G8" s="19"/>
    </row>
    <row r="9" spans="1:14">
      <c r="A9" s="30"/>
      <c r="B9" s="21">
        <v>2021</v>
      </c>
      <c r="C9" s="20" t="s">
        <v>66</v>
      </c>
      <c r="D9" s="18"/>
      <c r="E9" s="18"/>
      <c r="F9" s="18"/>
      <c r="G9" s="18"/>
    </row>
    <row r="10" spans="1:14">
      <c r="A10" s="30"/>
      <c r="B10" s="21">
        <v>2022</v>
      </c>
      <c r="C10" s="20" t="s">
        <v>67</v>
      </c>
      <c r="D10" s="18"/>
      <c r="E10" s="18"/>
      <c r="F10" s="18"/>
    </row>
    <row r="11" spans="1:14" ht="13.2">
      <c r="A11" s="30"/>
      <c r="B11" s="21">
        <v>2023</v>
      </c>
      <c r="C11" s="20" t="s">
        <v>68</v>
      </c>
      <c r="D11" s="19"/>
      <c r="E11" s="19"/>
      <c r="F11" s="19"/>
    </row>
    <row r="12" spans="1:14">
      <c r="A12" s="30"/>
      <c r="B12" s="18"/>
      <c r="C12" s="18"/>
      <c r="D12" s="18"/>
      <c r="E12" s="18"/>
      <c r="F12" s="18"/>
    </row>
    <row r="13" spans="1:14" ht="75" customHeight="1">
      <c r="A13" s="30"/>
      <c r="B13" s="551" t="s">
        <v>39</v>
      </c>
      <c r="C13" s="552" t="s">
        <v>40</v>
      </c>
      <c r="D13" s="552" t="s">
        <v>192</v>
      </c>
      <c r="E13" s="552" t="s">
        <v>41</v>
      </c>
      <c r="F13" s="552" t="s">
        <v>42</v>
      </c>
      <c r="G13" s="553" t="s">
        <v>320</v>
      </c>
    </row>
    <row r="14" spans="1:14">
      <c r="A14" s="30"/>
      <c r="B14" s="162" t="s">
        <v>74</v>
      </c>
      <c r="C14" s="169">
        <v>2010</v>
      </c>
      <c r="D14" s="163" t="str">
        <f>IF(VALUE(C14)&lt;='RFPR cover'!$C$7,"Actual","Forecast")</f>
        <v>Actual</v>
      </c>
      <c r="E14" s="373">
        <v>215.767</v>
      </c>
      <c r="F14" s="498">
        <v>221.75</v>
      </c>
      <c r="G14" s="164">
        <v>0.28000000000000003</v>
      </c>
      <c r="H14" s="843"/>
      <c r="J14" s="844"/>
    </row>
    <row r="15" spans="1:14">
      <c r="A15" s="30"/>
      <c r="B15" s="165" t="s">
        <v>75</v>
      </c>
      <c r="C15" s="170">
        <v>2011</v>
      </c>
      <c r="D15" s="166" t="str">
        <f>IF(VALUE(C15)&lt;='RFPR cover'!$C$7,"Actual","Forecast")</f>
        <v>Actual</v>
      </c>
      <c r="E15" s="374">
        <v>226.47499999999999</v>
      </c>
      <c r="F15" s="499">
        <v>233.45</v>
      </c>
      <c r="G15" s="167">
        <v>0.28000000000000003</v>
      </c>
      <c r="H15" s="843"/>
      <c r="J15" s="844"/>
    </row>
    <row r="16" spans="1:14" ht="14.25" customHeight="1">
      <c r="A16" s="30"/>
      <c r="B16" s="165" t="s">
        <v>76</v>
      </c>
      <c r="C16" s="170">
        <v>2012</v>
      </c>
      <c r="D16" s="166" t="str">
        <f>IF(VALUE(C16)&lt;='RFPR cover'!$C$7,"Actual","Forecast")</f>
        <v>Actual</v>
      </c>
      <c r="E16" s="374">
        <v>237.34200000000001</v>
      </c>
      <c r="F16" s="499">
        <v>241.65</v>
      </c>
      <c r="G16" s="167">
        <v>0.26</v>
      </c>
      <c r="H16" s="843"/>
      <c r="J16" s="844"/>
    </row>
    <row r="17" spans="2:10">
      <c r="B17" s="165" t="s">
        <v>77</v>
      </c>
      <c r="C17" s="170">
        <v>2013</v>
      </c>
      <c r="D17" s="166" t="str">
        <f>IF(VALUE(C17)&lt;='RFPR cover'!$C$7,"Actual","Forecast")</f>
        <v>Actual</v>
      </c>
      <c r="E17" s="374">
        <v>244.67500000000001</v>
      </c>
      <c r="F17" s="499">
        <v>249.1</v>
      </c>
      <c r="G17" s="167">
        <v>0.24</v>
      </c>
      <c r="H17" s="843"/>
      <c r="J17" s="844"/>
    </row>
    <row r="18" spans="2:10">
      <c r="B18" s="165" t="s">
        <v>78</v>
      </c>
      <c r="C18" s="170">
        <v>2014</v>
      </c>
      <c r="D18" s="166" t="str">
        <f>IF(VALUE(C18)&lt;='RFPR cover'!$C$7,"Actual","Forecast")</f>
        <v>Actual</v>
      </c>
      <c r="E18" s="374">
        <v>251.733</v>
      </c>
      <c r="F18" s="499">
        <v>255.25</v>
      </c>
      <c r="G18" s="167">
        <v>0.23</v>
      </c>
      <c r="H18" s="843"/>
      <c r="I18" s="518"/>
      <c r="J18" s="844"/>
    </row>
    <row r="19" spans="2:10">
      <c r="B19" s="165" t="s">
        <v>79</v>
      </c>
      <c r="C19" s="170">
        <v>2015</v>
      </c>
      <c r="D19" s="166" t="str">
        <f>IF(VALUE(C19)&lt;='RFPR cover'!$C$7,"Actual","Forecast")</f>
        <v>Actual</v>
      </c>
      <c r="E19" s="374">
        <v>256.66699999999997</v>
      </c>
      <c r="F19" s="499">
        <v>257.55</v>
      </c>
      <c r="G19" s="167">
        <v>0.21</v>
      </c>
      <c r="H19" s="843"/>
      <c r="I19" s="518"/>
      <c r="J19" s="844"/>
    </row>
    <row r="20" spans="2:10">
      <c r="B20" s="165" t="s">
        <v>80</v>
      </c>
      <c r="C20" s="170">
        <v>2016</v>
      </c>
      <c r="D20" s="166" t="str">
        <f>IF(VALUE(C20)&lt;='RFPR cover'!$C$7,"Actual","Forecast")</f>
        <v>Actual</v>
      </c>
      <c r="E20" s="374">
        <v>259.43299999999999</v>
      </c>
      <c r="F20" s="499">
        <v>261.25</v>
      </c>
      <c r="G20" s="167">
        <v>0.2</v>
      </c>
      <c r="H20" s="843"/>
      <c r="I20" s="518"/>
      <c r="J20" s="844"/>
    </row>
    <row r="21" spans="2:10">
      <c r="B21" s="165" t="s">
        <v>81</v>
      </c>
      <c r="C21" s="170">
        <v>2017</v>
      </c>
      <c r="D21" s="166" t="str">
        <f>IF(VALUE(C21)&lt;='RFPR cover'!$C$7,"Actual","Forecast")</f>
        <v>Actual</v>
      </c>
      <c r="E21" s="374">
        <v>264.99200000000002</v>
      </c>
      <c r="F21" s="499">
        <v>269.95000000000005</v>
      </c>
      <c r="G21" s="167">
        <v>0.2</v>
      </c>
      <c r="H21" s="843"/>
      <c r="I21" s="518"/>
      <c r="J21" s="844"/>
    </row>
    <row r="22" spans="2:10">
      <c r="B22" s="165" t="s">
        <v>63</v>
      </c>
      <c r="C22" s="170">
        <v>2018</v>
      </c>
      <c r="D22" s="166" t="str">
        <f>IF(VALUE(C22)&lt;='RFPR cover'!$C$7,"Actual","Forecast")</f>
        <v>Actual</v>
      </c>
      <c r="E22" s="374">
        <v>274.90800000000002</v>
      </c>
      <c r="F22" s="499">
        <v>279</v>
      </c>
      <c r="G22" s="167">
        <v>0.19</v>
      </c>
      <c r="H22" s="843"/>
      <c r="I22" s="518"/>
      <c r="J22" s="844"/>
    </row>
    <row r="23" spans="2:10">
      <c r="B23" s="501" t="s">
        <v>64</v>
      </c>
      <c r="C23" s="502">
        <v>2019</v>
      </c>
      <c r="D23" s="166" t="str">
        <f>IF(VALUE(C23)&lt;='RFPR cover'!$C$7,"Actual","Forecast")</f>
        <v>Actual</v>
      </c>
      <c r="E23" s="374">
        <v>283.30799999999999</v>
      </c>
      <c r="F23" s="499">
        <v>286.64999999999998</v>
      </c>
      <c r="G23" s="167">
        <v>0.19</v>
      </c>
      <c r="H23" s="843"/>
      <c r="J23" s="844"/>
    </row>
    <row r="24" spans="2:10">
      <c r="B24" s="501" t="s">
        <v>65</v>
      </c>
      <c r="C24" s="502">
        <v>2020</v>
      </c>
      <c r="D24" s="166" t="str">
        <f>IF(VALUE(C24)&lt;='RFPR cover'!$C$7,"Actual","Forecast")</f>
        <v>Actual</v>
      </c>
      <c r="E24" s="374">
        <v>290.642</v>
      </c>
      <c r="F24" s="374">
        <v>292.60000000000002</v>
      </c>
      <c r="G24" s="167">
        <v>0.19</v>
      </c>
    </row>
    <row r="25" spans="2:10">
      <c r="B25" s="501" t="s">
        <v>66</v>
      </c>
      <c r="C25" s="502">
        <v>2021</v>
      </c>
      <c r="D25" s="166" t="str">
        <f>IF(VALUE(C25)&lt;='RFPR cover'!$C$7,"Actual","Forecast")</f>
        <v>Actual</v>
      </c>
      <c r="E25" s="374">
        <v>294.16699999999997</v>
      </c>
      <c r="F25" s="374">
        <v>299</v>
      </c>
      <c r="G25" s="167">
        <v>0.19</v>
      </c>
      <c r="J25" s="844"/>
    </row>
    <row r="26" spans="2:10">
      <c r="B26" s="501" t="s">
        <v>67</v>
      </c>
      <c r="C26" s="502">
        <v>2022</v>
      </c>
      <c r="D26" s="166" t="str">
        <f>IF(VALUE(C26)&lt;='RFPR cover'!$C$7,"Actual","Forecast")</f>
        <v>Forecast</v>
      </c>
      <c r="E26" s="500">
        <f t="shared" ref="E26:F27" si="0">E25*(1+INDEX($D$43:$J$43,0,MATCH($C26,$D$42:$J$42,0)))</f>
        <v>301.96242549999994</v>
      </c>
      <c r="F26" s="500">
        <f t="shared" si="0"/>
        <v>306.92349999999999</v>
      </c>
      <c r="G26" s="167">
        <v>0.19</v>
      </c>
      <c r="H26" s="843"/>
      <c r="J26" s="844"/>
    </row>
    <row r="27" spans="2:10">
      <c r="B27" s="501" t="s">
        <v>68</v>
      </c>
      <c r="C27" s="502">
        <v>2023</v>
      </c>
      <c r="D27" s="166" t="str">
        <f>IF(VALUE(C27)&lt;='RFPR cover'!$C$7,"Actual","Forecast")</f>
        <v>Forecast</v>
      </c>
      <c r="E27" s="500">
        <f t="shared" si="0"/>
        <v>311.24777008412497</v>
      </c>
      <c r="F27" s="500">
        <f t="shared" si="0"/>
        <v>316.361397625</v>
      </c>
      <c r="G27" s="167">
        <v>0.19</v>
      </c>
      <c r="H27" s="843"/>
      <c r="J27" s="844"/>
    </row>
    <row r="28" spans="2:10">
      <c r="B28" s="501" t="s">
        <v>205</v>
      </c>
      <c r="C28" s="502">
        <v>2024</v>
      </c>
      <c r="D28" s="166" t="str">
        <f>IF(VALUE(C28)&lt;='RFPR cover'!$C$7,"Actual","Forecast")</f>
        <v>Forecast</v>
      </c>
      <c r="E28" s="376"/>
      <c r="F28" s="376"/>
      <c r="G28" s="167">
        <v>0.19</v>
      </c>
    </row>
    <row r="29" spans="2:10">
      <c r="B29" s="501" t="s">
        <v>206</v>
      </c>
      <c r="C29" s="502">
        <v>2025</v>
      </c>
      <c r="D29" s="166" t="str">
        <f>IF(VALUE(C29)&lt;='RFPR cover'!$C$7,"Actual","Forecast")</f>
        <v>Forecast</v>
      </c>
      <c r="E29" s="376"/>
      <c r="F29" s="376"/>
      <c r="G29" s="167">
        <v>0.19</v>
      </c>
    </row>
    <row r="30" spans="2:10">
      <c r="B30" s="503" t="s">
        <v>207</v>
      </c>
      <c r="C30" s="504">
        <v>2026</v>
      </c>
      <c r="D30" s="168" t="str">
        <f>IF(VALUE(C30)&lt;='RFPR cover'!$C$7,"Actual","Forecast")</f>
        <v>Forecast</v>
      </c>
      <c r="E30" s="375"/>
      <c r="F30" s="375"/>
      <c r="G30" s="167">
        <v>0.19</v>
      </c>
    </row>
    <row r="31" spans="2:10">
      <c r="B31" s="88"/>
      <c r="C31" s="66"/>
      <c r="D31" s="66"/>
      <c r="E31" s="66"/>
      <c r="F31" s="66"/>
    </row>
    <row r="32" spans="2:10">
      <c r="B32" s="88"/>
      <c r="C32" s="343" t="str">
        <f>IF(C33&lt;='RFPR cover'!$C$7,"Actuals","Forecast")</f>
        <v>Actuals</v>
      </c>
      <c r="D32" s="344" t="str">
        <f>IF(D33&lt;='RFPR cover'!$C$7,"Actuals","Forecast")</f>
        <v>Actuals</v>
      </c>
      <c r="E32" s="344" t="str">
        <f>IF(E33&lt;='RFPR cover'!$C$7,"Actuals","Forecast")</f>
        <v>Actuals</v>
      </c>
      <c r="F32" s="344" t="str">
        <f>IF(F33&lt;='RFPR cover'!$C$7,"Actuals","Forecast")</f>
        <v>Actuals</v>
      </c>
      <c r="G32" s="344" t="str">
        <f>IF(G33&lt;='RFPR cover'!$C$7,"Actuals","Forecast")</f>
        <v>Actuals</v>
      </c>
      <c r="H32" s="344" t="str">
        <f>IF(H33&lt;='RFPR cover'!$C$7,"Actuals","Forecast")</f>
        <v>Actuals</v>
      </c>
      <c r="I32" s="344" t="str">
        <f>IF(I33&lt;='RFPR cover'!$C$7,"Actuals","Forecast")</f>
        <v>Forecast</v>
      </c>
      <c r="J32" s="345" t="str">
        <f>IF(J33&lt;='RFPR cover'!$C$7,"Actuals","Forecast")</f>
        <v>Forecast</v>
      </c>
    </row>
    <row r="33" spans="2:13" ht="15.75" customHeight="1">
      <c r="B33" s="289"/>
      <c r="C33" s="90">
        <f>'RFPR cover'!$C$13</f>
        <v>2016</v>
      </c>
      <c r="D33" s="91">
        <f t="shared" ref="D33:J33" si="1">C33+1</f>
        <v>2017</v>
      </c>
      <c r="E33" s="91">
        <f t="shared" si="1"/>
        <v>2018</v>
      </c>
      <c r="F33" s="91">
        <f t="shared" si="1"/>
        <v>2019</v>
      </c>
      <c r="G33" s="91">
        <f t="shared" si="1"/>
        <v>2020</v>
      </c>
      <c r="H33" s="91">
        <f t="shared" si="1"/>
        <v>2021</v>
      </c>
      <c r="I33" s="91">
        <f t="shared" si="1"/>
        <v>2022</v>
      </c>
      <c r="J33" s="316">
        <f t="shared" si="1"/>
        <v>2023</v>
      </c>
    </row>
    <row r="34" spans="2:13" ht="15.75" customHeight="1">
      <c r="B34" s="496" t="s">
        <v>374</v>
      </c>
      <c r="C34" s="494">
        <f>INDEX(Data!$E$14:$E$30,MATCH(C$33,Data!$C$14:$C$30,0),0)/IF('RFPR cover'!$C$6="ED1",Data!$E$17,Data!$E$14)</f>
        <v>1.0603167467048125</v>
      </c>
      <c r="D34" s="491">
        <f>INDEX(Data!$E$14:$E$30,MATCH(D$33,Data!$C$14:$C$30,0),0)/IF('RFPR cover'!$C$6="ED1",Data!$E$17,Data!$E$14)</f>
        <v>1.0830366813119445</v>
      </c>
      <c r="E34" s="491">
        <f>INDEX(Data!$E$14:$E$30,MATCH(E$33,Data!$C$14:$C$30,0),0)/IF('RFPR cover'!$C$6="ED1",Data!$E$17,Data!$E$14)</f>
        <v>1.1235639113109226</v>
      </c>
      <c r="F34" s="491">
        <f>INDEX(Data!$E$14:$E$30,MATCH(F$33,Data!$C$14:$C$30,0),0)/IF('RFPR cover'!$C$6="ED1",Data!$E$17,Data!$E$14)</f>
        <v>1.1578951670583426</v>
      </c>
      <c r="G34" s="491">
        <f>INDEX(Data!$E$14:$E$30,MATCH(G$33,Data!$C$14:$C$30,0),0)/IF('RFPR cover'!$C$6="ED1",Data!$E$17,Data!$E$14)</f>
        <v>1.1878696229692449</v>
      </c>
      <c r="H34" s="491">
        <f>INDEX(Data!$E$14:$E$30,MATCH(H$33,Data!$C$14:$C$30,0),0)/IF('RFPR cover'!$C$6="ED1",Data!$E$17,Data!$E$14)</f>
        <v>1.2022764892203943</v>
      </c>
      <c r="I34" s="492">
        <f>INDEX(Data!$E$14:$E$30,MATCH(I$33,Data!$C$14:$C$30,0),0)/IF('RFPR cover'!$C$6="ED1",Data!$E$17,Data!$E$14)</f>
        <v>1.2341368161847346</v>
      </c>
      <c r="J34" s="493">
        <f>INDEX(Data!$E$14:$E$30,MATCH(J$33,Data!$C$14:$C$30,0),0)/IF('RFPR cover'!$C$6="ED1",Data!$E$17,Data!$E$14)</f>
        <v>1.2720865232824152</v>
      </c>
    </row>
    <row r="35" spans="2:13" ht="15.75" customHeight="1">
      <c r="B35" s="497" t="s">
        <v>42</v>
      </c>
      <c r="C35" s="495">
        <f>INDEX(Data!$F$14:$F$30,MATCH(C$33,Data!$C$14:$C$30,0),0)/IF('RFPR cover'!$C$6="ED1",Data!$E$17,Data!$E$14)</f>
        <v>1.0677429242873198</v>
      </c>
      <c r="D35" s="495">
        <f>INDEX(Data!$F$14:$F$30,MATCH(D$33,Data!$C$14:$C$30,0),0)/IF('RFPR cover'!$C$6="ED1",Data!$E$17,Data!$E$14)</f>
        <v>1.1033002963114336</v>
      </c>
      <c r="E35" s="495">
        <f>INDEX(Data!$F$14:$F$30,MATCH(E$33,Data!$C$14:$C$30,0),0)/IF('RFPR cover'!$C$6="ED1",Data!$E$17,Data!$E$14)</f>
        <v>1.1402881373250229</v>
      </c>
      <c r="F35" s="495">
        <f>INDEX(Data!$F$14:$F$30,MATCH(F$33,Data!$C$14:$C$30,0),0)/IF('RFPR cover'!$C$6="ED1",Data!$E$17,Data!$E$14)</f>
        <v>1.171554102380709</v>
      </c>
      <c r="G35" s="495">
        <f>INDEX(Data!$F$14:$F$30,MATCH(G$33,Data!$C$14:$C$30,0),0)/IF('RFPR cover'!$C$6="ED1",Data!$E$17,Data!$E$14)</f>
        <v>1.1958720752017984</v>
      </c>
      <c r="H35" s="495">
        <f>INDEX(Data!$F$14:$F$30,MATCH(H$33,Data!$C$14:$C$30,0),0)/IF('RFPR cover'!$C$6="ED1",Data!$E$17,Data!$E$14)</f>
        <v>1.2220292224379279</v>
      </c>
      <c r="I35" s="495">
        <f>INDEX(Data!$F$14:$F$30,MATCH(I$33,Data!$C$14:$C$30,0),0)/IF('RFPR cover'!$C$6="ED1",Data!$E$17,Data!$E$14)</f>
        <v>1.2544129968325328</v>
      </c>
      <c r="J35" s="495">
        <f>INDEX(Data!$F$14:$F$30,MATCH(J$33,Data!$C$14:$C$30,0),0)/IF('RFPR cover'!$C$6="ED1",Data!$E$17,Data!$E$14)</f>
        <v>1.2929861964851332</v>
      </c>
    </row>
    <row r="36" spans="2:13">
      <c r="B36" s="497" t="s">
        <v>504</v>
      </c>
      <c r="C36" s="495">
        <f>INDEX(Data!$E$14:$E$30,MATCH(C$33,Data!$C$14:$C$30,0))/INDEX(Data!$E$14:$E$30,MATCH(C$33-1,Data!$C$14:$C$30,0))</f>
        <v>1.0107766093810269</v>
      </c>
      <c r="D36" s="495">
        <f>INDEX(Data!$E$14:$E$30,MATCH(D$33,Data!$C$14:$C$30,0))/INDEX(Data!$E$14:$E$30,MATCH(D$33-1,Data!$C$14:$C$30,0))</f>
        <v>1.0214274976583551</v>
      </c>
      <c r="E36" s="495">
        <f>INDEX(Data!$E$14:$E$30,MATCH(E$33,Data!$C$14:$C$30,0))/INDEX(Data!$E$14:$E$30,MATCH(E$33-1,Data!$C$14:$C$30,0))</f>
        <v>1.0374199975848328</v>
      </c>
      <c r="F36" s="495">
        <f>INDEX(Data!$E$14:$E$30,MATCH(F$33,Data!$C$14:$C$30,0))/INDEX(Data!$E$14:$E$30,MATCH(F$33-1,Data!$C$14:$C$30,0))</f>
        <v>1.0305556768082411</v>
      </c>
      <c r="G36" s="495">
        <f>INDEX(Data!$E$14:$E$30,MATCH(G$33,Data!$C$14:$C$30,0))/INDEX(Data!$E$14:$E$30,MATCH(G$33-1,Data!$C$14:$C$30,0))</f>
        <v>1.0258870204865376</v>
      </c>
      <c r="H36" s="495">
        <f>INDEX(Data!$E$14:$E$30,MATCH(H$33,Data!$C$14:$C$30,0))/INDEX(Data!$E$14:$E$30,MATCH(H$33-1,Data!$C$14:$C$30,0))</f>
        <v>1.0121283228163858</v>
      </c>
      <c r="I36" s="495">
        <f>INDEX(Data!$E$14:$E$30,MATCH(I$33,Data!$C$14:$C$30,0))/INDEX(Data!$E$14:$E$30,MATCH(I$33-1,Data!$C$14:$C$30,0))</f>
        <v>1.0265</v>
      </c>
      <c r="J36" s="495">
        <f>INDEX(Data!$E$14:$E$30,MATCH(J$33,Data!$C$14:$C$30,0))/INDEX(Data!$E$14:$E$30,MATCH(J$33-1,Data!$C$14:$C$30,0))</f>
        <v>1.0307500000000001</v>
      </c>
    </row>
    <row r="37" spans="2:13" ht="15.75" customHeight="1">
      <c r="B37" s="14" t="s">
        <v>275</v>
      </c>
      <c r="F37" s="518"/>
    </row>
    <row r="38" spans="2:13">
      <c r="C38" s="511" t="s">
        <v>276</v>
      </c>
      <c r="D38" s="117">
        <v>2017</v>
      </c>
      <c r="E38" s="118">
        <f t="shared" ref="E38:J38" si="2">D38+1</f>
        <v>2018</v>
      </c>
      <c r="F38" s="118">
        <f t="shared" si="2"/>
        <v>2019</v>
      </c>
      <c r="G38" s="118">
        <f t="shared" si="2"/>
        <v>2020</v>
      </c>
      <c r="H38" s="118">
        <f t="shared" si="2"/>
        <v>2021</v>
      </c>
      <c r="I38" s="118">
        <f t="shared" si="2"/>
        <v>2022</v>
      </c>
      <c r="J38" s="195">
        <f t="shared" si="2"/>
        <v>2023</v>
      </c>
      <c r="K38" s="970" t="s">
        <v>384</v>
      </c>
      <c r="L38" s="970"/>
      <c r="M38" s="970"/>
    </row>
    <row r="39" spans="2:13">
      <c r="B39" t="s">
        <v>385</v>
      </c>
      <c r="C39" s="200"/>
      <c r="D39" s="761"/>
      <c r="E39" s="761"/>
      <c r="F39" s="761"/>
      <c r="G39" s="761"/>
      <c r="H39" s="762">
        <v>2.5000000000000001E-2</v>
      </c>
      <c r="I39" s="762">
        <v>3.1E-2</v>
      </c>
      <c r="J39" s="763">
        <v>0.03</v>
      </c>
      <c r="K39" s="971" t="s">
        <v>639</v>
      </c>
      <c r="L39" s="971"/>
      <c r="M39" s="971"/>
    </row>
    <row r="41" spans="2:13">
      <c r="B41" s="14" t="s">
        <v>277</v>
      </c>
    </row>
    <row r="42" spans="2:13">
      <c r="C42" s="510" t="s">
        <v>278</v>
      </c>
      <c r="D42" s="117">
        <v>2017</v>
      </c>
      <c r="E42" s="118">
        <f t="shared" ref="E42:J42" si="3">D42+1</f>
        <v>2018</v>
      </c>
      <c r="F42" s="118">
        <f t="shared" si="3"/>
        <v>2019</v>
      </c>
      <c r="G42" s="118">
        <f t="shared" si="3"/>
        <v>2020</v>
      </c>
      <c r="H42" s="118">
        <f t="shared" si="3"/>
        <v>2021</v>
      </c>
      <c r="I42" s="118">
        <f t="shared" si="3"/>
        <v>2022</v>
      </c>
      <c r="J42" s="195">
        <f t="shared" si="3"/>
        <v>2023</v>
      </c>
    </row>
    <row r="43" spans="2:13">
      <c r="B43" t="s">
        <v>279</v>
      </c>
      <c r="D43" s="570"/>
      <c r="E43" s="571"/>
      <c r="F43" s="571"/>
      <c r="G43" s="571"/>
      <c r="H43" s="571"/>
      <c r="I43" s="764">
        <f>(H39*0.75)+(I39*0.25)</f>
        <v>2.6500000000000003E-2</v>
      </c>
      <c r="J43" s="765">
        <f>(I39*0.75)+(J39*0.25)</f>
        <v>3.075E-2</v>
      </c>
    </row>
    <row r="45" spans="2:13">
      <c r="B45" s="315" t="str">
        <f>"Selected Capitalisation rates for "&amp;'RFPR cover'!C5</f>
        <v>Selected Capitalisation rates for WPD-SWEST</v>
      </c>
      <c r="C45" s="271"/>
      <c r="D45" s="271"/>
      <c r="E45" s="271"/>
      <c r="F45" s="271"/>
      <c r="G45" s="271"/>
      <c r="H45" s="271"/>
      <c r="I45" s="271"/>
      <c r="J45" s="271"/>
      <c r="K45" s="271"/>
      <c r="L45" s="271"/>
      <c r="M45" s="284"/>
    </row>
    <row r="46" spans="2:13">
      <c r="B46" s="201"/>
      <c r="C46" s="42"/>
      <c r="D46" s="42"/>
      <c r="E46" s="42"/>
      <c r="F46" s="42"/>
      <c r="G46" s="42"/>
      <c r="H46" s="42"/>
      <c r="I46" s="42"/>
      <c r="J46" s="42"/>
      <c r="K46" s="42"/>
      <c r="L46" s="42"/>
      <c r="M46" s="202"/>
    </row>
    <row r="47" spans="2:13">
      <c r="B47" s="201"/>
      <c r="C47" s="314" t="s">
        <v>252</v>
      </c>
      <c r="D47" s="42"/>
      <c r="E47" s="42"/>
      <c r="F47" s="42"/>
      <c r="G47" s="42"/>
      <c r="H47" s="42"/>
      <c r="I47" s="42"/>
      <c r="J47" s="42"/>
      <c r="K47" s="42"/>
      <c r="L47" s="42"/>
      <c r="M47" s="202"/>
    </row>
    <row r="48" spans="2:13">
      <c r="B48" s="317" t="str">
        <f>INDEX($G$54:$G$57,MATCH(LEFT('RFPR cover'!$C$6,2),Data!$E$54:$E$57,0),0)</f>
        <v>Totex</v>
      </c>
      <c r="C48" s="313">
        <f>INDEX($F$73:$F$100,MATCH('RFPR cover'!$C$5,Data!$B$73:$B$100,0),0)</f>
        <v>0.8</v>
      </c>
      <c r="D48" s="42"/>
      <c r="E48" s="42"/>
      <c r="F48" s="42"/>
      <c r="G48" s="42"/>
      <c r="H48" s="42"/>
      <c r="I48" s="42"/>
      <c r="J48" s="42"/>
      <c r="K48" s="42"/>
      <c r="L48" s="42"/>
      <c r="M48" s="202"/>
    </row>
    <row r="49" spans="2:20">
      <c r="B49" s="318"/>
      <c r="C49" s="42"/>
      <c r="D49" s="42"/>
      <c r="E49" s="42"/>
      <c r="F49" s="42"/>
      <c r="G49" s="42"/>
      <c r="H49" s="42"/>
      <c r="I49" s="42"/>
      <c r="J49" s="42"/>
      <c r="K49" s="42"/>
      <c r="L49" s="42"/>
      <c r="M49" s="202"/>
    </row>
    <row r="50" spans="2:20">
      <c r="B50" s="318"/>
      <c r="C50" s="90">
        <v>2014</v>
      </c>
      <c r="D50" s="91">
        <f t="shared" ref="D50:J50" si="4">C50+1</f>
        <v>2015</v>
      </c>
      <c r="E50" s="91">
        <f t="shared" si="4"/>
        <v>2016</v>
      </c>
      <c r="F50" s="91">
        <f t="shared" si="4"/>
        <v>2017</v>
      </c>
      <c r="G50" s="91">
        <f t="shared" si="4"/>
        <v>2018</v>
      </c>
      <c r="H50" s="91">
        <f t="shared" si="4"/>
        <v>2019</v>
      </c>
      <c r="I50" s="91">
        <f t="shared" si="4"/>
        <v>2020</v>
      </c>
      <c r="J50" s="91">
        <f t="shared" si="4"/>
        <v>2021</v>
      </c>
      <c r="K50" s="42"/>
      <c r="L50" s="42"/>
      <c r="M50" s="202"/>
    </row>
    <row r="51" spans="2:20">
      <c r="B51" s="317" t="str">
        <f>INDEX($J$54:$J$57,MATCH(LEFT('RFPR cover'!$C$6,2),Data!$E$54:$E$57,0),0)</f>
        <v>n/a</v>
      </c>
      <c r="C51" s="319">
        <f>IFERROR(INDEX(C$106:C$115,MATCH('RFPR cover'!$C$5,Data!$B$106:$B$115,0),0),0)</f>
        <v>0</v>
      </c>
      <c r="D51" s="301">
        <f>IFERROR(INDEX(D$106:D$115,MATCH('RFPR cover'!$C$5,Data!$B$106:$B$115,0),0),0)</f>
        <v>0</v>
      </c>
      <c r="E51" s="301">
        <f>IFERROR(INDEX(E$106:E$115,MATCH('RFPR cover'!$C$5,Data!$B$106:$B$115,0),0),0)</f>
        <v>0</v>
      </c>
      <c r="F51" s="301">
        <f>IFERROR(INDEX(F$106:F$115,MATCH('RFPR cover'!$C$5,Data!$B$106:$B$115,0),0),0)</f>
        <v>0</v>
      </c>
      <c r="G51" s="301">
        <f>IFERROR(INDEX(G$106:G$115,MATCH('RFPR cover'!$C$5,Data!$B$106:$B$115,0),0),0)</f>
        <v>0</v>
      </c>
      <c r="H51" s="301">
        <f>IFERROR(INDEX(H$106:H$115,MATCH('RFPR cover'!$C$5,Data!$B$106:$B$115,0),0),0)</f>
        <v>0</v>
      </c>
      <c r="I51" s="301">
        <f>IFERROR(INDEX(I$106:I$115,MATCH('RFPR cover'!$C$5,Data!$B$106:$B$115,0),0),0)</f>
        <v>0</v>
      </c>
      <c r="J51" s="301">
        <f>IFERROR(INDEX(J$106:J$115,MATCH('RFPR cover'!$C$5,Data!$B$106:$B$115,0),0),0)</f>
        <v>0</v>
      </c>
      <c r="K51" s="42"/>
      <c r="L51" s="42"/>
      <c r="M51" s="202"/>
    </row>
    <row r="52" spans="2:20">
      <c r="B52" s="295"/>
      <c r="C52" s="296"/>
      <c r="D52" s="296"/>
      <c r="E52" s="296"/>
      <c r="F52" s="296"/>
      <c r="G52" s="296"/>
      <c r="H52" s="296"/>
      <c r="I52" s="296"/>
      <c r="J52" s="296"/>
      <c r="K52" s="296"/>
      <c r="L52" s="296"/>
      <c r="M52" s="297"/>
    </row>
    <row r="53" spans="2:20">
      <c r="B53" s="42"/>
      <c r="C53" s="42"/>
      <c r="D53" s="42"/>
      <c r="E53" s="42"/>
      <c r="F53" s="42"/>
      <c r="G53" s="42"/>
      <c r="H53" s="42"/>
      <c r="I53" s="42"/>
      <c r="J53" s="42"/>
      <c r="K53" s="42"/>
    </row>
    <row r="54" spans="2:20">
      <c r="B54" s="305"/>
      <c r="C54" s="305"/>
      <c r="E54" s="302" t="s">
        <v>172</v>
      </c>
      <c r="F54" s="331" t="s">
        <v>159</v>
      </c>
      <c r="G54" s="975" t="s">
        <v>253</v>
      </c>
      <c r="H54" s="976"/>
      <c r="I54" s="977"/>
      <c r="J54" s="984" t="s">
        <v>255</v>
      </c>
      <c r="K54" s="985"/>
    </row>
    <row r="55" spans="2:20">
      <c r="B55" s="305"/>
      <c r="C55" s="305"/>
      <c r="E55" s="303" t="s">
        <v>174</v>
      </c>
      <c r="F55" s="332" t="s">
        <v>184</v>
      </c>
      <c r="G55" s="978" t="s">
        <v>253</v>
      </c>
      <c r="H55" s="979"/>
      <c r="I55" s="980"/>
      <c r="J55" s="986" t="s">
        <v>255</v>
      </c>
      <c r="K55" s="987"/>
    </row>
    <row r="56" spans="2:20">
      <c r="B56" s="305"/>
      <c r="C56" s="305"/>
      <c r="E56" s="303" t="s">
        <v>173</v>
      </c>
      <c r="F56" s="332" t="s">
        <v>184</v>
      </c>
      <c r="G56" s="978" t="s">
        <v>244</v>
      </c>
      <c r="H56" s="979"/>
      <c r="I56" s="980"/>
      <c r="J56" s="986" t="s">
        <v>245</v>
      </c>
      <c r="K56" s="987"/>
    </row>
    <row r="57" spans="2:20">
      <c r="B57" s="305"/>
      <c r="C57" s="305"/>
      <c r="E57" s="304" t="s">
        <v>175</v>
      </c>
      <c r="F57" s="333" t="s">
        <v>184</v>
      </c>
      <c r="G57" s="981" t="s">
        <v>254</v>
      </c>
      <c r="H57" s="982"/>
      <c r="I57" s="983"/>
      <c r="J57" s="988" t="s">
        <v>256</v>
      </c>
      <c r="K57" s="989"/>
    </row>
    <row r="58" spans="2:20">
      <c r="B58" s="305"/>
      <c r="C58" s="305"/>
      <c r="E58" s="305"/>
      <c r="F58" s="445"/>
      <c r="G58" s="446"/>
      <c r="H58" s="446"/>
      <c r="I58" s="446"/>
      <c r="J58" s="447"/>
      <c r="K58" s="447"/>
    </row>
    <row r="59" spans="2:20">
      <c r="B59" s="448"/>
      <c r="C59" s="448"/>
      <c r="D59" s="217"/>
      <c r="E59" s="448"/>
      <c r="F59" s="449"/>
      <c r="G59" s="450"/>
      <c r="H59" s="450"/>
      <c r="I59" s="450"/>
      <c r="J59" s="451"/>
      <c r="K59" s="451"/>
      <c r="L59" s="217"/>
      <c r="M59" s="217"/>
      <c r="N59" s="217"/>
      <c r="O59" s="217"/>
      <c r="P59" s="217"/>
      <c r="Q59" s="217"/>
      <c r="R59" s="217"/>
      <c r="S59" s="217"/>
      <c r="T59" s="217"/>
    </row>
    <row r="60" spans="2:20" s="31" customFormat="1">
      <c r="B60" s="399"/>
      <c r="C60" s="399"/>
      <c r="E60" s="399"/>
      <c r="F60" s="452"/>
      <c r="G60" s="453"/>
      <c r="H60" s="453"/>
      <c r="I60" s="453"/>
      <c r="J60" s="454"/>
      <c r="K60" s="454"/>
    </row>
    <row r="61" spans="2:20">
      <c r="B61" s="444" t="s">
        <v>351</v>
      </c>
      <c r="C61" s="43"/>
      <c r="I61" s="66"/>
    </row>
    <row r="62" spans="2:20">
      <c r="C62" s="117">
        <v>2014</v>
      </c>
      <c r="D62" s="118">
        <f t="shared" ref="D62:L62" si="5">C62+1</f>
        <v>2015</v>
      </c>
      <c r="E62" s="118">
        <f t="shared" si="5"/>
        <v>2016</v>
      </c>
      <c r="F62" s="118">
        <f t="shared" si="5"/>
        <v>2017</v>
      </c>
      <c r="G62" s="118">
        <f t="shared" si="5"/>
        <v>2018</v>
      </c>
      <c r="H62" s="118">
        <f t="shared" si="5"/>
        <v>2019</v>
      </c>
      <c r="I62" s="118">
        <f t="shared" si="5"/>
        <v>2020</v>
      </c>
      <c r="J62" s="118">
        <f t="shared" si="5"/>
        <v>2021</v>
      </c>
      <c r="K62" s="118">
        <f t="shared" si="5"/>
        <v>2022</v>
      </c>
      <c r="L62" s="195">
        <f t="shared" si="5"/>
        <v>2023</v>
      </c>
    </row>
    <row r="63" spans="2:20">
      <c r="B63" s="441" t="s">
        <v>349</v>
      </c>
      <c r="C63" s="566"/>
      <c r="D63" s="567"/>
      <c r="E63" s="439">
        <v>2.5499999999999998E-2</v>
      </c>
      <c r="F63" s="439">
        <v>2.3799999999999998E-2</v>
      </c>
      <c r="G63" s="439">
        <v>2.2200000000000001E-2</v>
      </c>
      <c r="H63" s="439">
        <v>1.9099999999999999E-2</v>
      </c>
      <c r="I63" s="439">
        <v>1.5800000000000002E-2</v>
      </c>
      <c r="J63" s="439">
        <v>1.09E-2</v>
      </c>
      <c r="K63" s="439">
        <v>7.6E-3</v>
      </c>
      <c r="L63" s="440">
        <v>4.4000000000000003E-3</v>
      </c>
    </row>
    <row r="64" spans="2:20">
      <c r="B64" s="442" t="s">
        <v>336</v>
      </c>
      <c r="C64" s="554"/>
      <c r="D64" s="555"/>
      <c r="E64" s="401">
        <v>2.5499999999999998E-2</v>
      </c>
      <c r="F64" s="401">
        <v>2.4199999999999999E-2</v>
      </c>
      <c r="G64" s="401">
        <v>2.29E-2</v>
      </c>
      <c r="H64" s="401">
        <v>2.0899999999999998E-2</v>
      </c>
      <c r="I64" s="401">
        <v>1.9400000000000001E-2</v>
      </c>
      <c r="J64" s="401">
        <v>1.78E-2</v>
      </c>
      <c r="K64" s="401">
        <v>1.6199999999999999E-2</v>
      </c>
      <c r="L64" s="404">
        <v>1.47E-2</v>
      </c>
    </row>
    <row r="65" spans="1:20">
      <c r="B65" s="442" t="s">
        <v>61</v>
      </c>
      <c r="C65" s="400">
        <v>2.92E-2</v>
      </c>
      <c r="D65" s="401">
        <v>2.5000000000000001E-2</v>
      </c>
      <c r="E65" s="401">
        <v>2.1499999999999998E-2</v>
      </c>
      <c r="F65" s="401">
        <v>1.7899999999999999E-2</v>
      </c>
      <c r="G65" s="401">
        <v>1.5100000000000001E-2</v>
      </c>
      <c r="H65" s="401">
        <v>1.1599999999999999E-2</v>
      </c>
      <c r="I65" s="401">
        <v>1.0200000000000001E-2</v>
      </c>
      <c r="J65" s="401">
        <v>7.6E-3</v>
      </c>
      <c r="K65" s="568"/>
      <c r="L65" s="569"/>
    </row>
    <row r="66" spans="1:20">
      <c r="B66" s="442" t="s">
        <v>350</v>
      </c>
      <c r="C66" s="437">
        <v>2.92E-2</v>
      </c>
      <c r="D66" s="438">
        <v>2.7199999999999998E-2</v>
      </c>
      <c r="E66" s="438">
        <v>2.5499999999999998E-2</v>
      </c>
      <c r="F66" s="438">
        <v>2.3800000000000002E-2</v>
      </c>
      <c r="G66" s="438">
        <v>2.2200000000000001E-2</v>
      </c>
      <c r="H66" s="438">
        <v>1.9099999999999999E-2</v>
      </c>
      <c r="I66" s="438">
        <v>1.5800000000000002E-2</v>
      </c>
      <c r="J66" s="438">
        <v>1.09E-2</v>
      </c>
      <c r="K66" s="555"/>
      <c r="L66" s="556"/>
    </row>
    <row r="67" spans="1:20">
      <c r="B67" s="442" t="s">
        <v>173</v>
      </c>
      <c r="C67" s="400">
        <v>2.92E-2</v>
      </c>
      <c r="D67" s="401">
        <v>2.7199999999999998E-2</v>
      </c>
      <c r="E67" s="401">
        <v>2.5499999999999998E-2</v>
      </c>
      <c r="F67" s="401">
        <v>2.3800000000000002E-2</v>
      </c>
      <c r="G67" s="401">
        <v>2.2200000000000001E-2</v>
      </c>
      <c r="H67" s="438">
        <v>1.9099999999999999E-2</v>
      </c>
      <c r="I67" s="438">
        <v>1.5800000000000002E-2</v>
      </c>
      <c r="J67" s="438">
        <v>1.09E-2</v>
      </c>
      <c r="K67" s="555"/>
      <c r="L67" s="556"/>
    </row>
    <row r="68" spans="1:20">
      <c r="B68" s="443" t="s">
        <v>175</v>
      </c>
      <c r="C68" s="402">
        <v>2.92E-2</v>
      </c>
      <c r="D68" s="403">
        <v>2.7199999999999998E-2</v>
      </c>
      <c r="E68" s="403">
        <v>2.5499999999999998E-2</v>
      </c>
      <c r="F68" s="403">
        <v>2.3800000000000002E-2</v>
      </c>
      <c r="G68" s="403">
        <v>2.2200000000000001E-2</v>
      </c>
      <c r="H68" s="403">
        <v>1.9099999999999999E-2</v>
      </c>
      <c r="I68" s="403">
        <v>1.5800000000000002E-2</v>
      </c>
      <c r="J68" s="403">
        <v>1.09E-2</v>
      </c>
      <c r="K68" s="557"/>
      <c r="L68" s="558"/>
    </row>
    <row r="69" spans="1:20">
      <c r="I69" s="66"/>
    </row>
    <row r="70" spans="1:20">
      <c r="H70" s="66"/>
      <c r="K70" s="42"/>
      <c r="L70" s="42"/>
      <c r="M70" s="42"/>
      <c r="N70" s="42"/>
      <c r="O70" s="42"/>
      <c r="P70" s="42"/>
      <c r="Q70" s="42"/>
      <c r="R70" s="42"/>
      <c r="S70" s="42"/>
      <c r="T70" s="42"/>
    </row>
    <row r="71" spans="1:20" ht="37.799999999999997">
      <c r="B71" s="22"/>
      <c r="C71" s="73" t="s">
        <v>251</v>
      </c>
      <c r="D71" s="74" t="s">
        <v>212</v>
      </c>
      <c r="E71" s="74" t="s">
        <v>72</v>
      </c>
      <c r="F71" s="74" t="s">
        <v>274</v>
      </c>
      <c r="G71" s="74" t="s">
        <v>116</v>
      </c>
      <c r="H71" s="75" t="s">
        <v>186</v>
      </c>
      <c r="I71" s="330" t="s">
        <v>269</v>
      </c>
      <c r="J71" s="330" t="s">
        <v>481</v>
      </c>
      <c r="K71" s="972" t="s">
        <v>345</v>
      </c>
      <c r="L71" s="973"/>
      <c r="M71" s="973"/>
      <c r="N71" s="973"/>
      <c r="O71" s="973"/>
      <c r="P71" s="973"/>
      <c r="Q71" s="973"/>
      <c r="R71" s="973"/>
      <c r="S71" s="973"/>
      <c r="T71" s="974"/>
    </row>
    <row r="72" spans="1:20">
      <c r="A72" s="334" t="s">
        <v>189</v>
      </c>
      <c r="B72" s="67" t="s">
        <v>69</v>
      </c>
      <c r="C72" s="306"/>
      <c r="D72" s="69"/>
      <c r="E72" s="68"/>
      <c r="F72" s="68"/>
      <c r="G72" s="69"/>
      <c r="H72" s="70"/>
      <c r="I72" s="70"/>
      <c r="J72" s="424"/>
      <c r="K72" s="425">
        <v>2014</v>
      </c>
      <c r="L72" s="426">
        <f t="shared" ref="L72:T72" si="6">K72+1</f>
        <v>2015</v>
      </c>
      <c r="M72" s="426">
        <f t="shared" si="6"/>
        <v>2016</v>
      </c>
      <c r="N72" s="426">
        <f t="shared" si="6"/>
        <v>2017</v>
      </c>
      <c r="O72" s="426">
        <f t="shared" si="6"/>
        <v>2018</v>
      </c>
      <c r="P72" s="426">
        <f t="shared" si="6"/>
        <v>2019</v>
      </c>
      <c r="Q72" s="426">
        <f t="shared" si="6"/>
        <v>2020</v>
      </c>
      <c r="R72" s="426">
        <f t="shared" si="6"/>
        <v>2021</v>
      </c>
      <c r="S72" s="426">
        <f t="shared" si="6"/>
        <v>2022</v>
      </c>
      <c r="T72" s="427">
        <f t="shared" si="6"/>
        <v>2023</v>
      </c>
    </row>
    <row r="73" spans="1:20">
      <c r="A73" s="59" t="s">
        <v>172</v>
      </c>
      <c r="B73" s="71" t="s">
        <v>43</v>
      </c>
      <c r="C73" s="307">
        <v>0.06</v>
      </c>
      <c r="D73" s="308">
        <v>0.58109999999999995</v>
      </c>
      <c r="E73" s="309">
        <v>0.65</v>
      </c>
      <c r="F73" s="309">
        <v>0.68</v>
      </c>
      <c r="G73" s="340">
        <v>2016</v>
      </c>
      <c r="H73" s="341" t="str">
        <f t="shared" ref="H73:H97" si="7">VLOOKUP($A73,$E$54:$F$57,2,FALSE)</f>
        <v>£m 12/13</v>
      </c>
      <c r="I73" s="341" t="s">
        <v>270</v>
      </c>
      <c r="J73" s="424" t="s">
        <v>482</v>
      </c>
      <c r="K73" s="554"/>
      <c r="L73" s="555"/>
      <c r="M73" s="432">
        <f t="shared" ref="M73:M82" si="8">E$64</f>
        <v>2.5499999999999998E-2</v>
      </c>
      <c r="N73" s="432">
        <f t="shared" ref="N73:N82" si="9">F$64</f>
        <v>2.4199999999999999E-2</v>
      </c>
      <c r="O73" s="432">
        <f t="shared" ref="O73:O82" si="10">G$64</f>
        <v>2.29E-2</v>
      </c>
      <c r="P73" s="432">
        <f t="shared" ref="P73:P82" si="11">H$64</f>
        <v>2.0899999999999998E-2</v>
      </c>
      <c r="Q73" s="432">
        <f t="shared" ref="Q73:Q82" si="12">I$64</f>
        <v>1.9400000000000001E-2</v>
      </c>
      <c r="R73" s="432">
        <f t="shared" ref="R73:R82" si="13">J$64</f>
        <v>1.78E-2</v>
      </c>
      <c r="S73" s="432">
        <f t="shared" ref="S73:S82" si="14">K$64</f>
        <v>1.6199999999999999E-2</v>
      </c>
      <c r="T73" s="436">
        <f t="shared" ref="T73:T82" si="15">L$64</f>
        <v>1.47E-2</v>
      </c>
    </row>
    <row r="74" spans="1:20">
      <c r="A74" s="59" t="s">
        <v>172</v>
      </c>
      <c r="B74" s="71" t="s">
        <v>44</v>
      </c>
      <c r="C74" s="307">
        <v>0.06</v>
      </c>
      <c r="D74" s="308">
        <v>0.55843703457782867</v>
      </c>
      <c r="E74" s="309">
        <v>0.65</v>
      </c>
      <c r="F74" s="309">
        <v>0.7</v>
      </c>
      <c r="G74" s="340">
        <v>2016</v>
      </c>
      <c r="H74" s="341" t="str">
        <f t="shared" si="7"/>
        <v>£m 12/13</v>
      </c>
      <c r="I74" s="341" t="s">
        <v>270</v>
      </c>
      <c r="J74" s="424" t="s">
        <v>482</v>
      </c>
      <c r="K74" s="554"/>
      <c r="L74" s="555"/>
      <c r="M74" s="432">
        <f t="shared" si="8"/>
        <v>2.5499999999999998E-2</v>
      </c>
      <c r="N74" s="432">
        <f t="shared" si="9"/>
        <v>2.4199999999999999E-2</v>
      </c>
      <c r="O74" s="432">
        <f t="shared" si="10"/>
        <v>2.29E-2</v>
      </c>
      <c r="P74" s="432">
        <f t="shared" si="11"/>
        <v>2.0899999999999998E-2</v>
      </c>
      <c r="Q74" s="432">
        <f t="shared" si="12"/>
        <v>1.9400000000000001E-2</v>
      </c>
      <c r="R74" s="432">
        <f t="shared" si="13"/>
        <v>1.78E-2</v>
      </c>
      <c r="S74" s="432">
        <f t="shared" si="14"/>
        <v>1.6199999999999999E-2</v>
      </c>
      <c r="T74" s="436">
        <f t="shared" si="15"/>
        <v>1.47E-2</v>
      </c>
    </row>
    <row r="75" spans="1:20">
      <c r="A75" s="59" t="s">
        <v>172</v>
      </c>
      <c r="B75" s="71" t="s">
        <v>73</v>
      </c>
      <c r="C75" s="307">
        <v>0.06</v>
      </c>
      <c r="D75" s="308">
        <v>0.55843703457782867</v>
      </c>
      <c r="E75" s="309">
        <v>0.65</v>
      </c>
      <c r="F75" s="309">
        <v>0.72</v>
      </c>
      <c r="G75" s="340">
        <v>2016</v>
      </c>
      <c r="H75" s="341" t="str">
        <f t="shared" si="7"/>
        <v>£m 12/13</v>
      </c>
      <c r="I75" s="341" t="s">
        <v>270</v>
      </c>
      <c r="J75" s="424" t="s">
        <v>482</v>
      </c>
      <c r="K75" s="554"/>
      <c r="L75" s="555"/>
      <c r="M75" s="432">
        <f t="shared" si="8"/>
        <v>2.5499999999999998E-2</v>
      </c>
      <c r="N75" s="432">
        <f t="shared" si="9"/>
        <v>2.4199999999999999E-2</v>
      </c>
      <c r="O75" s="432">
        <f t="shared" si="10"/>
        <v>2.29E-2</v>
      </c>
      <c r="P75" s="432">
        <f t="shared" si="11"/>
        <v>2.0899999999999998E-2</v>
      </c>
      <c r="Q75" s="432">
        <f t="shared" si="12"/>
        <v>1.9400000000000001E-2</v>
      </c>
      <c r="R75" s="432">
        <f t="shared" si="13"/>
        <v>1.78E-2</v>
      </c>
      <c r="S75" s="432">
        <f t="shared" si="14"/>
        <v>1.6199999999999999E-2</v>
      </c>
      <c r="T75" s="436">
        <f t="shared" si="15"/>
        <v>1.47E-2</v>
      </c>
    </row>
    <row r="76" spans="1:20">
      <c r="A76" s="59" t="s">
        <v>172</v>
      </c>
      <c r="B76" s="71" t="s">
        <v>59</v>
      </c>
      <c r="C76" s="307">
        <v>0.06</v>
      </c>
      <c r="D76" s="308">
        <v>0.53280000000000005</v>
      </c>
      <c r="E76" s="309">
        <v>0.65</v>
      </c>
      <c r="F76" s="309">
        <v>0.68</v>
      </c>
      <c r="G76" s="340">
        <v>2016</v>
      </c>
      <c r="H76" s="341" t="str">
        <f t="shared" si="7"/>
        <v>£m 12/13</v>
      </c>
      <c r="I76" s="341" t="s">
        <v>270</v>
      </c>
      <c r="J76" s="424" t="s">
        <v>482</v>
      </c>
      <c r="K76" s="554"/>
      <c r="L76" s="555"/>
      <c r="M76" s="432">
        <f t="shared" si="8"/>
        <v>2.5499999999999998E-2</v>
      </c>
      <c r="N76" s="432">
        <f t="shared" si="9"/>
        <v>2.4199999999999999E-2</v>
      </c>
      <c r="O76" s="432">
        <f t="shared" si="10"/>
        <v>2.29E-2</v>
      </c>
      <c r="P76" s="432">
        <f t="shared" si="11"/>
        <v>2.0899999999999998E-2</v>
      </c>
      <c r="Q76" s="432">
        <f t="shared" si="12"/>
        <v>1.9400000000000001E-2</v>
      </c>
      <c r="R76" s="432">
        <f t="shared" si="13"/>
        <v>1.78E-2</v>
      </c>
      <c r="S76" s="432">
        <f t="shared" si="14"/>
        <v>1.6199999999999999E-2</v>
      </c>
      <c r="T76" s="436">
        <f t="shared" si="15"/>
        <v>1.47E-2</v>
      </c>
    </row>
    <row r="77" spans="1:20">
      <c r="A77" s="59" t="s">
        <v>172</v>
      </c>
      <c r="B77" s="71" t="s">
        <v>57</v>
      </c>
      <c r="C77" s="307">
        <v>0.06</v>
      </c>
      <c r="D77" s="308">
        <v>0.53280000000000005</v>
      </c>
      <c r="E77" s="309">
        <v>0.65</v>
      </c>
      <c r="F77" s="309">
        <v>0.68</v>
      </c>
      <c r="G77" s="340">
        <v>2016</v>
      </c>
      <c r="H77" s="341" t="str">
        <f t="shared" si="7"/>
        <v>£m 12/13</v>
      </c>
      <c r="I77" s="341" t="s">
        <v>270</v>
      </c>
      <c r="J77" s="424" t="s">
        <v>482</v>
      </c>
      <c r="K77" s="554"/>
      <c r="L77" s="555"/>
      <c r="M77" s="432">
        <f t="shared" si="8"/>
        <v>2.5499999999999998E-2</v>
      </c>
      <c r="N77" s="432">
        <f t="shared" si="9"/>
        <v>2.4199999999999999E-2</v>
      </c>
      <c r="O77" s="432">
        <f t="shared" si="10"/>
        <v>2.29E-2</v>
      </c>
      <c r="P77" s="432">
        <f t="shared" si="11"/>
        <v>2.0899999999999998E-2</v>
      </c>
      <c r="Q77" s="432">
        <f t="shared" si="12"/>
        <v>1.9400000000000001E-2</v>
      </c>
      <c r="R77" s="432">
        <f t="shared" si="13"/>
        <v>1.78E-2</v>
      </c>
      <c r="S77" s="432">
        <f t="shared" si="14"/>
        <v>1.6199999999999999E-2</v>
      </c>
      <c r="T77" s="436">
        <f t="shared" si="15"/>
        <v>1.47E-2</v>
      </c>
    </row>
    <row r="78" spans="1:20">
      <c r="A78" s="59" t="s">
        <v>172</v>
      </c>
      <c r="B78" s="71" t="s">
        <v>58</v>
      </c>
      <c r="C78" s="307">
        <v>0.06</v>
      </c>
      <c r="D78" s="308">
        <v>0.53280000000000005</v>
      </c>
      <c r="E78" s="309">
        <v>0.65</v>
      </c>
      <c r="F78" s="309">
        <v>0.68</v>
      </c>
      <c r="G78" s="340">
        <v>2016</v>
      </c>
      <c r="H78" s="341" t="str">
        <f t="shared" si="7"/>
        <v>£m 12/13</v>
      </c>
      <c r="I78" s="341" t="s">
        <v>270</v>
      </c>
      <c r="J78" s="424" t="s">
        <v>482</v>
      </c>
      <c r="K78" s="554"/>
      <c r="L78" s="555"/>
      <c r="M78" s="432">
        <f t="shared" si="8"/>
        <v>2.5499999999999998E-2</v>
      </c>
      <c r="N78" s="432">
        <f t="shared" si="9"/>
        <v>2.4199999999999999E-2</v>
      </c>
      <c r="O78" s="432">
        <f t="shared" si="10"/>
        <v>2.29E-2</v>
      </c>
      <c r="P78" s="432">
        <f t="shared" si="11"/>
        <v>2.0899999999999998E-2</v>
      </c>
      <c r="Q78" s="432">
        <f t="shared" si="12"/>
        <v>1.9400000000000001E-2</v>
      </c>
      <c r="R78" s="432">
        <f t="shared" si="13"/>
        <v>1.78E-2</v>
      </c>
      <c r="S78" s="432">
        <f t="shared" si="14"/>
        <v>1.6199999999999999E-2</v>
      </c>
      <c r="T78" s="436">
        <f t="shared" si="15"/>
        <v>1.47E-2</v>
      </c>
    </row>
    <row r="79" spans="1:20">
      <c r="A79" s="59" t="s">
        <v>172</v>
      </c>
      <c r="B79" s="71" t="s">
        <v>45</v>
      </c>
      <c r="C79" s="307">
        <v>0.06</v>
      </c>
      <c r="D79" s="308">
        <v>0.53500000000000003</v>
      </c>
      <c r="E79" s="309">
        <v>0.65</v>
      </c>
      <c r="F79" s="309">
        <v>0.8</v>
      </c>
      <c r="G79" s="340">
        <v>2016</v>
      </c>
      <c r="H79" s="341" t="str">
        <f t="shared" si="7"/>
        <v>£m 12/13</v>
      </c>
      <c r="I79" s="341" t="s">
        <v>270</v>
      </c>
      <c r="J79" s="424" t="s">
        <v>482</v>
      </c>
      <c r="K79" s="554"/>
      <c r="L79" s="555"/>
      <c r="M79" s="432">
        <f t="shared" si="8"/>
        <v>2.5499999999999998E-2</v>
      </c>
      <c r="N79" s="432">
        <f t="shared" si="9"/>
        <v>2.4199999999999999E-2</v>
      </c>
      <c r="O79" s="432">
        <f t="shared" si="10"/>
        <v>2.29E-2</v>
      </c>
      <c r="P79" s="432">
        <f t="shared" si="11"/>
        <v>2.0899999999999998E-2</v>
      </c>
      <c r="Q79" s="432">
        <f t="shared" si="12"/>
        <v>1.9400000000000001E-2</v>
      </c>
      <c r="R79" s="432">
        <f t="shared" si="13"/>
        <v>1.78E-2</v>
      </c>
      <c r="S79" s="432">
        <f t="shared" si="14"/>
        <v>1.6199999999999999E-2</v>
      </c>
      <c r="T79" s="436">
        <f t="shared" si="15"/>
        <v>1.47E-2</v>
      </c>
    </row>
    <row r="80" spans="1:20">
      <c r="A80" s="59" t="s">
        <v>172</v>
      </c>
      <c r="B80" s="71" t="s">
        <v>46</v>
      </c>
      <c r="C80" s="307">
        <v>0.06</v>
      </c>
      <c r="D80" s="308">
        <v>0.53500000000000003</v>
      </c>
      <c r="E80" s="309">
        <v>0.65</v>
      </c>
      <c r="F80" s="309">
        <v>0.8</v>
      </c>
      <c r="G80" s="340">
        <v>2016</v>
      </c>
      <c r="H80" s="341" t="str">
        <f t="shared" si="7"/>
        <v>£m 12/13</v>
      </c>
      <c r="I80" s="341" t="s">
        <v>270</v>
      </c>
      <c r="J80" s="424" t="s">
        <v>482</v>
      </c>
      <c r="K80" s="554"/>
      <c r="L80" s="555"/>
      <c r="M80" s="432">
        <f t="shared" si="8"/>
        <v>2.5499999999999998E-2</v>
      </c>
      <c r="N80" s="432">
        <f t="shared" si="9"/>
        <v>2.4199999999999999E-2</v>
      </c>
      <c r="O80" s="432">
        <f t="shared" si="10"/>
        <v>2.29E-2</v>
      </c>
      <c r="P80" s="432">
        <f t="shared" si="11"/>
        <v>2.0899999999999998E-2</v>
      </c>
      <c r="Q80" s="432">
        <f t="shared" si="12"/>
        <v>1.9400000000000001E-2</v>
      </c>
      <c r="R80" s="432">
        <f t="shared" si="13"/>
        <v>1.78E-2</v>
      </c>
      <c r="S80" s="432">
        <f t="shared" si="14"/>
        <v>1.6199999999999999E-2</v>
      </c>
      <c r="T80" s="436">
        <f t="shared" si="15"/>
        <v>1.47E-2</v>
      </c>
    </row>
    <row r="81" spans="1:20">
      <c r="A81" s="59" t="s">
        <v>172</v>
      </c>
      <c r="B81" s="71" t="s">
        <v>47</v>
      </c>
      <c r="C81" s="307">
        <v>0.06</v>
      </c>
      <c r="D81" s="308">
        <v>0.56469999999999998</v>
      </c>
      <c r="E81" s="309">
        <v>0.65</v>
      </c>
      <c r="F81" s="309">
        <v>0.62</v>
      </c>
      <c r="G81" s="340">
        <v>2016</v>
      </c>
      <c r="H81" s="341" t="str">
        <f t="shared" si="7"/>
        <v>£m 12/13</v>
      </c>
      <c r="I81" s="341" t="s">
        <v>270</v>
      </c>
      <c r="J81" s="424" t="s">
        <v>482</v>
      </c>
      <c r="K81" s="554"/>
      <c r="L81" s="555"/>
      <c r="M81" s="432">
        <f t="shared" si="8"/>
        <v>2.5499999999999998E-2</v>
      </c>
      <c r="N81" s="432">
        <f t="shared" si="9"/>
        <v>2.4199999999999999E-2</v>
      </c>
      <c r="O81" s="432">
        <f t="shared" si="10"/>
        <v>2.29E-2</v>
      </c>
      <c r="P81" s="432">
        <f t="shared" si="11"/>
        <v>2.0899999999999998E-2</v>
      </c>
      <c r="Q81" s="432">
        <f t="shared" si="12"/>
        <v>1.9400000000000001E-2</v>
      </c>
      <c r="R81" s="432">
        <f t="shared" si="13"/>
        <v>1.78E-2</v>
      </c>
      <c r="S81" s="432">
        <f t="shared" si="14"/>
        <v>1.6199999999999999E-2</v>
      </c>
      <c r="T81" s="436">
        <f t="shared" si="15"/>
        <v>1.47E-2</v>
      </c>
    </row>
    <row r="82" spans="1:20">
      <c r="A82" s="59" t="s">
        <v>172</v>
      </c>
      <c r="B82" s="71" t="s">
        <v>48</v>
      </c>
      <c r="C82" s="307">
        <v>0.06</v>
      </c>
      <c r="D82" s="308">
        <v>0.56469999999999998</v>
      </c>
      <c r="E82" s="309">
        <v>0.65</v>
      </c>
      <c r="F82" s="309">
        <v>0.7</v>
      </c>
      <c r="G82" s="340">
        <v>2016</v>
      </c>
      <c r="H82" s="341" t="str">
        <f t="shared" si="7"/>
        <v>£m 12/13</v>
      </c>
      <c r="I82" s="341" t="s">
        <v>270</v>
      </c>
      <c r="J82" s="424" t="s">
        <v>482</v>
      </c>
      <c r="K82" s="554"/>
      <c r="L82" s="555"/>
      <c r="M82" s="432">
        <f t="shared" si="8"/>
        <v>2.5499999999999998E-2</v>
      </c>
      <c r="N82" s="432">
        <f t="shared" si="9"/>
        <v>2.4199999999999999E-2</v>
      </c>
      <c r="O82" s="432">
        <f t="shared" si="10"/>
        <v>2.29E-2</v>
      </c>
      <c r="P82" s="432">
        <f t="shared" si="11"/>
        <v>2.0899999999999998E-2</v>
      </c>
      <c r="Q82" s="432">
        <f t="shared" si="12"/>
        <v>1.9400000000000001E-2</v>
      </c>
      <c r="R82" s="432">
        <f t="shared" si="13"/>
        <v>1.78E-2</v>
      </c>
      <c r="S82" s="432">
        <f t="shared" si="14"/>
        <v>1.6199999999999999E-2</v>
      </c>
      <c r="T82" s="436">
        <f t="shared" si="15"/>
        <v>1.47E-2</v>
      </c>
    </row>
    <row r="83" spans="1:20">
      <c r="A83" s="59" t="s">
        <v>172</v>
      </c>
      <c r="B83" s="71" t="s">
        <v>246</v>
      </c>
      <c r="C83" s="307">
        <v>6.4000000000000001E-2</v>
      </c>
      <c r="D83" s="308">
        <v>0.7</v>
      </c>
      <c r="E83" s="309">
        <v>0.65</v>
      </c>
      <c r="F83" s="309">
        <v>0.8</v>
      </c>
      <c r="G83" s="340">
        <v>2016</v>
      </c>
      <c r="H83" s="341" t="str">
        <f t="shared" si="7"/>
        <v>£m 12/13</v>
      </c>
      <c r="I83" s="341" t="s">
        <v>271</v>
      </c>
      <c r="J83" s="424" t="s">
        <v>483</v>
      </c>
      <c r="K83" s="554"/>
      <c r="L83" s="555"/>
      <c r="M83" s="432">
        <f t="shared" ref="M83:T86" si="16">E$63</f>
        <v>2.5499999999999998E-2</v>
      </c>
      <c r="N83" s="432">
        <f t="shared" si="16"/>
        <v>2.3799999999999998E-2</v>
      </c>
      <c r="O83" s="432">
        <f t="shared" si="16"/>
        <v>2.2200000000000001E-2</v>
      </c>
      <c r="P83" s="432">
        <f t="shared" si="16"/>
        <v>1.9099999999999999E-2</v>
      </c>
      <c r="Q83" s="432">
        <f t="shared" si="16"/>
        <v>1.5800000000000002E-2</v>
      </c>
      <c r="R83" s="432">
        <f t="shared" si="16"/>
        <v>1.09E-2</v>
      </c>
      <c r="S83" s="432">
        <f t="shared" si="16"/>
        <v>7.6E-3</v>
      </c>
      <c r="T83" s="436">
        <f t="shared" si="16"/>
        <v>4.4000000000000003E-3</v>
      </c>
    </row>
    <row r="84" spans="1:20">
      <c r="A84" s="59" t="s">
        <v>172</v>
      </c>
      <c r="B84" s="71" t="s">
        <v>247</v>
      </c>
      <c r="C84" s="307">
        <v>6.4000000000000001E-2</v>
      </c>
      <c r="D84" s="308">
        <v>0.7</v>
      </c>
      <c r="E84" s="309">
        <v>0.65</v>
      </c>
      <c r="F84" s="309">
        <v>0.8</v>
      </c>
      <c r="G84" s="340">
        <v>2016</v>
      </c>
      <c r="H84" s="341" t="str">
        <f t="shared" si="7"/>
        <v>£m 12/13</v>
      </c>
      <c r="I84" s="341" t="s">
        <v>271</v>
      </c>
      <c r="J84" s="424" t="s">
        <v>483</v>
      </c>
      <c r="K84" s="554"/>
      <c r="L84" s="555"/>
      <c r="M84" s="432">
        <f t="shared" si="16"/>
        <v>2.5499999999999998E-2</v>
      </c>
      <c r="N84" s="432">
        <f t="shared" si="16"/>
        <v>2.3799999999999998E-2</v>
      </c>
      <c r="O84" s="432">
        <f t="shared" si="16"/>
        <v>2.2200000000000001E-2</v>
      </c>
      <c r="P84" s="432">
        <f t="shared" si="16"/>
        <v>1.9099999999999999E-2</v>
      </c>
      <c r="Q84" s="432">
        <f t="shared" si="16"/>
        <v>1.5800000000000002E-2</v>
      </c>
      <c r="R84" s="432">
        <f t="shared" si="16"/>
        <v>1.09E-2</v>
      </c>
      <c r="S84" s="432">
        <f t="shared" si="16"/>
        <v>7.6E-3</v>
      </c>
      <c r="T84" s="436">
        <f t="shared" si="16"/>
        <v>4.4000000000000003E-3</v>
      </c>
    </row>
    <row r="85" spans="1:20">
      <c r="A85" s="59" t="s">
        <v>172</v>
      </c>
      <c r="B85" s="71" t="s">
        <v>248</v>
      </c>
      <c r="C85" s="307">
        <v>6.4000000000000001E-2</v>
      </c>
      <c r="D85" s="308">
        <v>0.7</v>
      </c>
      <c r="E85" s="309">
        <v>0.65</v>
      </c>
      <c r="F85" s="309">
        <v>0.8</v>
      </c>
      <c r="G85" s="340">
        <v>2016</v>
      </c>
      <c r="H85" s="341" t="str">
        <f t="shared" si="7"/>
        <v>£m 12/13</v>
      </c>
      <c r="I85" s="341" t="s">
        <v>271</v>
      </c>
      <c r="J85" s="424" t="s">
        <v>483</v>
      </c>
      <c r="K85" s="554"/>
      <c r="L85" s="555"/>
      <c r="M85" s="432">
        <f t="shared" si="16"/>
        <v>2.5499999999999998E-2</v>
      </c>
      <c r="N85" s="432">
        <f t="shared" si="16"/>
        <v>2.3799999999999998E-2</v>
      </c>
      <c r="O85" s="432">
        <f t="shared" si="16"/>
        <v>2.2200000000000001E-2</v>
      </c>
      <c r="P85" s="432">
        <f t="shared" si="16"/>
        <v>1.9099999999999999E-2</v>
      </c>
      <c r="Q85" s="432">
        <f t="shared" si="16"/>
        <v>1.5800000000000002E-2</v>
      </c>
      <c r="R85" s="432">
        <f t="shared" si="16"/>
        <v>1.09E-2</v>
      </c>
      <c r="S85" s="432">
        <f t="shared" si="16"/>
        <v>7.6E-3</v>
      </c>
      <c r="T85" s="436">
        <f t="shared" si="16"/>
        <v>4.4000000000000003E-3</v>
      </c>
    </row>
    <row r="86" spans="1:20">
      <c r="A86" s="59" t="s">
        <v>172</v>
      </c>
      <c r="B86" s="71" t="s">
        <v>249</v>
      </c>
      <c r="C86" s="307">
        <v>6.4000000000000001E-2</v>
      </c>
      <c r="D86" s="308">
        <v>0.7</v>
      </c>
      <c r="E86" s="309">
        <v>0.65</v>
      </c>
      <c r="F86" s="309">
        <v>0.8</v>
      </c>
      <c r="G86" s="340">
        <v>2016</v>
      </c>
      <c r="H86" s="341" t="str">
        <f t="shared" si="7"/>
        <v>£m 12/13</v>
      </c>
      <c r="I86" s="341" t="s">
        <v>271</v>
      </c>
      <c r="J86" s="424" t="s">
        <v>483</v>
      </c>
      <c r="K86" s="554"/>
      <c r="L86" s="555"/>
      <c r="M86" s="432">
        <f t="shared" si="16"/>
        <v>2.5499999999999998E-2</v>
      </c>
      <c r="N86" s="432">
        <f t="shared" si="16"/>
        <v>2.3799999999999998E-2</v>
      </c>
      <c r="O86" s="432">
        <f t="shared" si="16"/>
        <v>2.2200000000000001E-2</v>
      </c>
      <c r="P86" s="432">
        <f t="shared" si="16"/>
        <v>1.9099999999999999E-2</v>
      </c>
      <c r="Q86" s="432">
        <f t="shared" si="16"/>
        <v>1.5800000000000002E-2</v>
      </c>
      <c r="R86" s="432">
        <f t="shared" si="16"/>
        <v>1.09E-2</v>
      </c>
      <c r="S86" s="432">
        <f t="shared" si="16"/>
        <v>7.6E-3</v>
      </c>
      <c r="T86" s="436">
        <f t="shared" si="16"/>
        <v>4.4000000000000003E-3</v>
      </c>
    </row>
    <row r="87" spans="1:20">
      <c r="A87" s="59" t="s">
        <v>173</v>
      </c>
      <c r="B87" s="71" t="s">
        <v>53</v>
      </c>
      <c r="C87" s="307">
        <v>6.7000000000000004E-2</v>
      </c>
      <c r="D87" s="308">
        <v>0.63039999999999996</v>
      </c>
      <c r="E87" s="309">
        <v>0.65</v>
      </c>
      <c r="F87" s="309">
        <v>0.26634501855794862</v>
      </c>
      <c r="G87" s="340">
        <v>2014</v>
      </c>
      <c r="H87" s="341" t="str">
        <f t="shared" si="7"/>
        <v>£m 09/10</v>
      </c>
      <c r="I87" s="341" t="s">
        <v>270</v>
      </c>
      <c r="J87" s="424" t="s">
        <v>483</v>
      </c>
      <c r="K87" s="434">
        <f t="shared" ref="K87:R94" si="17">C$67</f>
        <v>2.92E-2</v>
      </c>
      <c r="L87" s="432">
        <f t="shared" si="17"/>
        <v>2.7199999999999998E-2</v>
      </c>
      <c r="M87" s="432">
        <f t="shared" si="17"/>
        <v>2.5499999999999998E-2</v>
      </c>
      <c r="N87" s="432">
        <f t="shared" si="17"/>
        <v>2.3800000000000002E-2</v>
      </c>
      <c r="O87" s="432">
        <f t="shared" si="17"/>
        <v>2.2200000000000001E-2</v>
      </c>
      <c r="P87" s="432">
        <f t="shared" si="17"/>
        <v>1.9099999999999999E-2</v>
      </c>
      <c r="Q87" s="432">
        <f t="shared" si="17"/>
        <v>1.5800000000000002E-2</v>
      </c>
      <c r="R87" s="432">
        <f t="shared" si="17"/>
        <v>1.09E-2</v>
      </c>
      <c r="S87" s="555"/>
      <c r="T87" s="556"/>
    </row>
    <row r="88" spans="1:20">
      <c r="A88" s="59" t="s">
        <v>173</v>
      </c>
      <c r="B88" s="71" t="s">
        <v>54</v>
      </c>
      <c r="C88" s="307">
        <v>6.7000000000000004E-2</v>
      </c>
      <c r="D88" s="308">
        <v>0.63039999999999996</v>
      </c>
      <c r="E88" s="309">
        <v>0.65</v>
      </c>
      <c r="F88" s="309">
        <v>0.23469337831705597</v>
      </c>
      <c r="G88" s="340">
        <v>2014</v>
      </c>
      <c r="H88" s="341" t="str">
        <f t="shared" si="7"/>
        <v>£m 09/10</v>
      </c>
      <c r="I88" s="341" t="s">
        <v>270</v>
      </c>
      <c r="J88" s="424" t="s">
        <v>483</v>
      </c>
      <c r="K88" s="434">
        <f t="shared" si="17"/>
        <v>2.92E-2</v>
      </c>
      <c r="L88" s="432">
        <f t="shared" si="17"/>
        <v>2.7199999999999998E-2</v>
      </c>
      <c r="M88" s="432">
        <f t="shared" si="17"/>
        <v>2.5499999999999998E-2</v>
      </c>
      <c r="N88" s="432">
        <f t="shared" si="17"/>
        <v>2.3800000000000002E-2</v>
      </c>
      <c r="O88" s="432">
        <f t="shared" si="17"/>
        <v>2.2200000000000001E-2</v>
      </c>
      <c r="P88" s="432">
        <f t="shared" si="17"/>
        <v>1.9099999999999999E-2</v>
      </c>
      <c r="Q88" s="432">
        <f t="shared" si="17"/>
        <v>1.5800000000000002E-2</v>
      </c>
      <c r="R88" s="432">
        <f t="shared" si="17"/>
        <v>1.09E-2</v>
      </c>
      <c r="S88" s="555"/>
      <c r="T88" s="556"/>
    </row>
    <row r="89" spans="1:20">
      <c r="A89" s="59" t="s">
        <v>173</v>
      </c>
      <c r="B89" s="71" t="s">
        <v>55</v>
      </c>
      <c r="C89" s="307">
        <v>6.7000000000000004E-2</v>
      </c>
      <c r="D89" s="308">
        <v>0.63039999999999996</v>
      </c>
      <c r="E89" s="309">
        <v>0.65</v>
      </c>
      <c r="F89" s="309">
        <v>0.24946223864843597</v>
      </c>
      <c r="G89" s="340">
        <v>2014</v>
      </c>
      <c r="H89" s="341" t="str">
        <f t="shared" si="7"/>
        <v>£m 09/10</v>
      </c>
      <c r="I89" s="341" t="s">
        <v>270</v>
      </c>
      <c r="J89" s="424" t="s">
        <v>483</v>
      </c>
      <c r="K89" s="434">
        <f t="shared" si="17"/>
        <v>2.92E-2</v>
      </c>
      <c r="L89" s="432">
        <f t="shared" si="17"/>
        <v>2.7199999999999998E-2</v>
      </c>
      <c r="M89" s="432">
        <f t="shared" si="17"/>
        <v>2.5499999999999998E-2</v>
      </c>
      <c r="N89" s="432">
        <f t="shared" si="17"/>
        <v>2.3800000000000002E-2</v>
      </c>
      <c r="O89" s="432">
        <f t="shared" si="17"/>
        <v>2.2200000000000001E-2</v>
      </c>
      <c r="P89" s="432">
        <f t="shared" si="17"/>
        <v>1.9099999999999999E-2</v>
      </c>
      <c r="Q89" s="432">
        <f t="shared" si="17"/>
        <v>1.5800000000000002E-2</v>
      </c>
      <c r="R89" s="432">
        <f t="shared" si="17"/>
        <v>1.09E-2</v>
      </c>
      <c r="S89" s="555"/>
      <c r="T89" s="556"/>
    </row>
    <row r="90" spans="1:20">
      <c r="A90" s="59" t="s">
        <v>173</v>
      </c>
      <c r="B90" s="71" t="s">
        <v>56</v>
      </c>
      <c r="C90" s="307">
        <v>6.7000000000000004E-2</v>
      </c>
      <c r="D90" s="308">
        <v>0.63039999999999996</v>
      </c>
      <c r="E90" s="309">
        <v>0.65</v>
      </c>
      <c r="F90" s="309">
        <v>0.26095352485819256</v>
      </c>
      <c r="G90" s="340">
        <v>2014</v>
      </c>
      <c r="H90" s="341" t="str">
        <f t="shared" si="7"/>
        <v>£m 09/10</v>
      </c>
      <c r="I90" s="341" t="s">
        <v>270</v>
      </c>
      <c r="J90" s="424" t="s">
        <v>483</v>
      </c>
      <c r="K90" s="434">
        <f t="shared" si="17"/>
        <v>2.92E-2</v>
      </c>
      <c r="L90" s="432">
        <f t="shared" si="17"/>
        <v>2.7199999999999998E-2</v>
      </c>
      <c r="M90" s="432">
        <f t="shared" si="17"/>
        <v>2.5499999999999998E-2</v>
      </c>
      <c r="N90" s="432">
        <f t="shared" si="17"/>
        <v>2.3800000000000002E-2</v>
      </c>
      <c r="O90" s="432">
        <f t="shared" si="17"/>
        <v>2.2200000000000001E-2</v>
      </c>
      <c r="P90" s="432">
        <f t="shared" si="17"/>
        <v>1.9099999999999999E-2</v>
      </c>
      <c r="Q90" s="432">
        <f t="shared" si="17"/>
        <v>1.5800000000000002E-2</v>
      </c>
      <c r="R90" s="432">
        <f t="shared" si="17"/>
        <v>1.09E-2</v>
      </c>
      <c r="S90" s="555"/>
      <c r="T90" s="556"/>
    </row>
    <row r="91" spans="1:20">
      <c r="A91" s="59" t="s">
        <v>173</v>
      </c>
      <c r="B91" s="71" t="s">
        <v>50</v>
      </c>
      <c r="C91" s="307">
        <v>6.7000000000000004E-2</v>
      </c>
      <c r="D91" s="308">
        <v>0.63980000000000004</v>
      </c>
      <c r="E91" s="309">
        <v>0.65</v>
      </c>
      <c r="F91" s="309">
        <v>0.34984411379298247</v>
      </c>
      <c r="G91" s="340">
        <v>2014</v>
      </c>
      <c r="H91" s="341" t="str">
        <f t="shared" si="7"/>
        <v>£m 09/10</v>
      </c>
      <c r="I91" s="341" t="s">
        <v>270</v>
      </c>
      <c r="J91" s="424" t="s">
        <v>483</v>
      </c>
      <c r="K91" s="434">
        <f t="shared" si="17"/>
        <v>2.92E-2</v>
      </c>
      <c r="L91" s="432">
        <f t="shared" si="17"/>
        <v>2.7199999999999998E-2</v>
      </c>
      <c r="M91" s="432">
        <f t="shared" si="17"/>
        <v>2.5499999999999998E-2</v>
      </c>
      <c r="N91" s="432">
        <f t="shared" si="17"/>
        <v>2.3800000000000002E-2</v>
      </c>
      <c r="O91" s="432">
        <f t="shared" si="17"/>
        <v>2.2200000000000001E-2</v>
      </c>
      <c r="P91" s="432">
        <f t="shared" si="17"/>
        <v>1.9099999999999999E-2</v>
      </c>
      <c r="Q91" s="432">
        <f t="shared" si="17"/>
        <v>1.5800000000000002E-2</v>
      </c>
      <c r="R91" s="432">
        <f t="shared" si="17"/>
        <v>1.09E-2</v>
      </c>
      <c r="S91" s="555"/>
      <c r="T91" s="556"/>
    </row>
    <row r="92" spans="1:20">
      <c r="A92" s="59" t="s">
        <v>173</v>
      </c>
      <c r="B92" s="71" t="s">
        <v>52</v>
      </c>
      <c r="C92" s="307">
        <v>6.7000000000000004E-2</v>
      </c>
      <c r="D92" s="308">
        <v>0.63729999999999998</v>
      </c>
      <c r="E92" s="309">
        <v>0.65</v>
      </c>
      <c r="F92" s="309">
        <v>0.35129049661183626</v>
      </c>
      <c r="G92" s="340">
        <v>2014</v>
      </c>
      <c r="H92" s="341" t="str">
        <f t="shared" si="7"/>
        <v>£m 09/10</v>
      </c>
      <c r="I92" s="341" t="s">
        <v>270</v>
      </c>
      <c r="J92" s="424" t="s">
        <v>483</v>
      </c>
      <c r="K92" s="434">
        <f t="shared" si="17"/>
        <v>2.92E-2</v>
      </c>
      <c r="L92" s="432">
        <f t="shared" si="17"/>
        <v>2.7199999999999998E-2</v>
      </c>
      <c r="M92" s="432">
        <f t="shared" si="17"/>
        <v>2.5499999999999998E-2</v>
      </c>
      <c r="N92" s="432">
        <f t="shared" si="17"/>
        <v>2.3800000000000002E-2</v>
      </c>
      <c r="O92" s="432">
        <f t="shared" si="17"/>
        <v>2.2200000000000001E-2</v>
      </c>
      <c r="P92" s="432">
        <f t="shared" si="17"/>
        <v>1.9099999999999999E-2</v>
      </c>
      <c r="Q92" s="432">
        <f t="shared" si="17"/>
        <v>1.5800000000000002E-2</v>
      </c>
      <c r="R92" s="432">
        <f t="shared" si="17"/>
        <v>1.09E-2</v>
      </c>
      <c r="S92" s="555"/>
      <c r="T92" s="556"/>
    </row>
    <row r="93" spans="1:20">
      <c r="A93" s="59" t="s">
        <v>173</v>
      </c>
      <c r="B93" s="71" t="s">
        <v>51</v>
      </c>
      <c r="C93" s="307">
        <v>6.7000000000000004E-2</v>
      </c>
      <c r="D93" s="308">
        <v>0.63729999999999998</v>
      </c>
      <c r="E93" s="309">
        <v>0.65</v>
      </c>
      <c r="F93" s="309">
        <v>0.32230855902021693</v>
      </c>
      <c r="G93" s="340">
        <v>2014</v>
      </c>
      <c r="H93" s="341" t="str">
        <f t="shared" si="7"/>
        <v>£m 09/10</v>
      </c>
      <c r="I93" s="341" t="s">
        <v>270</v>
      </c>
      <c r="J93" s="424" t="s">
        <v>483</v>
      </c>
      <c r="K93" s="434">
        <f t="shared" si="17"/>
        <v>2.92E-2</v>
      </c>
      <c r="L93" s="432">
        <f t="shared" si="17"/>
        <v>2.7199999999999998E-2</v>
      </c>
      <c r="M93" s="432">
        <f t="shared" si="17"/>
        <v>2.5499999999999998E-2</v>
      </c>
      <c r="N93" s="432">
        <f t="shared" si="17"/>
        <v>2.3800000000000002E-2</v>
      </c>
      <c r="O93" s="432">
        <f t="shared" si="17"/>
        <v>2.2200000000000001E-2</v>
      </c>
      <c r="P93" s="432">
        <f t="shared" si="17"/>
        <v>1.9099999999999999E-2</v>
      </c>
      <c r="Q93" s="432">
        <f t="shared" si="17"/>
        <v>1.5800000000000002E-2</v>
      </c>
      <c r="R93" s="432">
        <f t="shared" si="17"/>
        <v>1.09E-2</v>
      </c>
      <c r="S93" s="555"/>
      <c r="T93" s="556"/>
    </row>
    <row r="94" spans="1:20">
      <c r="A94" s="59" t="s">
        <v>173</v>
      </c>
      <c r="B94" s="71" t="s">
        <v>49</v>
      </c>
      <c r="C94" s="307">
        <v>6.7000000000000004E-2</v>
      </c>
      <c r="D94" s="308">
        <v>0.63170000000000004</v>
      </c>
      <c r="E94" s="309">
        <v>0.65</v>
      </c>
      <c r="F94" s="309">
        <v>0.35781904469402892</v>
      </c>
      <c r="G94" s="340">
        <v>2014</v>
      </c>
      <c r="H94" s="341" t="str">
        <f t="shared" si="7"/>
        <v>£m 09/10</v>
      </c>
      <c r="I94" s="341" t="s">
        <v>270</v>
      </c>
      <c r="J94" s="424" t="s">
        <v>483</v>
      </c>
      <c r="K94" s="434">
        <f t="shared" si="17"/>
        <v>2.92E-2</v>
      </c>
      <c r="L94" s="432">
        <f t="shared" si="17"/>
        <v>2.7199999999999998E-2</v>
      </c>
      <c r="M94" s="432">
        <f t="shared" si="17"/>
        <v>2.5499999999999998E-2</v>
      </c>
      <c r="N94" s="432">
        <f t="shared" si="17"/>
        <v>2.3800000000000002E-2</v>
      </c>
      <c r="O94" s="432">
        <f t="shared" si="17"/>
        <v>2.2200000000000001E-2</v>
      </c>
      <c r="P94" s="432">
        <f t="shared" si="17"/>
        <v>1.9099999999999999E-2</v>
      </c>
      <c r="Q94" s="432">
        <f t="shared" si="17"/>
        <v>1.5800000000000002E-2</v>
      </c>
      <c r="R94" s="432">
        <f t="shared" si="17"/>
        <v>1.09E-2</v>
      </c>
      <c r="S94" s="555"/>
      <c r="T94" s="556"/>
    </row>
    <row r="95" spans="1:20">
      <c r="A95" s="59" t="s">
        <v>175</v>
      </c>
      <c r="B95" s="71" t="s">
        <v>113</v>
      </c>
      <c r="C95" s="307">
        <v>6.8000000000000005E-2</v>
      </c>
      <c r="D95" s="308">
        <v>0.44359999999999999</v>
      </c>
      <c r="E95" s="309">
        <v>0.625</v>
      </c>
      <c r="F95" s="309">
        <v>0.64400000000000002</v>
      </c>
      <c r="G95" s="340">
        <v>2014</v>
      </c>
      <c r="H95" s="341" t="str">
        <f t="shared" si="7"/>
        <v>£m 09/10</v>
      </c>
      <c r="I95" s="341" t="s">
        <v>270</v>
      </c>
      <c r="J95" s="424" t="s">
        <v>483</v>
      </c>
      <c r="K95" s="434">
        <f t="shared" ref="K95:R96" si="18">C$68</f>
        <v>2.92E-2</v>
      </c>
      <c r="L95" s="432">
        <f t="shared" si="18"/>
        <v>2.7199999999999998E-2</v>
      </c>
      <c r="M95" s="432">
        <f t="shared" si="18"/>
        <v>2.5499999999999998E-2</v>
      </c>
      <c r="N95" s="432">
        <f t="shared" si="18"/>
        <v>2.3800000000000002E-2</v>
      </c>
      <c r="O95" s="432">
        <f t="shared" si="18"/>
        <v>2.2200000000000001E-2</v>
      </c>
      <c r="P95" s="432">
        <f t="shared" si="18"/>
        <v>1.9099999999999999E-2</v>
      </c>
      <c r="Q95" s="432">
        <f t="shared" si="18"/>
        <v>1.5800000000000002E-2</v>
      </c>
      <c r="R95" s="432">
        <f t="shared" si="18"/>
        <v>1.09E-2</v>
      </c>
      <c r="S95" s="555"/>
      <c r="T95" s="556"/>
    </row>
    <row r="96" spans="1:20">
      <c r="A96" s="59" t="s">
        <v>175</v>
      </c>
      <c r="B96" s="71" t="s">
        <v>114</v>
      </c>
      <c r="C96" s="307">
        <v>6.8000000000000005E-2</v>
      </c>
      <c r="D96" s="308">
        <v>0.44359999999999999</v>
      </c>
      <c r="E96" s="309">
        <v>0.625</v>
      </c>
      <c r="F96" s="309">
        <v>0.374</v>
      </c>
      <c r="G96" s="340">
        <v>2014</v>
      </c>
      <c r="H96" s="341" t="str">
        <f t="shared" si="7"/>
        <v>£m 09/10</v>
      </c>
      <c r="I96" s="341" t="s">
        <v>270</v>
      </c>
      <c r="J96" s="424" t="s">
        <v>483</v>
      </c>
      <c r="K96" s="434">
        <f t="shared" si="18"/>
        <v>2.92E-2</v>
      </c>
      <c r="L96" s="432">
        <f t="shared" si="18"/>
        <v>2.7199999999999998E-2</v>
      </c>
      <c r="M96" s="432">
        <f t="shared" si="18"/>
        <v>2.5499999999999998E-2</v>
      </c>
      <c r="N96" s="432">
        <f t="shared" si="18"/>
        <v>2.3800000000000002E-2</v>
      </c>
      <c r="O96" s="432">
        <f t="shared" si="18"/>
        <v>2.2200000000000001E-2</v>
      </c>
      <c r="P96" s="432">
        <f t="shared" si="18"/>
        <v>1.9099999999999999E-2</v>
      </c>
      <c r="Q96" s="432">
        <f t="shared" si="18"/>
        <v>1.5800000000000002E-2</v>
      </c>
      <c r="R96" s="432">
        <f t="shared" si="18"/>
        <v>1.09E-2</v>
      </c>
      <c r="S96" s="555"/>
      <c r="T96" s="556"/>
    </row>
    <row r="97" spans="1:20">
      <c r="A97" s="59" t="s">
        <v>174</v>
      </c>
      <c r="B97" s="71" t="s">
        <v>111</v>
      </c>
      <c r="C97" s="307">
        <v>7.0000000000000007E-2</v>
      </c>
      <c r="D97" s="308">
        <v>0.46889999999999998</v>
      </c>
      <c r="E97" s="309">
        <v>0.6</v>
      </c>
      <c r="F97" s="309">
        <v>0.85</v>
      </c>
      <c r="G97" s="340">
        <v>2014</v>
      </c>
      <c r="H97" s="341" t="str">
        <f t="shared" si="7"/>
        <v>£m 09/10</v>
      </c>
      <c r="I97" s="341" t="s">
        <v>270</v>
      </c>
      <c r="J97" s="424" t="s">
        <v>483</v>
      </c>
      <c r="K97" s="434">
        <f t="shared" ref="K97:R99" si="19">C$66</f>
        <v>2.92E-2</v>
      </c>
      <c r="L97" s="432">
        <f t="shared" si="19"/>
        <v>2.7199999999999998E-2</v>
      </c>
      <c r="M97" s="432">
        <f t="shared" si="19"/>
        <v>2.5499999999999998E-2</v>
      </c>
      <c r="N97" s="432">
        <f t="shared" si="19"/>
        <v>2.3800000000000002E-2</v>
      </c>
      <c r="O97" s="432">
        <f t="shared" si="19"/>
        <v>2.2200000000000001E-2</v>
      </c>
      <c r="P97" s="432">
        <f t="shared" si="19"/>
        <v>1.9099999999999999E-2</v>
      </c>
      <c r="Q97" s="432">
        <f t="shared" si="19"/>
        <v>1.5800000000000002E-2</v>
      </c>
      <c r="R97" s="432">
        <f t="shared" si="19"/>
        <v>1.09E-2</v>
      </c>
      <c r="S97" s="555"/>
      <c r="T97" s="556"/>
    </row>
    <row r="98" spans="1:20">
      <c r="A98" s="59" t="s">
        <v>174</v>
      </c>
      <c r="B98" s="71" t="s">
        <v>579</v>
      </c>
      <c r="C98" s="307">
        <v>7.0000000000000007E-2</v>
      </c>
      <c r="D98" s="308">
        <v>0.46889999999999998</v>
      </c>
      <c r="E98" s="309">
        <v>0.6</v>
      </c>
      <c r="F98" s="309">
        <v>0.27900000000000003</v>
      </c>
      <c r="G98" s="326">
        <v>2014</v>
      </c>
      <c r="H98" s="327" t="str">
        <f>VLOOKUP($A98,$E$54:$F$57,2,FALSE)</f>
        <v>£m 09/10</v>
      </c>
      <c r="I98" s="324" t="s">
        <v>270</v>
      </c>
      <c r="J98" s="424" t="s">
        <v>483</v>
      </c>
      <c r="K98" s="434">
        <f t="shared" si="19"/>
        <v>2.92E-2</v>
      </c>
      <c r="L98" s="432">
        <f t="shared" si="19"/>
        <v>2.7199999999999998E-2</v>
      </c>
      <c r="M98" s="432">
        <f t="shared" si="19"/>
        <v>2.5499999999999998E-2</v>
      </c>
      <c r="N98" s="432">
        <f t="shared" si="19"/>
        <v>2.3800000000000002E-2</v>
      </c>
      <c r="O98" s="432">
        <f t="shared" si="19"/>
        <v>2.2200000000000001E-2</v>
      </c>
      <c r="P98" s="432">
        <f t="shared" si="19"/>
        <v>1.9099999999999999E-2</v>
      </c>
      <c r="Q98" s="432">
        <f t="shared" si="19"/>
        <v>1.5800000000000002E-2</v>
      </c>
      <c r="R98" s="432">
        <f t="shared" si="19"/>
        <v>1.09E-2</v>
      </c>
      <c r="S98" s="555"/>
      <c r="T98" s="556"/>
    </row>
    <row r="99" spans="1:20">
      <c r="A99" s="59" t="s">
        <v>174</v>
      </c>
      <c r="B99" s="71" t="s">
        <v>60</v>
      </c>
      <c r="C99" s="307">
        <v>7.0000000000000007E-2</v>
      </c>
      <c r="D99" s="308">
        <v>0.5</v>
      </c>
      <c r="E99" s="309">
        <v>0.55000000000000004</v>
      </c>
      <c r="F99" s="309">
        <v>0.9</v>
      </c>
      <c r="G99" s="326">
        <v>2014</v>
      </c>
      <c r="H99" s="327" t="str">
        <f>VLOOKUP($A99,$E$54:$F$57,2,FALSE)</f>
        <v>£m 09/10</v>
      </c>
      <c r="I99" s="324" t="s">
        <v>271</v>
      </c>
      <c r="J99" s="424" t="s">
        <v>483</v>
      </c>
      <c r="K99" s="434">
        <f t="shared" si="19"/>
        <v>2.92E-2</v>
      </c>
      <c r="L99" s="432">
        <f t="shared" si="19"/>
        <v>2.7199999999999998E-2</v>
      </c>
      <c r="M99" s="432">
        <f t="shared" si="19"/>
        <v>2.5499999999999998E-2</v>
      </c>
      <c r="N99" s="432">
        <f t="shared" si="19"/>
        <v>2.3800000000000002E-2</v>
      </c>
      <c r="O99" s="432">
        <f t="shared" si="19"/>
        <v>2.2200000000000001E-2</v>
      </c>
      <c r="P99" s="432">
        <f t="shared" si="19"/>
        <v>1.9099999999999999E-2</v>
      </c>
      <c r="Q99" s="432">
        <f t="shared" si="19"/>
        <v>1.5800000000000002E-2</v>
      </c>
      <c r="R99" s="432">
        <f t="shared" si="19"/>
        <v>1.09E-2</v>
      </c>
      <c r="S99" s="555"/>
      <c r="T99" s="556"/>
    </row>
    <row r="100" spans="1:20">
      <c r="A100" s="59" t="s">
        <v>174</v>
      </c>
      <c r="B100" s="72" t="s">
        <v>61</v>
      </c>
      <c r="C100" s="310">
        <v>7.0000000000000007E-2</v>
      </c>
      <c r="D100" s="311">
        <v>0.5</v>
      </c>
      <c r="E100" s="312">
        <v>0.55000000000000004</v>
      </c>
      <c r="F100" s="312">
        <v>0.9</v>
      </c>
      <c r="G100" s="328">
        <v>2014</v>
      </c>
      <c r="H100" s="329" t="str">
        <f>VLOOKUP($A100,$E$54:$F$57,2,FALSE)</f>
        <v>£m 09/10</v>
      </c>
      <c r="I100" s="325" t="s">
        <v>271</v>
      </c>
      <c r="J100" s="424" t="s">
        <v>483</v>
      </c>
      <c r="K100" s="435">
        <f t="shared" ref="K100:R100" si="20">C$65</f>
        <v>2.92E-2</v>
      </c>
      <c r="L100" s="433">
        <f t="shared" si="20"/>
        <v>2.5000000000000001E-2</v>
      </c>
      <c r="M100" s="433">
        <f t="shared" si="20"/>
        <v>2.1499999999999998E-2</v>
      </c>
      <c r="N100" s="433">
        <f t="shared" si="20"/>
        <v>1.7899999999999999E-2</v>
      </c>
      <c r="O100" s="433">
        <f t="shared" si="20"/>
        <v>1.5100000000000001E-2</v>
      </c>
      <c r="P100" s="433">
        <f t="shared" si="20"/>
        <v>1.1599999999999999E-2</v>
      </c>
      <c r="Q100" s="433">
        <f t="shared" si="20"/>
        <v>1.0200000000000001E-2</v>
      </c>
      <c r="R100" s="433">
        <f t="shared" si="20"/>
        <v>7.6E-3</v>
      </c>
      <c r="S100" s="557"/>
      <c r="T100" s="558"/>
    </row>
    <row r="101" spans="1:20">
      <c r="I101" s="66"/>
    </row>
    <row r="102" spans="1:20">
      <c r="I102" s="66"/>
    </row>
    <row r="103" spans="1:20">
      <c r="I103" s="66"/>
    </row>
    <row r="104" spans="1:20">
      <c r="B104" s="14" t="s">
        <v>250</v>
      </c>
      <c r="D104" s="298"/>
      <c r="E104" s="298"/>
      <c r="F104" s="298"/>
      <c r="G104" s="298"/>
      <c r="H104" s="298"/>
      <c r="I104" s="298"/>
      <c r="J104" s="298"/>
    </row>
    <row r="105" spans="1:20">
      <c r="B105" s="14"/>
      <c r="C105" s="117">
        <v>2014</v>
      </c>
      <c r="D105" s="118">
        <f>C105+1</f>
        <v>2015</v>
      </c>
      <c r="E105" s="118">
        <f t="shared" ref="E105:J105" si="21">D105+1</f>
        <v>2016</v>
      </c>
      <c r="F105" s="118">
        <f>E105+1</f>
        <v>2017</v>
      </c>
      <c r="G105" s="118">
        <f t="shared" si="21"/>
        <v>2018</v>
      </c>
      <c r="H105" s="118">
        <f t="shared" si="21"/>
        <v>2019</v>
      </c>
      <c r="I105" s="118">
        <f t="shared" si="21"/>
        <v>2020</v>
      </c>
      <c r="J105" s="118">
        <f t="shared" si="21"/>
        <v>2021</v>
      </c>
    </row>
    <row r="106" spans="1:20">
      <c r="B106" s="302" t="s">
        <v>53</v>
      </c>
      <c r="C106" s="299">
        <v>0.5</v>
      </c>
      <c r="D106" s="299">
        <v>0.5714285714285714</v>
      </c>
      <c r="E106" s="299">
        <v>0.64285714285714279</v>
      </c>
      <c r="F106" s="299">
        <v>0.71428571428571419</v>
      </c>
      <c r="G106" s="299">
        <v>0.78571428571428559</v>
      </c>
      <c r="H106" s="299">
        <v>0.85714285714285698</v>
      </c>
      <c r="I106" s="299">
        <v>0.92857142857142838</v>
      </c>
      <c r="J106" s="300">
        <v>1</v>
      </c>
    </row>
    <row r="107" spans="1:20">
      <c r="B107" s="303" t="s">
        <v>54</v>
      </c>
      <c r="C107" s="219">
        <v>0.5</v>
      </c>
      <c r="D107" s="219">
        <v>0.5714285714285714</v>
      </c>
      <c r="E107" s="219">
        <v>0.64285714285714279</v>
      </c>
      <c r="F107" s="219">
        <v>0.71428571428571419</v>
      </c>
      <c r="G107" s="219">
        <v>0.78571428571428559</v>
      </c>
      <c r="H107" s="219">
        <v>0.85714285714285698</v>
      </c>
      <c r="I107" s="219">
        <v>0.92857142857142838</v>
      </c>
      <c r="J107" s="220">
        <v>1</v>
      </c>
    </row>
    <row r="108" spans="1:20">
      <c r="B108" s="303" t="s">
        <v>55</v>
      </c>
      <c r="C108" s="219">
        <v>0.5</v>
      </c>
      <c r="D108" s="219">
        <v>0.5714285714285714</v>
      </c>
      <c r="E108" s="219">
        <v>0.64285714285714279</v>
      </c>
      <c r="F108" s="219">
        <v>0.71428571428571419</v>
      </c>
      <c r="G108" s="219">
        <v>0.78571428571428559</v>
      </c>
      <c r="H108" s="219">
        <v>0.85714285714285698</v>
      </c>
      <c r="I108" s="219">
        <v>0.92857142857142838</v>
      </c>
      <c r="J108" s="220">
        <v>1</v>
      </c>
    </row>
    <row r="109" spans="1:20">
      <c r="B109" s="303" t="s">
        <v>56</v>
      </c>
      <c r="C109" s="219">
        <v>0.5</v>
      </c>
      <c r="D109" s="219">
        <v>0.5714285714285714</v>
      </c>
      <c r="E109" s="219">
        <v>0.64285714285714279</v>
      </c>
      <c r="F109" s="219">
        <v>0.71428571428571419</v>
      </c>
      <c r="G109" s="219">
        <v>0.78571428571428559</v>
      </c>
      <c r="H109" s="219">
        <v>0.85714285714285698</v>
      </c>
      <c r="I109" s="219">
        <v>0.92857142857142838</v>
      </c>
      <c r="J109" s="220">
        <v>1</v>
      </c>
    </row>
    <row r="110" spans="1:20">
      <c r="B110" s="303" t="s">
        <v>50</v>
      </c>
      <c r="C110" s="219">
        <v>0.5</v>
      </c>
      <c r="D110" s="219">
        <v>0.5714285714285714</v>
      </c>
      <c r="E110" s="219">
        <v>0.64285714285714279</v>
      </c>
      <c r="F110" s="219">
        <v>0.71428571428571419</v>
      </c>
      <c r="G110" s="219">
        <v>0.78571428571428559</v>
      </c>
      <c r="H110" s="219">
        <v>0.85714285714285698</v>
      </c>
      <c r="I110" s="219">
        <v>0.92857142857142838</v>
      </c>
      <c r="J110" s="220">
        <v>1</v>
      </c>
    </row>
    <row r="111" spans="1:20">
      <c r="B111" s="303" t="s">
        <v>52</v>
      </c>
      <c r="C111" s="219">
        <v>0.5</v>
      </c>
      <c r="D111" s="219">
        <v>0.5714285714285714</v>
      </c>
      <c r="E111" s="219">
        <v>0.64285714285714279</v>
      </c>
      <c r="F111" s="219">
        <v>0.71428571428571419</v>
      </c>
      <c r="G111" s="219">
        <v>0.78571428571428559</v>
      </c>
      <c r="H111" s="219">
        <v>0.85714285714285698</v>
      </c>
      <c r="I111" s="219">
        <v>0.92857142857142838</v>
      </c>
      <c r="J111" s="220">
        <v>1</v>
      </c>
    </row>
    <row r="112" spans="1:20">
      <c r="B112" s="303" t="s">
        <v>51</v>
      </c>
      <c r="C112" s="219">
        <v>0.5</v>
      </c>
      <c r="D112" s="219">
        <v>0.5714285714285714</v>
      </c>
      <c r="E112" s="219">
        <v>0.64285714285714279</v>
      </c>
      <c r="F112" s="219">
        <v>0.71428571428571419</v>
      </c>
      <c r="G112" s="219">
        <v>0.78571428571428559</v>
      </c>
      <c r="H112" s="219">
        <v>0.85714285714285698</v>
      </c>
      <c r="I112" s="219">
        <v>0.92857142857142838</v>
      </c>
      <c r="J112" s="220">
        <v>1</v>
      </c>
    </row>
    <row r="113" spans="2:15">
      <c r="B113" s="417" t="s">
        <v>49</v>
      </c>
      <c r="C113" s="418">
        <v>0.5</v>
      </c>
      <c r="D113" s="418">
        <v>0.5714285714285714</v>
      </c>
      <c r="E113" s="418">
        <v>0.64285714285714279</v>
      </c>
      <c r="F113" s="418">
        <v>0.71428571428571419</v>
      </c>
      <c r="G113" s="418">
        <v>0.78571428571428559</v>
      </c>
      <c r="H113" s="418">
        <v>0.85714285714285698</v>
      </c>
      <c r="I113" s="418">
        <v>0.92857142857142838</v>
      </c>
      <c r="J113" s="419">
        <v>1</v>
      </c>
    </row>
    <row r="114" spans="2:15">
      <c r="B114" s="303" t="s">
        <v>113</v>
      </c>
      <c r="C114" s="219">
        <v>0.9</v>
      </c>
      <c r="D114" s="219">
        <v>0.9</v>
      </c>
      <c r="E114" s="219">
        <v>0.9</v>
      </c>
      <c r="F114" s="219">
        <v>0.9</v>
      </c>
      <c r="G114" s="219">
        <v>0.9</v>
      </c>
      <c r="H114" s="219">
        <v>0.9</v>
      </c>
      <c r="I114" s="219">
        <v>0.9</v>
      </c>
      <c r="J114" s="220">
        <v>0.9</v>
      </c>
    </row>
    <row r="115" spans="2:15">
      <c r="B115" s="304" t="s">
        <v>114</v>
      </c>
      <c r="C115" s="562"/>
      <c r="D115" s="562"/>
      <c r="E115" s="562"/>
      <c r="F115" s="562"/>
      <c r="G115" s="562"/>
      <c r="H115" s="562"/>
      <c r="I115" s="562"/>
      <c r="J115" s="562"/>
    </row>
    <row r="116" spans="2:15">
      <c r="B116" s="399"/>
      <c r="C116" s="458"/>
      <c r="D116" s="458"/>
      <c r="E116" s="458"/>
      <c r="F116" s="458"/>
      <c r="G116" s="458"/>
      <c r="H116" s="458"/>
      <c r="I116" s="458"/>
      <c r="J116" s="458"/>
      <c r="M116" s="31"/>
      <c r="N116" s="31"/>
      <c r="O116" s="31"/>
    </row>
    <row r="117" spans="2:15">
      <c r="B117" s="399"/>
      <c r="C117" s="458"/>
      <c r="D117" s="458"/>
      <c r="E117" s="458"/>
      <c r="F117" s="458"/>
      <c r="G117" s="458"/>
      <c r="H117" s="458"/>
      <c r="I117" s="458"/>
      <c r="J117" s="458"/>
      <c r="K117" s="365"/>
      <c r="L117" s="365"/>
      <c r="M117" s="31"/>
      <c r="N117" s="31"/>
      <c r="O117" s="31"/>
    </row>
    <row r="118" spans="2:15">
      <c r="B118" s="468" t="s">
        <v>214</v>
      </c>
      <c r="C118" s="117">
        <v>2014</v>
      </c>
      <c r="D118" s="118">
        <f t="shared" ref="D118:L118" si="22">C118+1</f>
        <v>2015</v>
      </c>
      <c r="E118" s="118">
        <f t="shared" si="22"/>
        <v>2016</v>
      </c>
      <c r="F118" s="118">
        <f t="shared" si="22"/>
        <v>2017</v>
      </c>
      <c r="G118" s="118">
        <f t="shared" si="22"/>
        <v>2018</v>
      </c>
      <c r="H118" s="118">
        <f t="shared" si="22"/>
        <v>2019</v>
      </c>
      <c r="I118" s="118">
        <f t="shared" si="22"/>
        <v>2020</v>
      </c>
      <c r="J118" s="118">
        <f t="shared" si="22"/>
        <v>2021</v>
      </c>
      <c r="K118" s="118">
        <f t="shared" si="22"/>
        <v>2022</v>
      </c>
      <c r="L118" s="195">
        <f t="shared" si="22"/>
        <v>2023</v>
      </c>
      <c r="M118" s="31"/>
      <c r="N118" s="31"/>
      <c r="O118" s="31"/>
    </row>
    <row r="119" spans="2:15">
      <c r="B119" s="459" t="s">
        <v>43</v>
      </c>
      <c r="C119" s="559"/>
      <c r="D119" s="560"/>
      <c r="E119" s="461">
        <v>1.5575632164737283</v>
      </c>
      <c r="F119" s="461">
        <v>1.4734141240658321</v>
      </c>
      <c r="G119" s="461">
        <v>1.4689588897025405</v>
      </c>
      <c r="H119" s="461">
        <v>1.4707200530126929</v>
      </c>
      <c r="I119" s="461">
        <v>1.4674716260161711</v>
      </c>
      <c r="J119" s="461">
        <v>1.4486206224386007</v>
      </c>
      <c r="K119" s="461">
        <v>1.4956798325868756</v>
      </c>
      <c r="L119" s="462">
        <v>1.4397148718051931</v>
      </c>
      <c r="M119" s="31"/>
      <c r="N119" s="31"/>
      <c r="O119" s="31"/>
    </row>
    <row r="120" spans="2:15">
      <c r="B120" s="459" t="s">
        <v>44</v>
      </c>
      <c r="C120" s="561"/>
      <c r="D120" s="562"/>
      <c r="E120" s="463">
        <v>-0.65871781800535345</v>
      </c>
      <c r="F120" s="463">
        <v>-0.63543772576063684</v>
      </c>
      <c r="G120" s="463">
        <v>-0.58907862874233818</v>
      </c>
      <c r="H120" s="463">
        <v>-0.58178188190178026</v>
      </c>
      <c r="I120" s="463">
        <v>-0.56823918867341305</v>
      </c>
      <c r="J120" s="463">
        <v>-0.51933170333654122</v>
      </c>
      <c r="K120" s="463">
        <v>-0.47962665852661612</v>
      </c>
      <c r="L120" s="464">
        <v>-0.4656874701170608</v>
      </c>
      <c r="M120" s="31"/>
      <c r="N120" s="31"/>
      <c r="O120" s="31"/>
    </row>
    <row r="121" spans="2:15">
      <c r="B121" s="459" t="s">
        <v>73</v>
      </c>
      <c r="C121" s="561"/>
      <c r="D121" s="562"/>
      <c r="E121" s="463">
        <v>-0.86626036283610952</v>
      </c>
      <c r="F121" s="463">
        <v>-0.81019773780890636</v>
      </c>
      <c r="G121" s="463">
        <v>-0.78919084241395188</v>
      </c>
      <c r="H121" s="463">
        <v>-0.79061873066036981</v>
      </c>
      <c r="I121" s="463">
        <v>-0.74432653414361061</v>
      </c>
      <c r="J121" s="463">
        <v>-0.70697274816976396</v>
      </c>
      <c r="K121" s="463">
        <v>-0.65350946162011747</v>
      </c>
      <c r="L121" s="464">
        <v>-0.66429758885743451</v>
      </c>
      <c r="M121" s="31"/>
      <c r="N121" s="31"/>
      <c r="O121" s="31"/>
    </row>
    <row r="122" spans="2:15">
      <c r="B122" s="459" t="s">
        <v>59</v>
      </c>
      <c r="C122" s="561"/>
      <c r="D122" s="562"/>
      <c r="E122" s="463">
        <v>-3.2612134183503572</v>
      </c>
      <c r="F122" s="463">
        <v>-3.3462554451402173</v>
      </c>
      <c r="G122" s="463">
        <v>-3.1732919768141143</v>
      </c>
      <c r="H122" s="463">
        <v>-3.1232404745251841</v>
      </c>
      <c r="I122" s="463">
        <v>-3.0767551306224106</v>
      </c>
      <c r="J122" s="463">
        <v>-2.9342177182087767</v>
      </c>
      <c r="K122" s="463">
        <v>-2.8825938479182072</v>
      </c>
      <c r="L122" s="464">
        <v>-2.7237011003750218</v>
      </c>
      <c r="M122" s="31"/>
      <c r="N122" s="31"/>
      <c r="O122" s="31"/>
    </row>
    <row r="123" spans="2:15">
      <c r="B123" s="459" t="s">
        <v>57</v>
      </c>
      <c r="C123" s="561"/>
      <c r="D123" s="562"/>
      <c r="E123" s="463">
        <v>-2.4260972367898193</v>
      </c>
      <c r="F123" s="463">
        <v>-2.3690383662844163</v>
      </c>
      <c r="G123" s="463">
        <v>-2.2433276600060932</v>
      </c>
      <c r="H123" s="463">
        <v>-2.1466020621213828</v>
      </c>
      <c r="I123" s="463">
        <v>-2.174009678716605</v>
      </c>
      <c r="J123" s="463">
        <v>-2.0538927838998693</v>
      </c>
      <c r="K123" s="463">
        <v>-1.9044581231060691</v>
      </c>
      <c r="L123" s="464">
        <v>-1.8008611131009082</v>
      </c>
      <c r="M123" s="31"/>
      <c r="N123" s="31"/>
      <c r="O123" s="31"/>
    </row>
    <row r="124" spans="2:15">
      <c r="B124" s="459" t="s">
        <v>58</v>
      </c>
      <c r="C124" s="561"/>
      <c r="D124" s="562"/>
      <c r="E124" s="463">
        <v>-2.1861012409352765</v>
      </c>
      <c r="F124" s="463">
        <v>-2.3820447425774849</v>
      </c>
      <c r="G124" s="463">
        <v>-2.2418672366929897</v>
      </c>
      <c r="H124" s="463">
        <v>-2.1147812646907029</v>
      </c>
      <c r="I124" s="463">
        <v>-2.0146177086326591</v>
      </c>
      <c r="J124" s="463">
        <v>-1.9421313262105093</v>
      </c>
      <c r="K124" s="463">
        <v>-1.9248856430948595</v>
      </c>
      <c r="L124" s="464">
        <v>-1.8464451304225615</v>
      </c>
      <c r="M124" s="31"/>
      <c r="N124" s="31"/>
      <c r="O124" s="31"/>
    </row>
    <row r="125" spans="2:15">
      <c r="B125" s="459" t="s">
        <v>45</v>
      </c>
      <c r="C125" s="561"/>
      <c r="D125" s="562"/>
      <c r="E125" s="463">
        <v>-1.8633532543800757</v>
      </c>
      <c r="F125" s="463">
        <v>-1.8182980405067262</v>
      </c>
      <c r="G125" s="463">
        <v>-1.83946756302578</v>
      </c>
      <c r="H125" s="463">
        <v>-1.7415973428180247</v>
      </c>
      <c r="I125" s="463">
        <v>-1.6798002111470465</v>
      </c>
      <c r="J125" s="463">
        <v>-1.5974456358596774</v>
      </c>
      <c r="K125" s="463">
        <v>-1.5016396120831343</v>
      </c>
      <c r="L125" s="464">
        <v>-1.4453638876860204</v>
      </c>
      <c r="M125" s="31"/>
      <c r="N125" s="31"/>
      <c r="O125" s="31"/>
    </row>
    <row r="126" spans="2:15">
      <c r="B126" s="459" t="s">
        <v>46</v>
      </c>
      <c r="C126" s="561"/>
      <c r="D126" s="562"/>
      <c r="E126" s="463">
        <v>-2.1317145269512103</v>
      </c>
      <c r="F126" s="463">
        <v>-2.193973633026753</v>
      </c>
      <c r="G126" s="463">
        <v>-1.9869010217130036</v>
      </c>
      <c r="H126" s="463">
        <v>-1.8037552784318813</v>
      </c>
      <c r="I126" s="463">
        <v>-1.7767942495618843</v>
      </c>
      <c r="J126" s="463">
        <v>-1.7901472583807538</v>
      </c>
      <c r="K126" s="463">
        <v>-1.6444113686346382</v>
      </c>
      <c r="L126" s="464">
        <v>-1.467384504290556</v>
      </c>
      <c r="M126" s="31"/>
      <c r="N126" s="31"/>
      <c r="O126" s="31"/>
    </row>
    <row r="127" spans="2:15">
      <c r="B127" s="459" t="s">
        <v>47</v>
      </c>
      <c r="C127" s="561"/>
      <c r="D127" s="562"/>
      <c r="E127" s="463">
        <v>0.16599721814464838</v>
      </c>
      <c r="F127" s="463">
        <v>0.16631900606776751</v>
      </c>
      <c r="G127" s="463">
        <v>0.16554337895881124</v>
      </c>
      <c r="H127" s="463">
        <v>0.16569741136821181</v>
      </c>
      <c r="I127" s="463">
        <v>0.16622630759870036</v>
      </c>
      <c r="J127" s="463">
        <v>0.16380302414374548</v>
      </c>
      <c r="K127" s="463">
        <v>0.16593344617950709</v>
      </c>
      <c r="L127" s="464">
        <v>0.16036688822048883</v>
      </c>
      <c r="M127" s="31"/>
      <c r="N127" s="31"/>
      <c r="O127" s="31"/>
    </row>
    <row r="128" spans="2:15">
      <c r="B128" s="459" t="s">
        <v>48</v>
      </c>
      <c r="C128" s="561"/>
      <c r="D128" s="562"/>
      <c r="E128" s="463">
        <v>0.3648271976377423</v>
      </c>
      <c r="F128" s="463">
        <v>0.37109083837102003</v>
      </c>
      <c r="G128" s="463">
        <v>0.36071859106606846</v>
      </c>
      <c r="H128" s="463">
        <v>0.35927814835295946</v>
      </c>
      <c r="I128" s="463">
        <v>0.3227419487574148</v>
      </c>
      <c r="J128" s="463">
        <v>0.32139075529498529</v>
      </c>
      <c r="K128" s="463">
        <v>0.32876178406363676</v>
      </c>
      <c r="L128" s="464">
        <v>0.31920430794598709</v>
      </c>
      <c r="M128" s="31"/>
      <c r="N128" s="31"/>
      <c r="O128" s="31"/>
    </row>
    <row r="129" spans="2:15">
      <c r="B129" s="459" t="s">
        <v>246</v>
      </c>
      <c r="C129" s="561"/>
      <c r="D129" s="562"/>
      <c r="E129" s="463">
        <v>7.1281196754416492</v>
      </c>
      <c r="F129" s="463">
        <v>6.9674138399666772</v>
      </c>
      <c r="G129" s="463">
        <v>6.2034025893135132</v>
      </c>
      <c r="H129" s="463">
        <v>6.3085978915797085</v>
      </c>
      <c r="I129" s="463">
        <v>6.2376648400128394</v>
      </c>
      <c r="J129" s="463">
        <v>6.4865819943041139</v>
      </c>
      <c r="K129" s="463">
        <v>6.8152516624832584</v>
      </c>
      <c r="L129" s="464">
        <v>6.6271056201039169</v>
      </c>
      <c r="M129" s="31"/>
      <c r="N129" s="31"/>
      <c r="O129" s="31"/>
    </row>
    <row r="130" spans="2:15">
      <c r="B130" s="459" t="s">
        <v>247</v>
      </c>
      <c r="C130" s="561"/>
      <c r="D130" s="562"/>
      <c r="E130" s="463">
        <v>6.5079014730517413</v>
      </c>
      <c r="F130" s="463">
        <v>6.5166167406950333</v>
      </c>
      <c r="G130" s="463">
        <v>6.3292456496722922</v>
      </c>
      <c r="H130" s="463">
        <v>6.4407397408462082</v>
      </c>
      <c r="I130" s="463">
        <v>6.6367331985058957</v>
      </c>
      <c r="J130" s="463">
        <v>6.7568163761394304</v>
      </c>
      <c r="K130" s="463">
        <v>6.6961234445143969</v>
      </c>
      <c r="L130" s="464">
        <v>6.7647427548792596</v>
      </c>
      <c r="M130" s="31"/>
      <c r="N130" s="31"/>
      <c r="O130" s="31"/>
    </row>
    <row r="131" spans="2:15">
      <c r="B131" s="459" t="s">
        <v>248</v>
      </c>
      <c r="C131" s="561"/>
      <c r="D131" s="562"/>
      <c r="E131" s="463">
        <v>3.6763138465229663</v>
      </c>
      <c r="F131" s="463">
        <v>3.6748350873956013</v>
      </c>
      <c r="G131" s="463">
        <v>3.4998529635433906</v>
      </c>
      <c r="H131" s="463">
        <v>3.724685546648324</v>
      </c>
      <c r="I131" s="463">
        <v>3.4121739487309477</v>
      </c>
      <c r="J131" s="463">
        <v>3.4202241027689042</v>
      </c>
      <c r="K131" s="463">
        <v>3.3053549439575329</v>
      </c>
      <c r="L131" s="464">
        <v>3.3633285641010966</v>
      </c>
      <c r="M131" s="31"/>
      <c r="N131" s="31"/>
      <c r="O131" s="31"/>
    </row>
    <row r="132" spans="2:15">
      <c r="B132" s="459" t="s">
        <v>249</v>
      </c>
      <c r="C132" s="561"/>
      <c r="D132" s="562"/>
      <c r="E132" s="463">
        <v>5.3762701961708466</v>
      </c>
      <c r="F132" s="463">
        <v>5.3775969760840585</v>
      </c>
      <c r="G132" s="463">
        <v>5.2618102801807671</v>
      </c>
      <c r="H132" s="463">
        <v>5.360849180672294</v>
      </c>
      <c r="I132" s="463">
        <v>5.2665238228731912</v>
      </c>
      <c r="J132" s="463">
        <v>5.3271179030285305</v>
      </c>
      <c r="K132" s="463">
        <v>5.3223294006601192</v>
      </c>
      <c r="L132" s="464">
        <v>5.5699880746272257</v>
      </c>
      <c r="M132" s="31"/>
      <c r="N132" s="31"/>
      <c r="O132" s="31"/>
    </row>
    <row r="133" spans="2:15">
      <c r="B133" s="459" t="s">
        <v>53</v>
      </c>
      <c r="C133" s="465">
        <v>1.4371556068940596</v>
      </c>
      <c r="D133" s="463">
        <v>1.3718015630879741</v>
      </c>
      <c r="E133" s="463">
        <v>1.3507660107019517</v>
      </c>
      <c r="F133" s="463">
        <v>1.356812198977974</v>
      </c>
      <c r="G133" s="463">
        <v>1.3598136386487443</v>
      </c>
      <c r="H133" s="463">
        <v>1.3501475065962032</v>
      </c>
      <c r="I133" s="463">
        <v>1.3298433305384654</v>
      </c>
      <c r="J133" s="463">
        <v>1.3174540960763355</v>
      </c>
      <c r="K133" s="562"/>
      <c r="L133" s="563"/>
      <c r="M133" s="31"/>
      <c r="N133" s="31"/>
      <c r="O133" s="31"/>
    </row>
    <row r="134" spans="2:15">
      <c r="B134" s="459" t="s">
        <v>54</v>
      </c>
      <c r="C134" s="465">
        <v>1.2224510767557433</v>
      </c>
      <c r="D134" s="463">
        <v>1.2198157429394254</v>
      </c>
      <c r="E134" s="463">
        <v>1.2942164825881293</v>
      </c>
      <c r="F134" s="463">
        <v>1.2596396269108345</v>
      </c>
      <c r="G134" s="463">
        <v>1.2840112184368913</v>
      </c>
      <c r="H134" s="463">
        <v>1.2678511857965422</v>
      </c>
      <c r="I134" s="463">
        <v>1.2592019055105816</v>
      </c>
      <c r="J134" s="463">
        <v>1.257376658609527</v>
      </c>
      <c r="K134" s="562"/>
      <c r="L134" s="563"/>
      <c r="M134" s="31"/>
      <c r="N134" s="31"/>
      <c r="O134" s="31"/>
    </row>
    <row r="135" spans="2:15">
      <c r="B135" s="459" t="s">
        <v>55</v>
      </c>
      <c r="C135" s="465">
        <v>0.82325002294811445</v>
      </c>
      <c r="D135" s="463">
        <v>0.82663571281128501</v>
      </c>
      <c r="E135" s="463">
        <v>0.79640504595610451</v>
      </c>
      <c r="F135" s="463">
        <v>0.78757021450124798</v>
      </c>
      <c r="G135" s="463">
        <v>0.81133252861207505</v>
      </c>
      <c r="H135" s="463">
        <v>0.81064228783969072</v>
      </c>
      <c r="I135" s="463">
        <v>0.80900368952296353</v>
      </c>
      <c r="J135" s="463">
        <v>0.78043276967968189</v>
      </c>
      <c r="K135" s="562"/>
      <c r="L135" s="563"/>
      <c r="M135" s="31"/>
      <c r="N135" s="31"/>
      <c r="O135" s="31"/>
    </row>
    <row r="136" spans="2:15">
      <c r="B136" s="459" t="s">
        <v>56</v>
      </c>
      <c r="C136" s="465">
        <v>1.0893959849781105</v>
      </c>
      <c r="D136" s="463">
        <v>1.027913194554035</v>
      </c>
      <c r="E136" s="463">
        <v>1.0066987144123654</v>
      </c>
      <c r="F136" s="463">
        <v>1.0192350900597893</v>
      </c>
      <c r="G136" s="463">
        <v>1.0341480780318344</v>
      </c>
      <c r="H136" s="463">
        <v>1.0204240792759967</v>
      </c>
      <c r="I136" s="463">
        <v>1.0137739549704501</v>
      </c>
      <c r="J136" s="463">
        <v>0.9898055017218621</v>
      </c>
      <c r="K136" s="562"/>
      <c r="L136" s="563"/>
      <c r="M136" s="31"/>
      <c r="N136" s="31"/>
      <c r="O136" s="31"/>
    </row>
    <row r="137" spans="2:15">
      <c r="B137" s="459" t="s">
        <v>50</v>
      </c>
      <c r="C137" s="465">
        <v>3.0675250143183739</v>
      </c>
      <c r="D137" s="463">
        <v>3.1629219417602221</v>
      </c>
      <c r="E137" s="463">
        <v>3.2156604222069194</v>
      </c>
      <c r="F137" s="463">
        <v>3.1773534622131239</v>
      </c>
      <c r="G137" s="463">
        <v>2.9925267771957293</v>
      </c>
      <c r="H137" s="463">
        <v>2.9953978987575276</v>
      </c>
      <c r="I137" s="463">
        <v>3.008780645638939</v>
      </c>
      <c r="J137" s="463">
        <v>3.0035530345258876</v>
      </c>
      <c r="K137" s="562"/>
      <c r="L137" s="563"/>
      <c r="M137" s="31"/>
      <c r="N137" s="31"/>
      <c r="O137" s="31"/>
    </row>
    <row r="138" spans="2:15">
      <c r="B138" s="459" t="s">
        <v>52</v>
      </c>
      <c r="C138" s="465">
        <v>2.1240897362733717</v>
      </c>
      <c r="D138" s="463">
        <v>2.0350723340362249</v>
      </c>
      <c r="E138" s="463">
        <v>1.9686998072928457</v>
      </c>
      <c r="F138" s="463">
        <v>2.0858456765056492</v>
      </c>
      <c r="G138" s="463">
        <v>2.1150393198028121</v>
      </c>
      <c r="H138" s="463">
        <v>2.0960407823683633</v>
      </c>
      <c r="I138" s="463">
        <v>1.9709648894580449</v>
      </c>
      <c r="J138" s="463">
        <v>1.9558237270696361</v>
      </c>
      <c r="K138" s="562"/>
      <c r="L138" s="563"/>
      <c r="M138" s="31"/>
      <c r="N138" s="31"/>
      <c r="O138" s="31"/>
    </row>
    <row r="139" spans="2:15">
      <c r="B139" s="459" t="s">
        <v>51</v>
      </c>
      <c r="C139" s="465">
        <v>4.3724011747736116</v>
      </c>
      <c r="D139" s="463">
        <v>4.1057641662653896</v>
      </c>
      <c r="E139" s="463">
        <v>4.0545669929819539</v>
      </c>
      <c r="F139" s="463">
        <v>4.1740927460581894</v>
      </c>
      <c r="G139" s="463">
        <v>4.2397101975440528</v>
      </c>
      <c r="H139" s="463">
        <v>4.2461477210751069</v>
      </c>
      <c r="I139" s="463">
        <v>4.1078523076276792</v>
      </c>
      <c r="J139" s="463">
        <v>4.0575944965475035</v>
      </c>
      <c r="K139" s="562"/>
      <c r="L139" s="563"/>
      <c r="M139" s="31"/>
      <c r="N139" s="31"/>
      <c r="O139" s="31"/>
    </row>
    <row r="140" spans="2:15">
      <c r="B140" s="459" t="s">
        <v>49</v>
      </c>
      <c r="C140" s="465">
        <v>1.3982776671905828</v>
      </c>
      <c r="D140" s="463">
        <v>1.3864649866746799</v>
      </c>
      <c r="E140" s="463">
        <v>1.3673040530931269</v>
      </c>
      <c r="F140" s="463">
        <v>1.3493453776780693</v>
      </c>
      <c r="G140" s="463">
        <v>1.3347777856873293</v>
      </c>
      <c r="H140" s="463">
        <v>1.3354887108693174</v>
      </c>
      <c r="I140" s="463">
        <v>1.3597799661606067</v>
      </c>
      <c r="J140" s="463">
        <v>1.3515240072037848</v>
      </c>
      <c r="K140" s="562"/>
      <c r="L140" s="563"/>
      <c r="M140" s="31"/>
      <c r="N140" s="31"/>
      <c r="O140" s="31"/>
    </row>
    <row r="141" spans="2:15">
      <c r="B141" s="459" t="s">
        <v>113</v>
      </c>
      <c r="C141" s="465">
        <v>-1.1295718210052885</v>
      </c>
      <c r="D141" s="463">
        <v>-1.1444007312827333</v>
      </c>
      <c r="E141" s="463">
        <v>-1.1763817360750841</v>
      </c>
      <c r="F141" s="463">
        <v>-1.5927557463957547</v>
      </c>
      <c r="G141" s="463">
        <v>-1.8565667598967899</v>
      </c>
      <c r="H141" s="463">
        <v>-1.2720416735170972</v>
      </c>
      <c r="I141" s="463">
        <v>-1.1039739947823479</v>
      </c>
      <c r="J141" s="463">
        <v>-1.018311326547777</v>
      </c>
      <c r="K141" s="562"/>
      <c r="L141" s="563"/>
      <c r="M141" s="31"/>
      <c r="N141" s="31"/>
      <c r="O141" s="31"/>
    </row>
    <row r="142" spans="2:15">
      <c r="B142" s="459" t="s">
        <v>114</v>
      </c>
      <c r="C142" s="465">
        <v>-0.43181154987245485</v>
      </c>
      <c r="D142" s="463">
        <v>-0.39947195996305995</v>
      </c>
      <c r="E142" s="463">
        <v>-0.34734317043598018</v>
      </c>
      <c r="F142" s="463">
        <v>-0.3193206524905472</v>
      </c>
      <c r="G142" s="463">
        <v>-0.31265626882301373</v>
      </c>
      <c r="H142" s="463">
        <v>-0.30799379948941219</v>
      </c>
      <c r="I142" s="463">
        <v>-0.32570922921081308</v>
      </c>
      <c r="J142" s="463">
        <v>-0.31552026220892354</v>
      </c>
      <c r="K142" s="562"/>
      <c r="L142" s="563"/>
      <c r="M142" s="31"/>
      <c r="N142" s="31"/>
      <c r="O142" s="31"/>
    </row>
    <row r="143" spans="2:15">
      <c r="B143" s="459" t="s">
        <v>111</v>
      </c>
      <c r="C143" s="465">
        <v>15.168246288518162</v>
      </c>
      <c r="D143" s="463">
        <v>16.275110005972994</v>
      </c>
      <c r="E143" s="463">
        <v>15.614702904478012</v>
      </c>
      <c r="F143" s="463">
        <v>14.911674359737152</v>
      </c>
      <c r="G143" s="463">
        <v>13.033415757853545</v>
      </c>
      <c r="H143" s="463">
        <v>12.556067765830047</v>
      </c>
      <c r="I143" s="463">
        <v>11.285100906339711</v>
      </c>
      <c r="J143" s="463">
        <v>9.8268179419485548</v>
      </c>
      <c r="K143" s="562"/>
      <c r="L143" s="563"/>
      <c r="M143" s="31"/>
      <c r="N143" s="31"/>
      <c r="O143" s="31"/>
    </row>
    <row r="144" spans="2:15">
      <c r="B144" s="459" t="s">
        <v>112</v>
      </c>
      <c r="C144" s="465">
        <v>0.93219394583370063</v>
      </c>
      <c r="D144" s="463">
        <v>0.89969793099769957</v>
      </c>
      <c r="E144" s="463">
        <v>0.87783267686821997</v>
      </c>
      <c r="F144" s="463">
        <v>0.87232109317784756</v>
      </c>
      <c r="G144" s="463">
        <v>0.89875958568159287</v>
      </c>
      <c r="H144" s="463">
        <v>0.82801710222961222</v>
      </c>
      <c r="I144" s="463">
        <v>0.88417658562860901</v>
      </c>
      <c r="J144" s="463">
        <v>0.89982415652833247</v>
      </c>
      <c r="K144" s="562"/>
      <c r="L144" s="563"/>
      <c r="M144" s="31"/>
      <c r="N144" s="31"/>
      <c r="O144" s="31"/>
    </row>
    <row r="145" spans="1:15">
      <c r="B145" s="459" t="s">
        <v>60</v>
      </c>
      <c r="C145" s="465">
        <v>10.952751093909903</v>
      </c>
      <c r="D145" s="463">
        <v>1.3412683602121493</v>
      </c>
      <c r="E145" s="463">
        <v>22.190179414419269</v>
      </c>
      <c r="F145" s="463">
        <v>7.0488483253947072</v>
      </c>
      <c r="G145" s="463">
        <v>6.9020695692988534</v>
      </c>
      <c r="H145" s="463">
        <v>6.9425238085580094</v>
      </c>
      <c r="I145" s="463">
        <v>7.0785069781779111</v>
      </c>
      <c r="J145" s="463">
        <v>5.2688524500291916</v>
      </c>
      <c r="K145" s="562"/>
      <c r="L145" s="563"/>
      <c r="M145" s="31"/>
      <c r="N145" s="31"/>
      <c r="O145" s="31"/>
    </row>
    <row r="146" spans="1:15">
      <c r="B146" s="460" t="s">
        <v>61</v>
      </c>
      <c r="C146" s="466">
        <v>4.7850556060781999</v>
      </c>
      <c r="D146" s="467">
        <v>4.9736597194598335</v>
      </c>
      <c r="E146" s="467">
        <v>5.6988662496343032</v>
      </c>
      <c r="F146" s="467">
        <v>3.7921077312788807</v>
      </c>
      <c r="G146" s="467">
        <v>2.8512563802087829</v>
      </c>
      <c r="H146" s="467">
        <v>2.8799765245720623</v>
      </c>
      <c r="I146" s="467">
        <v>2.9074703511454074</v>
      </c>
      <c r="J146" s="467">
        <v>2.8191074376225309</v>
      </c>
      <c r="K146" s="564"/>
      <c r="L146" s="565"/>
      <c r="M146" s="31"/>
      <c r="N146" s="31"/>
      <c r="O146" s="31"/>
    </row>
    <row r="147" spans="1:15">
      <c r="B147" s="31"/>
      <c r="C147" s="31"/>
      <c r="D147" s="31"/>
      <c r="E147" s="31"/>
      <c r="F147" s="31"/>
      <c r="G147" s="31"/>
      <c r="H147" s="31"/>
      <c r="I147" s="31"/>
      <c r="J147" s="31"/>
      <c r="K147" s="31"/>
      <c r="L147" s="31"/>
      <c r="M147" s="31"/>
      <c r="N147" s="31"/>
      <c r="O147" s="31"/>
    </row>
    <row r="148" spans="1:15">
      <c r="B148" s="399"/>
      <c r="C148" s="365"/>
      <c r="D148" s="365"/>
      <c r="E148" s="365"/>
      <c r="F148" s="365"/>
      <c r="G148" s="365"/>
      <c r="H148" s="365"/>
      <c r="I148" s="365"/>
      <c r="J148" s="365"/>
      <c r="K148" s="31"/>
      <c r="L148" s="31"/>
      <c r="M148" s="31"/>
    </row>
    <row r="149" spans="1:15">
      <c r="B149" s="422" t="str">
        <f>LEFT('RFPR cover'!C6,2)</f>
        <v>ED</v>
      </c>
      <c r="C149" s="420"/>
      <c r="D149" s="420"/>
      <c r="E149" s="420"/>
      <c r="F149" s="420"/>
      <c r="G149" s="420"/>
      <c r="H149" s="420"/>
      <c r="I149" s="420"/>
      <c r="J149" s="420"/>
      <c r="K149" s="420"/>
      <c r="L149" s="421"/>
    </row>
    <row r="150" spans="1:15" ht="14.25" customHeight="1">
      <c r="A150" s="205"/>
      <c r="B150" s="456" t="s">
        <v>404</v>
      </c>
      <c r="C150" s="457"/>
      <c r="D150" s="457"/>
      <c r="E150" s="457"/>
      <c r="F150" s="455"/>
      <c r="G150" s="455"/>
      <c r="H150" s="455"/>
      <c r="I150" s="455"/>
      <c r="J150" s="455"/>
      <c r="K150" s="455"/>
      <c r="L150" s="455"/>
      <c r="M150" s="455"/>
      <c r="N150" s="455"/>
    </row>
    <row r="151" spans="1:15" s="31" customFormat="1" ht="14.25" customHeight="1">
      <c r="A151" s="795"/>
      <c r="B151" s="796"/>
      <c r="C151" s="797"/>
      <c r="D151" s="797"/>
      <c r="E151" s="797"/>
      <c r="F151" s="798"/>
      <c r="G151" s="798"/>
      <c r="H151" s="798"/>
      <c r="I151" s="798"/>
      <c r="J151" s="798"/>
      <c r="K151" s="798"/>
      <c r="L151" s="798"/>
      <c r="M151" s="798"/>
      <c r="N151" s="798"/>
    </row>
    <row r="152" spans="1:15">
      <c r="A152" s="203"/>
      <c r="B152" s="799" t="s">
        <v>410</v>
      </c>
      <c r="C152" s="206"/>
      <c r="D152" s="206"/>
      <c r="E152" s="800" t="b">
        <f>OR((LEFT('RFPR cover'!$C$6,2)=Data!F152),'RFPR cover'!$C$5=Data!F152)</f>
        <v>1</v>
      </c>
      <c r="F152" s="364" t="str">
        <f>B162</f>
        <v>ED</v>
      </c>
      <c r="G152" s="801"/>
    </row>
    <row r="153" spans="1:15">
      <c r="A153" s="203"/>
      <c r="B153" s="816" t="str">
        <f>CHOOSE(MATCH(TRUE,$E$152:$E$159,0),B163,B173,B183,E183,B193,E193,B203,E203)&amp;""</f>
        <v>Broad measure of customer service</v>
      </c>
      <c r="C153" s="206"/>
      <c r="D153" s="206"/>
      <c r="E153" s="802" t="b">
        <f>OR((LEFT('RFPR cover'!$C$6,2)=Data!F153),'RFPR cover'!$C$5=Data!F153)</f>
        <v>0</v>
      </c>
      <c r="F153" s="365" t="str">
        <f>B172</f>
        <v>GD</v>
      </c>
      <c r="G153" s="202"/>
    </row>
    <row r="154" spans="1:15">
      <c r="A154" s="203"/>
      <c r="B154" s="817" t="str">
        <f t="shared" ref="B154:B160" si="23">CHOOSE(MATCH(TRUE,$E$152:$E$159,0),B164,B174,B184,E184,B194,E194,B204,E204)&amp;""</f>
        <v>Interruptions-related quality of service</v>
      </c>
      <c r="C154" s="206"/>
      <c r="D154" s="206"/>
      <c r="E154" s="802" t="b">
        <f>OR((LEFT('RFPR cover'!$C$6,2)=Data!F154),'RFPR cover'!$C$5=Data!F154)</f>
        <v>0</v>
      </c>
      <c r="F154" s="815" t="str">
        <f>B182</f>
        <v>NGGT (TO)</v>
      </c>
      <c r="G154" s="202"/>
    </row>
    <row r="155" spans="1:15">
      <c r="A155" s="203"/>
      <c r="B155" s="817" t="str">
        <f t="shared" si="23"/>
        <v>Incentive on connections engagement</v>
      </c>
      <c r="C155" s="206"/>
      <c r="D155" s="206"/>
      <c r="E155" s="802" t="b">
        <f>OR((LEFT('RFPR cover'!$C$6,2)=Data!F155),'RFPR cover'!$C$5=Data!F155)</f>
        <v>0</v>
      </c>
      <c r="F155" s="803" t="str">
        <f>E182</f>
        <v>NGGT (SO)</v>
      </c>
      <c r="G155" s="202"/>
    </row>
    <row r="156" spans="1:15">
      <c r="A156" s="203"/>
      <c r="B156" s="817" t="str">
        <f t="shared" si="23"/>
        <v>Time to Connect Incentive</v>
      </c>
      <c r="C156" s="206"/>
      <c r="D156" s="206"/>
      <c r="E156" s="802" t="b">
        <f>OR((LEFT('RFPR cover'!$C$6,2)=Data!F156),'RFPR cover'!$C$5=Data!F156)</f>
        <v>0</v>
      </c>
      <c r="F156" s="803" t="str">
        <f>B192</f>
        <v>NGET (TO)</v>
      </c>
      <c r="G156" s="202"/>
    </row>
    <row r="157" spans="1:15">
      <c r="A157" s="203"/>
      <c r="B157" s="818" t="str">
        <f t="shared" si="23"/>
        <v>Losses discretionary reward scheme</v>
      </c>
      <c r="C157" s="206"/>
      <c r="D157" s="206"/>
      <c r="E157" s="802" t="b">
        <f>OR((LEFT('RFPR cover'!$C$6,2)=Data!F157),'RFPR cover'!$C$5=Data!F157)</f>
        <v>0</v>
      </c>
      <c r="F157" s="803" t="str">
        <f>E192</f>
        <v>NGESO</v>
      </c>
      <c r="G157" s="202"/>
    </row>
    <row r="158" spans="1:15">
      <c r="A158" s="203"/>
      <c r="B158" s="818" t="str">
        <f t="shared" si="23"/>
        <v/>
      </c>
      <c r="C158" s="206"/>
      <c r="D158" s="206"/>
      <c r="E158" s="802" t="b">
        <f>OR((LEFT('RFPR cover'!$C$6,2)=Data!F158),'RFPR cover'!$C$5=Data!F158)</f>
        <v>0</v>
      </c>
      <c r="F158" s="803" t="str">
        <f>B202</f>
        <v>SPT</v>
      </c>
      <c r="G158" s="202"/>
    </row>
    <row r="159" spans="1:15">
      <c r="A159" s="203"/>
      <c r="B159" s="818" t="str">
        <f t="shared" si="23"/>
        <v/>
      </c>
      <c r="C159" s="206"/>
      <c r="D159" s="206"/>
      <c r="E159" s="804" t="b">
        <f>OR((LEFT('RFPR cover'!$C$6,2)=Data!F159),'RFPR cover'!$C$5=Data!F159)</f>
        <v>0</v>
      </c>
      <c r="F159" s="805" t="str">
        <f>E202</f>
        <v>SHET</v>
      </c>
      <c r="G159" s="297"/>
    </row>
    <row r="160" spans="1:15">
      <c r="A160" s="203"/>
      <c r="B160" s="206" t="str">
        <f t="shared" si="23"/>
        <v/>
      </c>
      <c r="C160" s="206"/>
      <c r="D160" s="206"/>
      <c r="E160" s="58"/>
      <c r="F160" s="803"/>
      <c r="G160" s="42"/>
    </row>
    <row r="161" spans="1:7">
      <c r="A161" s="203"/>
      <c r="B161" s="206"/>
      <c r="C161" s="206"/>
      <c r="D161" s="206"/>
      <c r="E161" s="58"/>
      <c r="F161" s="803"/>
      <c r="G161" s="42"/>
    </row>
    <row r="162" spans="1:7" ht="12" customHeight="1">
      <c r="A162" s="203"/>
      <c r="B162" s="965" t="s">
        <v>172</v>
      </c>
      <c r="C162" s="961"/>
      <c r="D162" s="206"/>
      <c r="E162" s="206"/>
    </row>
    <row r="163" spans="1:7">
      <c r="A163" s="203"/>
      <c r="B163" s="966" t="s">
        <v>405</v>
      </c>
      <c r="C163" s="967"/>
      <c r="D163" s="206"/>
      <c r="E163" s="206"/>
    </row>
    <row r="164" spans="1:7">
      <c r="A164" s="203"/>
      <c r="B164" s="966" t="s">
        <v>406</v>
      </c>
      <c r="C164" s="967"/>
      <c r="D164" s="206"/>
      <c r="E164" s="206"/>
    </row>
    <row r="165" spans="1:7">
      <c r="A165" s="203"/>
      <c r="B165" s="968" t="s">
        <v>407</v>
      </c>
      <c r="C165" s="969"/>
      <c r="D165" s="206"/>
      <c r="E165" s="206"/>
    </row>
    <row r="166" spans="1:7">
      <c r="A166" s="203"/>
      <c r="B166" s="968" t="s">
        <v>408</v>
      </c>
      <c r="C166" s="969"/>
      <c r="D166" s="206"/>
      <c r="E166" s="206"/>
    </row>
    <row r="167" spans="1:7">
      <c r="A167" s="203"/>
      <c r="B167" s="968" t="s">
        <v>409</v>
      </c>
      <c r="C167" s="969"/>
      <c r="D167" s="206"/>
      <c r="E167" s="206"/>
    </row>
    <row r="168" spans="1:7">
      <c r="A168" s="203"/>
      <c r="B168" s="968"/>
      <c r="C168" s="969"/>
      <c r="D168" s="206"/>
      <c r="E168" s="206"/>
    </row>
    <row r="169" spans="1:7">
      <c r="A169" s="203"/>
      <c r="B169" s="968"/>
      <c r="C169" s="969"/>
      <c r="D169" s="206"/>
      <c r="E169" s="206"/>
    </row>
    <row r="170" spans="1:7">
      <c r="A170" s="203"/>
      <c r="B170" s="206"/>
      <c r="C170" s="206"/>
      <c r="D170" s="206"/>
      <c r="E170" s="206"/>
    </row>
    <row r="171" spans="1:7">
      <c r="A171" s="203"/>
      <c r="B171" s="206"/>
      <c r="C171" s="206"/>
      <c r="D171" s="206"/>
      <c r="E171" s="206"/>
    </row>
    <row r="172" spans="1:7">
      <c r="A172" s="203"/>
      <c r="B172" s="965" t="s">
        <v>173</v>
      </c>
      <c r="C172" s="961"/>
      <c r="D172" s="206"/>
      <c r="E172" s="206"/>
    </row>
    <row r="173" spans="1:7" ht="12.75" customHeight="1">
      <c r="A173" s="203"/>
      <c r="B173" s="962" t="s">
        <v>223</v>
      </c>
      <c r="C173" s="964"/>
      <c r="D173" s="206"/>
      <c r="E173" s="206"/>
    </row>
    <row r="174" spans="1:7" ht="12.75" customHeight="1">
      <c r="A174" s="203"/>
      <c r="B174" s="956" t="s">
        <v>224</v>
      </c>
      <c r="C174" s="958"/>
      <c r="D174" s="206"/>
      <c r="E174" s="206"/>
    </row>
    <row r="175" spans="1:7" ht="12.75" customHeight="1">
      <c r="A175" s="203"/>
      <c r="B175" s="956" t="s">
        <v>225</v>
      </c>
      <c r="C175" s="958"/>
      <c r="D175" s="206"/>
      <c r="E175" s="206"/>
    </row>
    <row r="176" spans="1:7" ht="12.75" customHeight="1">
      <c r="A176" s="203"/>
      <c r="B176" s="956" t="s">
        <v>226</v>
      </c>
      <c r="C176" s="958"/>
      <c r="D176" s="206"/>
      <c r="E176" s="206"/>
    </row>
    <row r="177" spans="1:9" ht="12.75" customHeight="1">
      <c r="A177" s="203"/>
      <c r="B177" s="953" t="s">
        <v>308</v>
      </c>
      <c r="C177" s="955"/>
      <c r="D177" s="206"/>
      <c r="E177" s="206"/>
    </row>
    <row r="178" spans="1:9" ht="12.75" customHeight="1">
      <c r="A178" s="203"/>
      <c r="B178" s="953"/>
      <c r="C178" s="955"/>
      <c r="D178" s="206"/>
      <c r="E178" s="206"/>
    </row>
    <row r="179" spans="1:9" ht="12.75" customHeight="1">
      <c r="A179" s="203"/>
      <c r="B179" s="953"/>
      <c r="C179" s="955"/>
      <c r="D179" s="206"/>
      <c r="E179" s="206"/>
    </row>
    <row r="180" spans="1:9">
      <c r="A180" s="203"/>
      <c r="B180" s="206"/>
      <c r="C180" s="206"/>
      <c r="D180" s="206"/>
      <c r="E180" s="206"/>
    </row>
    <row r="181" spans="1:9">
      <c r="A181" s="203"/>
      <c r="B181" s="206"/>
      <c r="C181" s="206"/>
      <c r="D181" s="206"/>
      <c r="E181" s="206"/>
    </row>
    <row r="182" spans="1:9">
      <c r="A182" s="203"/>
      <c r="B182" s="959" t="str">
        <f>B95</f>
        <v>NGGT (TO)</v>
      </c>
      <c r="C182" s="991"/>
      <c r="D182" s="206"/>
      <c r="E182" s="959" t="str">
        <f>B96</f>
        <v>NGGT (SO)</v>
      </c>
      <c r="F182" s="960"/>
      <c r="G182" s="960"/>
      <c r="H182" s="960"/>
      <c r="I182" s="961"/>
    </row>
    <row r="183" spans="1:9" ht="12.45" customHeight="1">
      <c r="A183" s="203"/>
      <c r="B183" s="962" t="s">
        <v>219</v>
      </c>
      <c r="C183" s="964"/>
      <c r="D183" s="206"/>
      <c r="E183" s="956" t="s">
        <v>557</v>
      </c>
      <c r="F183" s="957" t="s">
        <v>557</v>
      </c>
      <c r="G183" s="957" t="s">
        <v>557</v>
      </c>
      <c r="H183" s="957" t="s">
        <v>557</v>
      </c>
      <c r="I183" s="958" t="s">
        <v>557</v>
      </c>
    </row>
    <row r="184" spans="1:9" ht="12.45" customHeight="1">
      <c r="A184" s="203"/>
      <c r="B184" s="956" t="s">
        <v>227</v>
      </c>
      <c r="C184" s="958"/>
      <c r="D184" s="206"/>
      <c r="E184" s="956" t="s">
        <v>558</v>
      </c>
      <c r="F184" s="957" t="s">
        <v>558</v>
      </c>
      <c r="G184" s="957" t="s">
        <v>558</v>
      </c>
      <c r="H184" s="957" t="s">
        <v>558</v>
      </c>
      <c r="I184" s="958" t="s">
        <v>558</v>
      </c>
    </row>
    <row r="185" spans="1:9" ht="12.45" customHeight="1">
      <c r="A185" s="203"/>
      <c r="B185" s="956"/>
      <c r="C185" s="958"/>
      <c r="D185" s="206"/>
      <c r="E185" s="956" t="s">
        <v>559</v>
      </c>
      <c r="F185" s="957" t="s">
        <v>559</v>
      </c>
      <c r="G185" s="957" t="s">
        <v>559</v>
      </c>
      <c r="H185" s="957" t="s">
        <v>559</v>
      </c>
      <c r="I185" s="958" t="s">
        <v>559</v>
      </c>
    </row>
    <row r="186" spans="1:9" ht="12.45" customHeight="1">
      <c r="A186" s="203"/>
      <c r="B186" s="956"/>
      <c r="C186" s="958"/>
      <c r="D186" s="206"/>
      <c r="E186" s="956" t="s">
        <v>560</v>
      </c>
      <c r="F186" s="957" t="s">
        <v>560</v>
      </c>
      <c r="G186" s="957" t="s">
        <v>560</v>
      </c>
      <c r="H186" s="957" t="s">
        <v>560</v>
      </c>
      <c r="I186" s="958" t="s">
        <v>560</v>
      </c>
    </row>
    <row r="187" spans="1:9" ht="12.45" customHeight="1">
      <c r="A187" s="203"/>
      <c r="B187" s="953"/>
      <c r="C187" s="955"/>
      <c r="D187" s="206"/>
      <c r="E187" s="956" t="s">
        <v>561</v>
      </c>
      <c r="F187" s="957" t="s">
        <v>561</v>
      </c>
      <c r="G187" s="957" t="s">
        <v>561</v>
      </c>
      <c r="H187" s="957" t="s">
        <v>561</v>
      </c>
      <c r="I187" s="958" t="s">
        <v>561</v>
      </c>
    </row>
    <row r="188" spans="1:9" ht="12.45" customHeight="1">
      <c r="A188" s="203"/>
      <c r="B188" s="953"/>
      <c r="C188" s="955"/>
      <c r="D188" s="206"/>
      <c r="E188" s="956" t="s">
        <v>562</v>
      </c>
      <c r="F188" s="957" t="s">
        <v>562</v>
      </c>
      <c r="G188" s="957" t="s">
        <v>562</v>
      </c>
      <c r="H188" s="957" t="s">
        <v>562</v>
      </c>
      <c r="I188" s="958" t="s">
        <v>562</v>
      </c>
    </row>
    <row r="189" spans="1:9" ht="12.45" customHeight="1">
      <c r="A189" s="203"/>
      <c r="B189" s="953"/>
      <c r="C189" s="955"/>
      <c r="D189" s="206"/>
      <c r="E189" s="956" t="s">
        <v>563</v>
      </c>
      <c r="F189" s="957" t="s">
        <v>563</v>
      </c>
      <c r="G189" s="957" t="s">
        <v>563</v>
      </c>
      <c r="H189" s="957" t="s">
        <v>563</v>
      </c>
      <c r="I189" s="958" t="s">
        <v>563</v>
      </c>
    </row>
    <row r="190" spans="1:9">
      <c r="A190" s="203"/>
      <c r="B190" s="206"/>
      <c r="C190" s="206"/>
      <c r="D190" s="206"/>
      <c r="E190" s="206"/>
    </row>
    <row r="191" spans="1:9">
      <c r="A191" s="203"/>
      <c r="B191" s="206"/>
      <c r="C191" s="206"/>
      <c r="D191" s="206"/>
      <c r="E191" s="206"/>
    </row>
    <row r="192" spans="1:9">
      <c r="A192" s="203"/>
      <c r="B192" s="959" t="str">
        <f>B97</f>
        <v>NGET (TO)</v>
      </c>
      <c r="C192" s="991"/>
      <c r="D192" s="206"/>
      <c r="E192" s="959" t="str">
        <f>B98</f>
        <v>NGESO</v>
      </c>
      <c r="F192" s="960"/>
      <c r="G192" s="960"/>
      <c r="H192" s="960"/>
      <c r="I192" s="961"/>
    </row>
    <row r="193" spans="1:9" ht="12.75" customHeight="1">
      <c r="A193" s="203"/>
      <c r="B193" s="962" t="s">
        <v>218</v>
      </c>
      <c r="C193" s="964"/>
      <c r="D193" s="206"/>
      <c r="E193" s="956" t="s">
        <v>564</v>
      </c>
      <c r="F193" s="957" t="s">
        <v>564</v>
      </c>
      <c r="G193" s="957" t="s">
        <v>564</v>
      </c>
      <c r="H193" s="957" t="s">
        <v>564</v>
      </c>
      <c r="I193" s="958" t="s">
        <v>564</v>
      </c>
    </row>
    <row r="194" spans="1:9" ht="12.75" customHeight="1">
      <c r="A194" s="203"/>
      <c r="B194" s="956" t="s">
        <v>219</v>
      </c>
      <c r="C194" s="958"/>
      <c r="D194" s="206"/>
      <c r="E194" s="956" t="s">
        <v>565</v>
      </c>
      <c r="F194" s="957" t="s">
        <v>565</v>
      </c>
      <c r="G194" s="957" t="s">
        <v>565</v>
      </c>
      <c r="H194" s="957" t="s">
        <v>565</v>
      </c>
      <c r="I194" s="958" t="s">
        <v>565</v>
      </c>
    </row>
    <row r="195" spans="1:9" ht="12.75" customHeight="1">
      <c r="A195" s="203"/>
      <c r="B195" s="956" t="s">
        <v>220</v>
      </c>
      <c r="C195" s="958"/>
      <c r="D195" s="206"/>
      <c r="E195" s="956" t="s">
        <v>566</v>
      </c>
      <c r="F195" s="957" t="s">
        <v>566</v>
      </c>
      <c r="G195" s="957" t="s">
        <v>566</v>
      </c>
      <c r="H195" s="957" t="s">
        <v>566</v>
      </c>
      <c r="I195" s="958" t="s">
        <v>566</v>
      </c>
    </row>
    <row r="196" spans="1:9" ht="12.75" customHeight="1">
      <c r="A196" s="203"/>
      <c r="B196" s="956" t="s">
        <v>221</v>
      </c>
      <c r="C196" s="958"/>
      <c r="D196" s="206"/>
      <c r="E196" s="956" t="s">
        <v>580</v>
      </c>
      <c r="F196" s="957"/>
      <c r="G196" s="957"/>
      <c r="H196" s="957"/>
      <c r="I196" s="958"/>
    </row>
    <row r="197" spans="1:9" ht="12.75" customHeight="1">
      <c r="A197" s="203"/>
      <c r="B197" s="953"/>
      <c r="C197" s="955"/>
      <c r="D197" s="206"/>
      <c r="E197" s="953"/>
      <c r="F197" s="954"/>
      <c r="G197" s="954"/>
      <c r="H197" s="954"/>
      <c r="I197" s="955"/>
    </row>
    <row r="198" spans="1:9" ht="12.75" customHeight="1">
      <c r="A198" s="203"/>
      <c r="B198" s="953"/>
      <c r="C198" s="955"/>
      <c r="D198" s="206"/>
      <c r="E198" s="953"/>
      <c r="F198" s="954"/>
      <c r="G198" s="954"/>
      <c r="H198" s="954"/>
      <c r="I198" s="955"/>
    </row>
    <row r="199" spans="1:9" ht="12.75" customHeight="1">
      <c r="A199" s="203"/>
      <c r="B199" s="953"/>
      <c r="C199" s="955"/>
      <c r="D199" s="206"/>
      <c r="E199" s="953"/>
      <c r="F199" s="954"/>
      <c r="G199" s="954"/>
      <c r="H199" s="954"/>
      <c r="I199" s="955"/>
    </row>
    <row r="200" spans="1:9" s="31" customFormat="1" ht="12.75" customHeight="1">
      <c r="A200" s="792"/>
      <c r="B200" s="792"/>
      <c r="C200" s="792"/>
      <c r="D200" s="793"/>
      <c r="E200" s="794"/>
      <c r="F200" s="794"/>
      <c r="G200" s="794"/>
      <c r="H200" s="794"/>
      <c r="I200" s="794"/>
    </row>
    <row r="201" spans="1:9" s="31" customFormat="1" ht="12.75" customHeight="1">
      <c r="A201" s="792"/>
      <c r="B201" s="792"/>
      <c r="C201" s="792"/>
      <c r="D201" s="793"/>
      <c r="E201" s="794"/>
      <c r="F201" s="794"/>
      <c r="G201" s="794"/>
      <c r="H201" s="794"/>
      <c r="I201" s="794"/>
    </row>
    <row r="202" spans="1:9">
      <c r="A202" s="203"/>
      <c r="B202" s="959" t="str">
        <f>B145</f>
        <v>SPT</v>
      </c>
      <c r="C202" s="991"/>
      <c r="D202" s="206"/>
      <c r="E202" s="959" t="str">
        <f>B100</f>
        <v>SHET</v>
      </c>
      <c r="F202" s="960"/>
      <c r="G202" s="960"/>
      <c r="H202" s="960"/>
      <c r="I202" s="961"/>
    </row>
    <row r="203" spans="1:9" ht="12.75" customHeight="1">
      <c r="A203" s="203"/>
      <c r="B203" s="962" t="s">
        <v>218</v>
      </c>
      <c r="C203" s="964"/>
      <c r="D203" s="206"/>
      <c r="E203" s="962" t="s">
        <v>218</v>
      </c>
      <c r="F203" s="963"/>
      <c r="G203" s="963"/>
      <c r="H203" s="963"/>
      <c r="I203" s="964"/>
    </row>
    <row r="204" spans="1:9" ht="12.75" customHeight="1">
      <c r="A204" s="203"/>
      <c r="B204" s="956" t="s">
        <v>219</v>
      </c>
      <c r="C204" s="958"/>
      <c r="D204" s="206"/>
      <c r="E204" s="956" t="s">
        <v>219</v>
      </c>
      <c r="F204" s="957"/>
      <c r="G204" s="957"/>
      <c r="H204" s="957"/>
      <c r="I204" s="958"/>
    </row>
    <row r="205" spans="1:9" ht="12.75" customHeight="1">
      <c r="A205" s="203"/>
      <c r="B205" s="956" t="s">
        <v>220</v>
      </c>
      <c r="C205" s="958"/>
      <c r="D205" s="206"/>
      <c r="E205" s="956" t="s">
        <v>220</v>
      </c>
      <c r="F205" s="957"/>
      <c r="G205" s="957"/>
      <c r="H205" s="957"/>
      <c r="I205" s="958"/>
    </row>
    <row r="206" spans="1:9" ht="12.75" customHeight="1">
      <c r="A206" s="203"/>
      <c r="B206" s="956" t="s">
        <v>221</v>
      </c>
      <c r="C206" s="958"/>
      <c r="D206" s="206"/>
      <c r="E206" s="956" t="s">
        <v>221</v>
      </c>
      <c r="F206" s="957"/>
      <c r="G206" s="957"/>
      <c r="H206" s="957"/>
      <c r="I206" s="958"/>
    </row>
    <row r="207" spans="1:9" ht="12.75" customHeight="1">
      <c r="A207" s="203"/>
      <c r="B207" s="953" t="s">
        <v>222</v>
      </c>
      <c r="C207" s="955"/>
      <c r="D207" s="206"/>
      <c r="E207" s="953" t="s">
        <v>222</v>
      </c>
      <c r="F207" s="954"/>
      <c r="G207" s="954"/>
      <c r="H207" s="954"/>
      <c r="I207" s="955"/>
    </row>
    <row r="208" spans="1:9" ht="12.75" customHeight="1">
      <c r="A208" s="203"/>
      <c r="B208" s="953"/>
      <c r="C208" s="955"/>
      <c r="D208" s="206"/>
      <c r="E208" s="953"/>
      <c r="F208" s="954"/>
      <c r="G208" s="954"/>
      <c r="H208" s="954"/>
      <c r="I208" s="955"/>
    </row>
    <row r="209" spans="1:14" ht="12.75" customHeight="1">
      <c r="A209" s="203"/>
      <c r="B209" s="953"/>
      <c r="C209" s="955"/>
      <c r="D209" s="206"/>
      <c r="E209" s="953"/>
      <c r="F209" s="954"/>
      <c r="G209" s="954"/>
      <c r="H209" s="954"/>
      <c r="I209" s="955"/>
    </row>
    <row r="210" spans="1:14">
      <c r="A210" s="203"/>
      <c r="D210" s="206"/>
      <c r="E210" s="206"/>
    </row>
    <row r="211" spans="1:14">
      <c r="A211" s="203"/>
      <c r="D211" s="206"/>
      <c r="E211" s="206"/>
    </row>
    <row r="212" spans="1:14" ht="12.75" customHeight="1">
      <c r="A212" s="203"/>
      <c r="B212" s="990" t="s">
        <v>240</v>
      </c>
      <c r="C212" s="990"/>
      <c r="D212" s="990"/>
      <c r="E212" s="285"/>
      <c r="F212" s="217"/>
      <c r="G212" s="217"/>
      <c r="H212" s="217"/>
      <c r="I212" s="217"/>
      <c r="J212" s="217"/>
      <c r="K212" s="217"/>
      <c r="L212" s="217"/>
      <c r="M212" s="217"/>
      <c r="N212" s="217"/>
    </row>
    <row r="213" spans="1:14">
      <c r="A213" s="203"/>
      <c r="B213" s="206"/>
      <c r="C213" s="206"/>
      <c r="D213" s="206"/>
      <c r="E213" s="206"/>
    </row>
    <row r="214" spans="1:14" ht="25.2">
      <c r="A214" s="203"/>
      <c r="B214" s="208" t="s">
        <v>129</v>
      </c>
      <c r="C214" s="207" t="s">
        <v>208</v>
      </c>
      <c r="D214" s="206"/>
      <c r="E214" s="206"/>
    </row>
    <row r="215" spans="1:14" ht="25.2">
      <c r="A215" s="203"/>
      <c r="B215" s="209" t="s">
        <v>130</v>
      </c>
      <c r="C215" s="290" t="s">
        <v>209</v>
      </c>
      <c r="D215" s="206"/>
      <c r="E215" s="206"/>
    </row>
    <row r="216" spans="1:14">
      <c r="B216" s="305"/>
      <c r="C216" s="42"/>
      <c r="D216" s="42"/>
      <c r="E216" s="42"/>
      <c r="F216" s="42"/>
      <c r="G216" s="42"/>
      <c r="H216" s="42"/>
      <c r="I216" s="42"/>
      <c r="J216" s="42"/>
    </row>
    <row r="217" spans="1:14">
      <c r="B217" s="204"/>
      <c r="I217" s="66"/>
    </row>
    <row r="218" spans="1:14">
      <c r="B218" s="808" t="s">
        <v>412</v>
      </c>
      <c r="I218" s="66"/>
    </row>
    <row r="219" spans="1:14">
      <c r="B219" s="810" t="s">
        <v>290</v>
      </c>
    </row>
    <row r="220" spans="1:14">
      <c r="B220" s="811" t="s">
        <v>289</v>
      </c>
    </row>
    <row r="221" spans="1:14">
      <c r="B221" s="814" t="s">
        <v>287</v>
      </c>
    </row>
    <row r="222" spans="1:14">
      <c r="B222" s="812"/>
    </row>
    <row r="223" spans="1:14">
      <c r="B223" s="213"/>
    </row>
    <row r="224" spans="1:14">
      <c r="B224" s="809" t="s">
        <v>285</v>
      </c>
    </row>
    <row r="225" spans="2:2">
      <c r="B225" s="813" t="s">
        <v>413</v>
      </c>
    </row>
    <row r="226" spans="2:2">
      <c r="B226" s="811" t="s">
        <v>414</v>
      </c>
    </row>
    <row r="227" spans="2:2">
      <c r="B227" s="811" t="s">
        <v>296</v>
      </c>
    </row>
    <row r="228" spans="2:2">
      <c r="B228" s="811" t="s">
        <v>415</v>
      </c>
    </row>
    <row r="229" spans="2:2">
      <c r="B229" s="811" t="s">
        <v>416</v>
      </c>
    </row>
    <row r="230" spans="2:2">
      <c r="B230" s="811" t="s">
        <v>288</v>
      </c>
    </row>
    <row r="231" spans="2:2">
      <c r="B231" s="811" t="s">
        <v>417</v>
      </c>
    </row>
    <row r="232" spans="2:2">
      <c r="B232" s="811"/>
    </row>
    <row r="233" spans="2:2">
      <c r="B233" s="812"/>
    </row>
    <row r="234" spans="2:2">
      <c r="B234" s="213"/>
    </row>
    <row r="235" spans="2:2">
      <c r="B235" s="809" t="s">
        <v>295</v>
      </c>
    </row>
    <row r="236" spans="2:2">
      <c r="B236" s="813" t="s">
        <v>418</v>
      </c>
    </row>
    <row r="237" spans="2:2">
      <c r="B237" s="811" t="s">
        <v>419</v>
      </c>
    </row>
    <row r="238" spans="2:2">
      <c r="B238" s="811" t="s">
        <v>420</v>
      </c>
    </row>
    <row r="239" spans="2:2">
      <c r="B239" s="811" t="s">
        <v>421</v>
      </c>
    </row>
    <row r="240" spans="2:2">
      <c r="B240" s="811" t="s">
        <v>422</v>
      </c>
    </row>
    <row r="241" spans="2:2">
      <c r="B241" s="812"/>
    </row>
    <row r="242" spans="2:2">
      <c r="B242" s="213"/>
    </row>
    <row r="243" spans="2:2">
      <c r="B243" s="809" t="s">
        <v>423</v>
      </c>
    </row>
    <row r="244" spans="2:2">
      <c r="B244" s="813" t="s">
        <v>424</v>
      </c>
    </row>
    <row r="245" spans="2:2">
      <c r="B245" s="811" t="s">
        <v>425</v>
      </c>
    </row>
    <row r="246" spans="2:2">
      <c r="B246" s="812"/>
    </row>
    <row r="247" spans="2:2">
      <c r="B247" s="213"/>
    </row>
    <row r="248" spans="2:2">
      <c r="B248" s="809" t="s">
        <v>426</v>
      </c>
    </row>
    <row r="249" spans="2:2">
      <c r="B249" s="813" t="s">
        <v>467</v>
      </c>
    </row>
    <row r="250" spans="2:2">
      <c r="B250" s="811" t="s">
        <v>466</v>
      </c>
    </row>
    <row r="251" spans="2:2">
      <c r="B251" s="812" t="s">
        <v>270</v>
      </c>
    </row>
    <row r="252" spans="2:2">
      <c r="B252" s="213"/>
    </row>
    <row r="253" spans="2:2">
      <c r="B253" s="809" t="s">
        <v>286</v>
      </c>
    </row>
    <row r="254" spans="2:2">
      <c r="B254" s="813" t="s">
        <v>427</v>
      </c>
    </row>
    <row r="255" spans="2:2">
      <c r="B255" s="811" t="s">
        <v>471</v>
      </c>
    </row>
    <row r="256" spans="2:2">
      <c r="B256" s="811"/>
    </row>
    <row r="257" spans="2:2">
      <c r="B257" s="812"/>
    </row>
    <row r="258" spans="2:2">
      <c r="B258" s="213"/>
    </row>
    <row r="259" spans="2:2">
      <c r="B259" s="809" t="s">
        <v>291</v>
      </c>
    </row>
    <row r="260" spans="2:2">
      <c r="B260" s="813" t="s">
        <v>292</v>
      </c>
    </row>
    <row r="261" spans="2:2">
      <c r="B261" s="811" t="s">
        <v>297</v>
      </c>
    </row>
    <row r="262" spans="2:2">
      <c r="B262" s="811"/>
    </row>
    <row r="263" spans="2:2">
      <c r="B263" s="812"/>
    </row>
    <row r="264" spans="2:2">
      <c r="B264" s="213"/>
    </row>
    <row r="265" spans="2:2">
      <c r="B265" s="809" t="s">
        <v>428</v>
      </c>
    </row>
    <row r="266" spans="2:2">
      <c r="B266" s="813" t="s">
        <v>290</v>
      </c>
    </row>
    <row r="267" spans="2:2">
      <c r="B267" s="811" t="s">
        <v>289</v>
      </c>
    </row>
    <row r="268" spans="2:2">
      <c r="B268" s="812"/>
    </row>
  </sheetData>
  <mergeCells count="76">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 ref="B193:C193"/>
    <mergeCell ref="B188:C188"/>
    <mergeCell ref="B189:C189"/>
    <mergeCell ref="B207:C207"/>
    <mergeCell ref="B204:C204"/>
    <mergeCell ref="B203:C203"/>
    <mergeCell ref="B202:C202"/>
    <mergeCell ref="B197:C197"/>
    <mergeCell ref="B199:C199"/>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K38:M38"/>
    <mergeCell ref="K39:M39"/>
    <mergeCell ref="K71:T71"/>
    <mergeCell ref="G54:I54"/>
    <mergeCell ref="G55:I55"/>
    <mergeCell ref="G56:I56"/>
    <mergeCell ref="G57:I57"/>
    <mergeCell ref="J54:K54"/>
    <mergeCell ref="J55:K55"/>
    <mergeCell ref="J56:K56"/>
    <mergeCell ref="J57:K57"/>
    <mergeCell ref="E182:I182"/>
    <mergeCell ref="E183:I183"/>
    <mergeCell ref="E184:I184"/>
    <mergeCell ref="E185:I185"/>
    <mergeCell ref="E186:I186"/>
    <mergeCell ref="B162:C162"/>
    <mergeCell ref="B163:C163"/>
    <mergeCell ref="B167:C167"/>
    <mergeCell ref="B166:C166"/>
    <mergeCell ref="B165:C165"/>
    <mergeCell ref="B164:C164"/>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s>
  <conditionalFormatting sqref="C105:J105">
    <cfRule type="expression" dxfId="98" priority="20">
      <formula>AND(#REF!="Actuals",#REF!="Forecast")</formula>
    </cfRule>
  </conditionalFormatting>
  <conditionalFormatting sqref="C47">
    <cfRule type="expression" dxfId="97" priority="18">
      <formula>AND(#REF!="Actuals",#REF!="Forecast")</formula>
    </cfRule>
  </conditionalFormatting>
  <conditionalFormatting sqref="C50:J50">
    <cfRule type="expression" dxfId="96" priority="17">
      <formula>AND(#REF!="Actuals",#REF!="Forecast")</formula>
    </cfRule>
  </conditionalFormatting>
  <conditionalFormatting sqref="B14:D30">
    <cfRule type="cellIs" dxfId="95" priority="14" operator="equal">
      <formula>"Forecast"</formula>
    </cfRule>
  </conditionalFormatting>
  <conditionalFormatting sqref="B23:C30 E26:F27">
    <cfRule type="expression" dxfId="94" priority="111">
      <formula>$D13="Forecast"</formula>
    </cfRule>
  </conditionalFormatting>
  <conditionalFormatting sqref="K71">
    <cfRule type="expression" dxfId="93" priority="5">
      <formula>AND(#REF!="Actuals",#REF!="Forecast")</formula>
    </cfRule>
  </conditionalFormatting>
  <conditionalFormatting sqref="K72:T72">
    <cfRule type="expression" dxfId="92" priority="4">
      <formula>AND(#REF!="Actuals",#REF!="Forecast")</formula>
    </cfRule>
  </conditionalFormatting>
  <conditionalFormatting sqref="C62:L62">
    <cfRule type="expression" dxfId="91" priority="3">
      <formula>AND(#REF!="Actuals",#REF!="Forecast")</formula>
    </cfRule>
  </conditionalFormatting>
  <conditionalFormatting sqref="C118:L118">
    <cfRule type="expression" dxfId="90" priority="1">
      <formula>AND(#REF!="Actuals",#REF!="Forecast")</formula>
    </cfRule>
  </conditionalFormatting>
  <hyperlinks>
    <hyperlink ref="K39" r:id="rId1" display="August 2018 Publication"/>
    <hyperlink ref="K39:M39" r:id="rId2" display="May 2021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70" zoomScaleNormal="70" workbookViewId="0">
      <pane ySplit="3" topLeftCell="A4" activePane="bottomLeft" state="frozen"/>
      <selection activeCell="A3" sqref="A3"/>
      <selection pane="bottomLeft" activeCell="A3" sqref="A3"/>
    </sheetView>
  </sheetViews>
  <sheetFormatPr defaultRowHeight="12.6"/>
  <cols>
    <col min="1" max="1" width="8.36328125" customWidth="1"/>
    <col min="2" max="2" width="23.7265625" customWidth="1"/>
    <col min="3" max="3" width="25.7265625" customWidth="1"/>
    <col min="4" max="4" width="9.7265625" customWidth="1"/>
  </cols>
  <sheetData>
    <row r="1" spans="1:14" s="31" customFormat="1" ht="21">
      <c r="A1" s="904" t="s">
        <v>83</v>
      </c>
      <c r="B1" s="904"/>
      <c r="C1" s="904"/>
      <c r="D1" s="904"/>
      <c r="E1" s="904"/>
      <c r="F1" s="904"/>
      <c r="G1" s="904"/>
      <c r="H1" s="904"/>
      <c r="I1" s="32" t="s">
        <v>84</v>
      </c>
      <c r="J1" s="33"/>
      <c r="K1" s="33"/>
      <c r="L1" s="33"/>
      <c r="M1" s="33"/>
    </row>
    <row r="2" spans="1:14" s="31" customFormat="1" ht="21">
      <c r="A2" s="904" t="str">
        <f>'RFPR cover'!C5</f>
        <v>WPD-SWEST</v>
      </c>
      <c r="B2" s="904"/>
      <c r="C2" s="904"/>
      <c r="D2" s="904"/>
      <c r="E2" s="904"/>
      <c r="F2" s="904"/>
      <c r="G2" s="904"/>
      <c r="H2" s="904"/>
      <c r="I2" s="33"/>
      <c r="J2" s="33"/>
      <c r="K2" s="33"/>
      <c r="L2" s="33"/>
      <c r="M2" s="33"/>
      <c r="N2" s="365"/>
    </row>
    <row r="3" spans="1:14" s="31" customFormat="1" ht="21">
      <c r="A3" s="904">
        <f>'RFPR cover'!C7</f>
        <v>2021</v>
      </c>
      <c r="B3" s="904"/>
      <c r="C3" s="904"/>
      <c r="D3" s="904"/>
      <c r="E3" s="904"/>
      <c r="F3" s="904"/>
      <c r="G3" s="904"/>
      <c r="H3" s="904"/>
      <c r="I3" s="33"/>
      <c r="J3" s="33"/>
      <c r="K3" s="33"/>
      <c r="L3" s="33"/>
      <c r="M3" s="33"/>
      <c r="N3" s="365"/>
    </row>
    <row r="4" spans="1:14">
      <c r="A4" s="24"/>
      <c r="B4" s="24"/>
      <c r="C4" s="24"/>
      <c r="D4" s="24"/>
      <c r="E4" s="24"/>
      <c r="F4" s="24"/>
      <c r="G4" s="24"/>
      <c r="H4" s="24"/>
      <c r="I4" s="547"/>
      <c r="J4" s="547"/>
      <c r="K4" s="547"/>
      <c r="L4" s="547"/>
      <c r="M4" s="547"/>
      <c r="N4" s="42"/>
    </row>
    <row r="5" spans="1:14">
      <c r="A5" s="24"/>
      <c r="B5" s="24"/>
      <c r="C5" s="24"/>
      <c r="D5" s="24"/>
      <c r="E5" s="24"/>
      <c r="F5" s="24"/>
      <c r="G5" s="24"/>
      <c r="H5" s="24"/>
      <c r="I5" s="547"/>
      <c r="J5" s="547"/>
      <c r="K5" s="547"/>
      <c r="L5" s="547"/>
      <c r="M5" s="547"/>
      <c r="N5" s="42"/>
    </row>
    <row r="6" spans="1:14">
      <c r="A6" s="24"/>
      <c r="B6" s="25" t="s">
        <v>85</v>
      </c>
      <c r="C6" s="24"/>
      <c r="D6" s="24"/>
      <c r="E6" s="24"/>
      <c r="F6" s="24"/>
      <c r="G6" s="24"/>
      <c r="H6" s="24"/>
      <c r="I6" s="547"/>
      <c r="J6" s="547"/>
      <c r="K6" s="547"/>
      <c r="L6" s="547"/>
      <c r="M6" s="547"/>
      <c r="N6" s="42"/>
    </row>
    <row r="7" spans="1:14">
      <c r="A7" s="24"/>
      <c r="B7" s="24"/>
      <c r="C7" s="24"/>
      <c r="D7" s="24"/>
      <c r="E7" s="24"/>
      <c r="F7" s="24"/>
      <c r="G7" s="24"/>
      <c r="H7" s="24"/>
      <c r="I7" s="547"/>
      <c r="J7" s="547"/>
      <c r="K7" s="547"/>
      <c r="L7" s="547"/>
      <c r="M7" s="547"/>
      <c r="N7" s="42"/>
    </row>
    <row r="8" spans="1:14">
      <c r="A8" s="24"/>
      <c r="B8" s="46" t="s">
        <v>86</v>
      </c>
      <c r="C8" s="46" t="s">
        <v>87</v>
      </c>
      <c r="D8" s="994" t="s">
        <v>88</v>
      </c>
      <c r="E8" s="995"/>
      <c r="F8" s="995"/>
      <c r="G8" s="995"/>
      <c r="H8" s="995"/>
      <c r="I8" s="547"/>
      <c r="J8" s="547"/>
      <c r="K8" s="547"/>
      <c r="L8" s="547"/>
      <c r="M8" s="547"/>
      <c r="N8" s="42"/>
    </row>
    <row r="9" spans="1:14">
      <c r="A9" s="24"/>
      <c r="B9" s="26" t="s">
        <v>89</v>
      </c>
      <c r="C9" s="952">
        <v>44407</v>
      </c>
      <c r="D9" s="992"/>
      <c r="E9" s="993"/>
      <c r="F9" s="993"/>
      <c r="G9" s="993"/>
      <c r="H9" s="993"/>
      <c r="I9" s="24"/>
      <c r="J9" s="24"/>
      <c r="K9" s="24"/>
      <c r="L9" s="24"/>
      <c r="M9" s="24"/>
    </row>
    <row r="10" spans="1:14">
      <c r="A10" s="24"/>
      <c r="B10" s="26" t="s">
        <v>90</v>
      </c>
      <c r="C10" s="952"/>
      <c r="D10" s="992"/>
      <c r="E10" s="993"/>
      <c r="F10" s="993"/>
      <c r="G10" s="993"/>
      <c r="H10" s="993"/>
      <c r="I10" s="24"/>
      <c r="J10" s="24"/>
      <c r="K10" s="24"/>
      <c r="L10" s="24"/>
      <c r="M10" s="24"/>
    </row>
    <row r="11" spans="1:14">
      <c r="A11" s="24"/>
      <c r="B11" s="26" t="s">
        <v>91</v>
      </c>
      <c r="C11" s="952"/>
      <c r="D11" s="992"/>
      <c r="E11" s="993"/>
      <c r="F11" s="993"/>
      <c r="G11" s="993"/>
      <c r="H11" s="993"/>
      <c r="I11" s="24"/>
      <c r="J11" s="24"/>
      <c r="K11" s="24"/>
      <c r="L11" s="24"/>
      <c r="M11" s="24"/>
    </row>
    <row r="12" spans="1:14">
      <c r="A12" s="24"/>
      <c r="B12" s="26" t="s">
        <v>92</v>
      </c>
      <c r="C12" s="952"/>
      <c r="D12" s="992"/>
      <c r="E12" s="993"/>
      <c r="F12" s="993"/>
      <c r="G12" s="993"/>
      <c r="H12" s="993"/>
      <c r="I12" s="24"/>
      <c r="J12" s="24"/>
      <c r="K12" s="24"/>
      <c r="L12" s="24"/>
      <c r="M12" s="24"/>
    </row>
    <row r="13" spans="1:14">
      <c r="A13" s="24"/>
      <c r="B13" s="26" t="s">
        <v>93</v>
      </c>
      <c r="C13" s="952"/>
      <c r="D13" s="992"/>
      <c r="E13" s="993"/>
      <c r="F13" s="993"/>
      <c r="G13" s="993"/>
      <c r="H13" s="993"/>
      <c r="I13" s="24"/>
      <c r="J13" s="24"/>
      <c r="K13" s="24"/>
      <c r="L13" s="24"/>
      <c r="M13" s="24"/>
    </row>
    <row r="14" spans="1:14">
      <c r="A14" s="24"/>
      <c r="B14" s="26" t="s">
        <v>94</v>
      </c>
      <c r="C14" s="952"/>
      <c r="D14" s="992"/>
      <c r="E14" s="993"/>
      <c r="F14" s="993"/>
      <c r="G14" s="993"/>
      <c r="H14" s="993"/>
      <c r="I14" s="24"/>
      <c r="J14" s="24"/>
      <c r="K14" s="24"/>
      <c r="L14" s="24"/>
      <c r="M14" s="24"/>
    </row>
    <row r="15" spans="1:14">
      <c r="A15" s="24"/>
      <c r="B15" s="26" t="s">
        <v>95</v>
      </c>
      <c r="C15" s="952"/>
      <c r="D15" s="992"/>
      <c r="E15" s="993"/>
      <c r="F15" s="993"/>
      <c r="G15" s="993"/>
      <c r="H15" s="993"/>
      <c r="I15" s="24"/>
      <c r="J15" s="24"/>
      <c r="K15" s="24"/>
      <c r="L15" s="24"/>
      <c r="M15" s="24"/>
    </row>
    <row r="16" spans="1:14">
      <c r="A16" s="24"/>
      <c r="B16" s="26" t="s">
        <v>96</v>
      </c>
      <c r="C16" s="952"/>
      <c r="D16" s="992"/>
      <c r="E16" s="993"/>
      <c r="F16" s="993"/>
      <c r="G16" s="993"/>
      <c r="H16" s="993"/>
      <c r="I16" s="24"/>
      <c r="J16" s="24"/>
      <c r="K16" s="24"/>
      <c r="L16" s="24"/>
      <c r="M16" s="24"/>
    </row>
    <row r="17" spans="1:13">
      <c r="A17" s="24"/>
      <c r="B17" s="26" t="s">
        <v>97</v>
      </c>
      <c r="C17" s="952"/>
      <c r="D17" s="992"/>
      <c r="E17" s="993"/>
      <c r="F17" s="993"/>
      <c r="G17" s="993"/>
      <c r="H17" s="993"/>
      <c r="I17" s="24"/>
      <c r="J17" s="24"/>
      <c r="K17" s="24"/>
      <c r="L17" s="24"/>
      <c r="M17" s="24"/>
    </row>
    <row r="18" spans="1:13">
      <c r="A18" s="24"/>
      <c r="B18" s="26" t="s">
        <v>98</v>
      </c>
      <c r="C18" s="952"/>
      <c r="D18" s="992"/>
      <c r="E18" s="993"/>
      <c r="F18" s="993"/>
      <c r="G18" s="993"/>
      <c r="H18" s="993"/>
      <c r="I18" s="24"/>
      <c r="J18" s="24"/>
      <c r="K18" s="24"/>
      <c r="L18" s="24"/>
      <c r="M18" s="24"/>
    </row>
    <row r="19" spans="1:13">
      <c r="A19" s="24"/>
      <c r="B19" s="24"/>
      <c r="C19" s="24"/>
      <c r="D19" s="24"/>
      <c r="E19" s="24"/>
      <c r="F19" s="24"/>
      <c r="G19" s="24"/>
      <c r="H19" s="24"/>
      <c r="I19" s="24"/>
      <c r="J19" s="24"/>
      <c r="K19" s="24"/>
      <c r="L19" s="24"/>
      <c r="M19" s="24"/>
    </row>
    <row r="20" spans="1:13">
      <c r="A20" s="24"/>
      <c r="B20" s="213"/>
      <c r="C20" s="24"/>
      <c r="D20" s="24"/>
      <c r="E20" s="24"/>
      <c r="F20" s="24"/>
      <c r="G20" s="24"/>
      <c r="H20" s="24"/>
      <c r="I20" s="24"/>
      <c r="J20" s="24"/>
      <c r="K20" s="24"/>
      <c r="L20" s="24"/>
    </row>
    <row r="21" spans="1:13">
      <c r="A21" s="24"/>
      <c r="B21" s="286" t="s">
        <v>263</v>
      </c>
      <c r="C21" s="24"/>
      <c r="D21" s="24"/>
      <c r="E21" s="24"/>
      <c r="F21" s="24"/>
      <c r="G21" s="24"/>
      <c r="H21" s="24"/>
      <c r="I21" s="24"/>
      <c r="J21" s="24"/>
      <c r="K21" s="24"/>
      <c r="L21" s="24"/>
    </row>
    <row r="22" spans="1:13">
      <c r="A22" s="24"/>
      <c r="B22" s="286" t="s">
        <v>119</v>
      </c>
      <c r="C22" s="24"/>
      <c r="D22" s="24"/>
      <c r="E22" s="24"/>
      <c r="F22" s="24"/>
      <c r="G22" s="24"/>
      <c r="H22" s="24"/>
      <c r="I22" s="24"/>
      <c r="J22" s="24"/>
      <c r="K22" s="24"/>
      <c r="L22" s="24"/>
    </row>
    <row r="23" spans="1:13">
      <c r="A23" s="24"/>
      <c r="B23" s="286" t="s">
        <v>264</v>
      </c>
      <c r="C23" s="24"/>
      <c r="D23" s="24"/>
      <c r="E23" s="24"/>
      <c r="F23" s="24"/>
      <c r="G23" s="24"/>
      <c r="H23" s="24"/>
      <c r="I23" s="24"/>
      <c r="J23" s="24"/>
      <c r="K23" s="24"/>
      <c r="L23" s="24"/>
    </row>
    <row r="24" spans="1:13">
      <c r="B24" s="286" t="s">
        <v>99</v>
      </c>
    </row>
    <row r="25" spans="1:13">
      <c r="B25" s="286" t="s">
        <v>262</v>
      </c>
    </row>
    <row r="26" spans="1:13">
      <c r="B26" s="286" t="s">
        <v>100</v>
      </c>
    </row>
    <row r="27" spans="1:13">
      <c r="B27" s="286" t="s">
        <v>265</v>
      </c>
    </row>
    <row r="28" spans="1:13">
      <c r="B28" s="286" t="s">
        <v>281</v>
      </c>
      <c r="C28" t="s">
        <v>650</v>
      </c>
    </row>
    <row r="29" spans="1:13">
      <c r="B29" s="286" t="s">
        <v>237</v>
      </c>
    </row>
    <row r="30" spans="1:13">
      <c r="B30" s="286" t="s">
        <v>284</v>
      </c>
      <c r="C30" t="s">
        <v>650</v>
      </c>
    </row>
    <row r="31" spans="1:13">
      <c r="B31" s="286" t="s">
        <v>101</v>
      </c>
    </row>
    <row r="32" spans="1:13">
      <c r="B32" s="286" t="s">
        <v>261</v>
      </c>
    </row>
    <row r="33" spans="2:2">
      <c r="B33" s="286" t="s">
        <v>266</v>
      </c>
    </row>
    <row r="34" spans="2:2">
      <c r="B34" s="286" t="s">
        <v>259</v>
      </c>
    </row>
    <row r="35" spans="2:2">
      <c r="B35" s="286" t="s">
        <v>267</v>
      </c>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7"/>
  <sheetViews>
    <sheetView showGridLines="0" zoomScale="70" zoomScaleNormal="70" workbookViewId="0">
      <pane ySplit="5" topLeftCell="A6" activePane="bottomLeft" state="frozen"/>
      <selection activeCell="A3" sqref="A3"/>
      <selection pane="bottomLeft" activeCell="A3" sqref="A3"/>
    </sheetView>
  </sheetViews>
  <sheetFormatPr defaultRowHeight="12.6"/>
  <cols>
    <col min="1" max="1" width="19.08984375" bestFit="1" customWidth="1"/>
    <col min="2" max="2" width="12.08984375" bestFit="1" customWidth="1"/>
    <col min="3" max="3" width="104.08984375" customWidth="1"/>
    <col min="4" max="4" width="35.453125" customWidth="1"/>
  </cols>
  <sheetData>
    <row r="1" spans="1:4" s="31" customFormat="1" ht="21">
      <c r="A1" s="29" t="s">
        <v>121</v>
      </c>
      <c r="B1" s="29"/>
      <c r="C1" s="29"/>
      <c r="D1" s="29"/>
    </row>
    <row r="2" spans="1:4" s="31" customFormat="1" ht="21">
      <c r="A2" s="29" t="str">
        <f>'RFPR cover'!C5</f>
        <v>WPD-SWEST</v>
      </c>
      <c r="B2" s="29"/>
      <c r="C2" s="29"/>
      <c r="D2" s="29"/>
    </row>
    <row r="3" spans="1:4" s="31" customFormat="1" ht="21">
      <c r="A3" s="29">
        <f>'RFPR cover'!C7</f>
        <v>2021</v>
      </c>
      <c r="B3" s="29"/>
      <c r="C3" s="29"/>
      <c r="D3" s="29"/>
    </row>
    <row r="4" spans="1:4" s="31" customFormat="1" ht="21">
      <c r="A4" s="841"/>
      <c r="B4" s="841"/>
      <c r="C4" s="841"/>
      <c r="D4" s="841"/>
    </row>
    <row r="5" spans="1:4" ht="27.6">
      <c r="A5" s="838" t="s">
        <v>450</v>
      </c>
      <c r="B5" s="839" t="s">
        <v>451</v>
      </c>
      <c r="C5" s="840" t="s">
        <v>452</v>
      </c>
    </row>
    <row r="6" spans="1:4">
      <c r="A6" s="335">
        <v>1.1000000000000001</v>
      </c>
      <c r="B6" s="849" t="s">
        <v>534</v>
      </c>
      <c r="C6" s="856" t="s">
        <v>535</v>
      </c>
    </row>
    <row r="7" spans="1:4">
      <c r="A7" s="335">
        <v>1.1000000000000001</v>
      </c>
      <c r="B7" s="849" t="s">
        <v>534</v>
      </c>
      <c r="C7" s="856" t="s">
        <v>536</v>
      </c>
    </row>
    <row r="8" spans="1:4">
      <c r="A8" s="335">
        <v>1.1000000000000001</v>
      </c>
      <c r="B8" s="847" t="s">
        <v>537</v>
      </c>
      <c r="C8" s="855" t="s">
        <v>538</v>
      </c>
    </row>
    <row r="9" spans="1:4" ht="25.2">
      <c r="A9" s="335">
        <v>1.1000000000000001</v>
      </c>
      <c r="B9" s="847" t="s">
        <v>540</v>
      </c>
      <c r="C9" s="855" t="s">
        <v>541</v>
      </c>
    </row>
    <row r="10" spans="1:4">
      <c r="A10" s="335">
        <v>1.1000000000000001</v>
      </c>
      <c r="B10" s="847" t="s">
        <v>540</v>
      </c>
      <c r="C10" s="855" t="s">
        <v>543</v>
      </c>
    </row>
    <row r="11" spans="1:4">
      <c r="A11" s="335">
        <v>1.1000000000000001</v>
      </c>
      <c r="B11" s="847" t="s">
        <v>545</v>
      </c>
      <c r="C11" s="855" t="s">
        <v>544</v>
      </c>
    </row>
    <row r="12" spans="1:4" ht="25.2">
      <c r="A12" s="335">
        <v>1.1000000000000001</v>
      </c>
      <c r="B12" s="847" t="s">
        <v>540</v>
      </c>
      <c r="C12" s="855" t="s">
        <v>546</v>
      </c>
    </row>
    <row r="13" spans="1:4" ht="50.4">
      <c r="A13" s="335">
        <v>1.1000000000000001</v>
      </c>
      <c r="B13" s="847" t="s">
        <v>540</v>
      </c>
      <c r="C13" s="855" t="s">
        <v>547</v>
      </c>
    </row>
    <row r="14" spans="1:4">
      <c r="A14" s="336">
        <v>1.1000000000000001</v>
      </c>
      <c r="B14" s="847" t="s">
        <v>548</v>
      </c>
      <c r="C14" s="855" t="s">
        <v>549</v>
      </c>
    </row>
    <row r="15" spans="1:4">
      <c r="A15" s="336">
        <v>1.1000000000000001</v>
      </c>
      <c r="B15" s="847" t="s">
        <v>537</v>
      </c>
      <c r="C15" s="855" t="s">
        <v>550</v>
      </c>
    </row>
    <row r="16" spans="1:4" ht="37.799999999999997">
      <c r="A16" s="336">
        <v>1.1000000000000001</v>
      </c>
      <c r="B16" s="847" t="s">
        <v>551</v>
      </c>
      <c r="C16" s="855" t="s">
        <v>552</v>
      </c>
    </row>
    <row r="17" spans="1:3">
      <c r="A17" s="336">
        <v>1.1000000000000001</v>
      </c>
      <c r="B17" s="847" t="s">
        <v>545</v>
      </c>
      <c r="C17" s="287" t="s">
        <v>553</v>
      </c>
    </row>
    <row r="18" spans="1:3">
      <c r="A18" s="336">
        <v>1.1000000000000001</v>
      </c>
      <c r="B18" s="847" t="s">
        <v>545</v>
      </c>
      <c r="C18" s="287" t="s">
        <v>554</v>
      </c>
    </row>
    <row r="19" spans="1:3">
      <c r="A19" s="336">
        <v>1.1000000000000001</v>
      </c>
      <c r="B19" s="847" t="s">
        <v>555</v>
      </c>
      <c r="C19" s="287" t="s">
        <v>556</v>
      </c>
    </row>
    <row r="20" spans="1:3" ht="25.2">
      <c r="A20" s="336">
        <v>1.1000000000000001</v>
      </c>
      <c r="B20" s="847" t="s">
        <v>555</v>
      </c>
      <c r="C20" s="287" t="s">
        <v>567</v>
      </c>
    </row>
    <row r="21" spans="1:3">
      <c r="A21" s="336">
        <v>1.1000000000000001</v>
      </c>
      <c r="B21" s="847" t="s">
        <v>568</v>
      </c>
      <c r="C21" s="287" t="s">
        <v>569</v>
      </c>
    </row>
    <row r="22" spans="1:3">
      <c r="A22" s="336">
        <v>1.1000000000000001</v>
      </c>
      <c r="B22" s="336" t="s">
        <v>548</v>
      </c>
      <c r="C22" s="287" t="s">
        <v>570</v>
      </c>
    </row>
    <row r="23" spans="1:3" ht="25.2">
      <c r="A23" s="336">
        <v>1.1000000000000001</v>
      </c>
      <c r="B23" s="847" t="s">
        <v>548</v>
      </c>
      <c r="C23" s="287" t="s">
        <v>571</v>
      </c>
    </row>
    <row r="24" spans="1:3" ht="25.2">
      <c r="A24" s="336">
        <v>1.1000000000000001</v>
      </c>
      <c r="B24" s="847" t="s">
        <v>551</v>
      </c>
      <c r="C24" s="287" t="s">
        <v>572</v>
      </c>
    </row>
    <row r="25" spans="1:3" ht="25.8" thickBot="1">
      <c r="A25" s="942">
        <v>1.1000000000000001</v>
      </c>
      <c r="B25" s="943" t="s">
        <v>555</v>
      </c>
      <c r="C25" s="944" t="s">
        <v>574</v>
      </c>
    </row>
    <row r="26" spans="1:3">
      <c r="A26" s="939">
        <v>1.1000000000000001</v>
      </c>
      <c r="B26" s="940" t="s">
        <v>548</v>
      </c>
      <c r="C26" s="941" t="s">
        <v>575</v>
      </c>
    </row>
    <row r="27" spans="1:3">
      <c r="A27" s="939">
        <v>1.1000000000000001</v>
      </c>
      <c r="B27" s="847" t="s">
        <v>555</v>
      </c>
      <c r="C27" s="287" t="s">
        <v>576</v>
      </c>
    </row>
    <row r="28" spans="1:3" ht="25.2">
      <c r="A28" s="336">
        <v>1.1000000000000001</v>
      </c>
      <c r="B28" s="847" t="s">
        <v>555</v>
      </c>
      <c r="C28" s="287" t="s">
        <v>577</v>
      </c>
    </row>
    <row r="29" spans="1:3">
      <c r="A29" s="945">
        <v>2</v>
      </c>
      <c r="B29" s="847" t="s">
        <v>555</v>
      </c>
      <c r="C29" s="287" t="s">
        <v>581</v>
      </c>
    </row>
    <row r="30" spans="1:3">
      <c r="A30" s="945">
        <v>2</v>
      </c>
      <c r="B30" s="847" t="s">
        <v>555</v>
      </c>
      <c r="C30" s="287" t="s">
        <v>582</v>
      </c>
    </row>
    <row r="31" spans="1:3">
      <c r="A31" s="945">
        <v>2</v>
      </c>
      <c r="B31" s="847" t="s">
        <v>555</v>
      </c>
      <c r="C31" s="287" t="s">
        <v>586</v>
      </c>
    </row>
    <row r="32" spans="1:3" ht="25.2">
      <c r="A32" s="945">
        <v>2</v>
      </c>
      <c r="B32" s="847" t="s">
        <v>265</v>
      </c>
      <c r="C32" s="869" t="s">
        <v>583</v>
      </c>
    </row>
    <row r="33" spans="1:3" ht="27.75" customHeight="1">
      <c r="A33" s="945">
        <v>2</v>
      </c>
      <c r="B33" s="847" t="s">
        <v>584</v>
      </c>
      <c r="C33" s="287" t="s">
        <v>585</v>
      </c>
    </row>
    <row r="34" spans="1:3">
      <c r="A34" s="336">
        <v>2.1</v>
      </c>
      <c r="B34" s="847" t="s">
        <v>261</v>
      </c>
      <c r="C34" s="287" t="s">
        <v>630</v>
      </c>
    </row>
    <row r="35" spans="1:3" ht="25.2">
      <c r="A35" s="336">
        <v>2.1</v>
      </c>
      <c r="B35" s="847" t="s">
        <v>265</v>
      </c>
      <c r="C35" s="287" t="s">
        <v>631</v>
      </c>
    </row>
    <row r="36" spans="1:3" ht="25.2">
      <c r="A36" s="337"/>
      <c r="B36" s="872" t="s">
        <v>540</v>
      </c>
      <c r="C36" s="287" t="s">
        <v>641</v>
      </c>
    </row>
    <row r="37" spans="1:3" ht="25.2">
      <c r="A37" s="337"/>
      <c r="B37" s="872" t="s">
        <v>568</v>
      </c>
      <c r="C37" s="287" t="s">
        <v>642</v>
      </c>
    </row>
    <row r="38" spans="1:3" ht="75.599999999999994">
      <c r="A38" s="337"/>
      <c r="B38" s="872" t="s">
        <v>555</v>
      </c>
      <c r="C38" s="287" t="s">
        <v>640</v>
      </c>
    </row>
    <row r="39" spans="1:3" ht="37.799999999999997">
      <c r="A39" s="337"/>
      <c r="B39" s="872" t="s">
        <v>644</v>
      </c>
      <c r="C39" s="287" t="s">
        <v>643</v>
      </c>
    </row>
    <row r="40" spans="1:3">
      <c r="A40" s="336"/>
      <c r="B40" s="872"/>
      <c r="C40" s="287"/>
    </row>
    <row r="41" spans="1:3">
      <c r="A41" s="337"/>
      <c r="B41" s="872"/>
      <c r="C41" s="287"/>
    </row>
    <row r="42" spans="1:3">
      <c r="A42" s="337"/>
      <c r="B42" s="872"/>
      <c r="C42" s="287"/>
    </row>
    <row r="43" spans="1:3">
      <c r="A43" s="337"/>
      <c r="B43" s="872"/>
      <c r="C43" s="287"/>
    </row>
    <row r="44" spans="1:3">
      <c r="A44" s="337"/>
      <c r="B44" s="847"/>
      <c r="C44" s="287"/>
    </row>
    <row r="45" spans="1:3">
      <c r="A45" s="337"/>
      <c r="B45" s="847"/>
      <c r="C45" s="287"/>
    </row>
    <row r="46" spans="1:3">
      <c r="A46" s="337"/>
      <c r="B46" s="847"/>
      <c r="C46" s="287"/>
    </row>
    <row r="47" spans="1:3">
      <c r="A47" s="337"/>
      <c r="B47" s="847"/>
      <c r="C47" s="287"/>
    </row>
    <row r="48" spans="1:3">
      <c r="A48" s="337"/>
      <c r="B48" s="847"/>
      <c r="C48" s="287"/>
    </row>
    <row r="49" spans="1:3">
      <c r="A49" s="337"/>
      <c r="B49" s="847"/>
      <c r="C49" s="287"/>
    </row>
    <row r="50" spans="1:3">
      <c r="A50" s="337"/>
      <c r="B50" s="847"/>
      <c r="C50" s="287"/>
    </row>
    <row r="51" spans="1:3">
      <c r="A51" s="337"/>
      <c r="B51" s="847"/>
      <c r="C51" s="287"/>
    </row>
    <row r="52" spans="1:3">
      <c r="A52" s="337"/>
      <c r="B52" s="847"/>
      <c r="C52" s="287"/>
    </row>
    <row r="53" spans="1:3">
      <c r="A53" s="337"/>
      <c r="B53" s="847"/>
      <c r="C53" s="287"/>
    </row>
    <row r="54" spans="1:3">
      <c r="A54" s="337"/>
      <c r="B54" s="879"/>
      <c r="C54" s="880"/>
    </row>
    <row r="55" spans="1:3">
      <c r="A55" s="337"/>
      <c r="B55" s="847"/>
      <c r="C55" s="287"/>
    </row>
    <row r="56" spans="1:3">
      <c r="A56" s="337"/>
      <c r="B56" s="847"/>
      <c r="C56" s="287"/>
    </row>
    <row r="57" spans="1:3">
      <c r="A57" s="337"/>
      <c r="B57" s="847"/>
      <c r="C57" s="287"/>
    </row>
    <row r="58" spans="1:3">
      <c r="A58" s="337"/>
      <c r="B58" s="847"/>
      <c r="C58" s="287"/>
    </row>
    <row r="59" spans="1:3">
      <c r="A59" s="337"/>
      <c r="B59" s="847"/>
      <c r="C59" s="869"/>
    </row>
    <row r="60" spans="1:3">
      <c r="A60" s="338"/>
      <c r="B60" s="848"/>
      <c r="C60" s="288"/>
    </row>
    <row r="61" spans="1:3">
      <c r="A61" s="338"/>
      <c r="B61" s="848"/>
      <c r="C61" s="288"/>
    </row>
    <row r="62" spans="1:3">
      <c r="A62" s="338"/>
      <c r="B62" s="848"/>
      <c r="C62" s="288"/>
    </row>
    <row r="63" spans="1:3">
      <c r="A63" s="338"/>
      <c r="B63" s="848"/>
      <c r="C63" s="288"/>
    </row>
    <row r="64" spans="1:3">
      <c r="A64" s="338"/>
      <c r="B64" s="848"/>
      <c r="C64" s="288"/>
    </row>
    <row r="65" spans="1:3">
      <c r="A65" s="338"/>
      <c r="B65" s="848"/>
      <c r="C65" s="288"/>
    </row>
    <row r="66" spans="1:3">
      <c r="A66" s="338"/>
      <c r="B66" s="848"/>
      <c r="C66" s="288"/>
    </row>
    <row r="67" spans="1:3">
      <c r="A67" s="338"/>
      <c r="B67" s="848"/>
      <c r="C67" s="288"/>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L66"/>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63.36328125" style="196" customWidth="1"/>
    <col min="3" max="3" width="13.36328125" style="42" customWidth="1"/>
    <col min="4" max="11" width="9.08984375" customWidth="1"/>
    <col min="12" max="12" width="3.6328125" customWidth="1"/>
    <col min="13" max="14" width="13.7265625" customWidth="1"/>
    <col min="15" max="15" width="5.08984375" customWidth="1"/>
  </cols>
  <sheetData>
    <row r="1" spans="1:38" s="31" customFormat="1" ht="21">
      <c r="A1" s="909" t="s">
        <v>239</v>
      </c>
      <c r="B1" s="918"/>
      <c r="C1" s="919"/>
      <c r="D1" s="919"/>
      <c r="E1" s="919"/>
      <c r="F1" s="919"/>
      <c r="G1" s="256"/>
      <c r="H1" s="256"/>
      <c r="I1" s="257"/>
      <c r="J1" s="257"/>
      <c r="K1" s="258"/>
      <c r="L1" s="258"/>
      <c r="M1" s="258"/>
      <c r="N1" s="258"/>
      <c r="O1" s="366" t="s">
        <v>84</v>
      </c>
    </row>
    <row r="2" spans="1:38" s="31" customFormat="1" ht="21">
      <c r="A2" s="912" t="str">
        <f>'RFPR cover'!C5</f>
        <v>WPD-SWEST</v>
      </c>
      <c r="B2" s="920"/>
      <c r="C2" s="904"/>
      <c r="D2" s="904"/>
      <c r="E2" s="904"/>
      <c r="F2" s="904"/>
      <c r="G2" s="29"/>
      <c r="H2" s="29"/>
      <c r="I2" s="27"/>
      <c r="J2" s="27"/>
      <c r="K2" s="27"/>
      <c r="L2" s="27"/>
      <c r="M2" s="27"/>
      <c r="N2" s="27"/>
      <c r="O2" s="123"/>
    </row>
    <row r="3" spans="1:38" s="31" customFormat="1" ht="22.8">
      <c r="A3" s="915">
        <f>'RFPR cover'!C7</f>
        <v>2021</v>
      </c>
      <c r="B3" s="921" t="str">
        <f>IF('RFPR cover'!C5=Data!B98,"Not required to be completed for System Operator",(IF('RFPR cover'!C5=Data!B96,"Not required to be completed for System Operator","")))</f>
        <v/>
      </c>
      <c r="C3" s="922"/>
      <c r="D3" s="922"/>
      <c r="E3" s="922"/>
      <c r="F3" s="922"/>
      <c r="G3" s="260"/>
      <c r="H3" s="260"/>
      <c r="I3" s="255"/>
      <c r="J3" s="255"/>
      <c r="K3" s="255"/>
      <c r="L3" s="255"/>
      <c r="M3" s="255"/>
      <c r="N3" s="255"/>
      <c r="O3" s="261"/>
    </row>
    <row r="4" spans="1:38" ht="12.75" customHeight="1"/>
    <row r="5" spans="1:38">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c r="L5" s="2"/>
      <c r="M5" s="2"/>
    </row>
    <row r="6" spans="1:38" ht="31.5" customHeight="1">
      <c r="C6" s="172"/>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L6" s="48"/>
      <c r="M6" s="101" t="str">
        <f>"Cumulative to "&amp;'RFPR cover'!$C$7</f>
        <v>Cumulative to 2021</v>
      </c>
      <c r="N6" s="194" t="s">
        <v>109</v>
      </c>
    </row>
    <row r="7" spans="1:38">
      <c r="C7" s="172"/>
      <c r="D7" s="172"/>
      <c r="E7" s="172"/>
      <c r="F7" s="172"/>
      <c r="G7" s="172"/>
      <c r="H7" s="172"/>
      <c r="I7" s="172"/>
      <c r="J7" s="172"/>
      <c r="K7" s="172"/>
      <c r="L7" s="172"/>
      <c r="M7" s="172"/>
      <c r="N7" s="172"/>
      <c r="O7" s="172"/>
    </row>
    <row r="8" spans="1:38">
      <c r="B8" s="530" t="s">
        <v>108</v>
      </c>
      <c r="C8" s="423"/>
      <c r="D8" s="423"/>
      <c r="E8" s="423"/>
      <c r="F8" s="423"/>
      <c r="G8" s="423"/>
      <c r="H8" s="423"/>
      <c r="I8" s="423"/>
      <c r="J8" s="423"/>
      <c r="K8" s="423"/>
      <c r="L8" s="531"/>
      <c r="M8" s="217"/>
      <c r="N8" s="217"/>
      <c r="O8" s="217"/>
    </row>
    <row r="9" spans="1:38">
      <c r="B9" s="197"/>
      <c r="D9" s="42"/>
      <c r="E9" s="42"/>
      <c r="F9" s="42"/>
      <c r="G9" s="42"/>
      <c r="H9" s="42"/>
      <c r="I9" s="42"/>
      <c r="J9" s="42"/>
      <c r="K9" s="42"/>
      <c r="L9" s="48"/>
    </row>
    <row r="10" spans="1:38">
      <c r="B10" s="252" t="s">
        <v>215</v>
      </c>
      <c r="C10" s="254" t="s">
        <v>7</v>
      </c>
      <c r="D10" s="507">
        <f t="shared" ref="D10:K19" si="1">D48/D$65</f>
        <v>6.4000000000000001E-2</v>
      </c>
      <c r="E10" s="509">
        <f t="shared" si="1"/>
        <v>6.4000000000000001E-2</v>
      </c>
      <c r="F10" s="509">
        <f t="shared" si="1"/>
        <v>6.4000000000000001E-2</v>
      </c>
      <c r="G10" s="509">
        <f t="shared" si="1"/>
        <v>6.4000000000000001E-2</v>
      </c>
      <c r="H10" s="509">
        <f t="shared" si="1"/>
        <v>6.4000000000000001E-2</v>
      </c>
      <c r="I10" s="509">
        <f t="shared" si="1"/>
        <v>6.4000000000000001E-2</v>
      </c>
      <c r="J10" s="509">
        <f t="shared" si="1"/>
        <v>6.4000000000000001E-2</v>
      </c>
      <c r="K10" s="508">
        <f t="shared" si="1"/>
        <v>6.4000000000000001E-2</v>
      </c>
      <c r="L10" s="173"/>
      <c r="M10" s="508">
        <f>AVERAGE(D48:INDEX(D48:K48,0,MATCH('RFPR cover'!$C$7,$D$6:$K$6,0)))/AVERAGE($D$65:INDEX($D$65:$K$65,0,MATCH('RFPR cover'!$C$7,$D$6:$K$6,0)))</f>
        <v>6.4000000000000001E-2</v>
      </c>
      <c r="N10" s="508">
        <f>AVERAGE(D48:K48)/AVERAGE($D$65:$K$65)</f>
        <v>6.3999999999999987E-2</v>
      </c>
      <c r="S10" s="173"/>
      <c r="T10" s="173"/>
      <c r="AB10" s="173"/>
      <c r="AC10" s="173"/>
      <c r="AD10" s="173"/>
      <c r="AE10" s="173"/>
      <c r="AF10" s="173"/>
      <c r="AG10" s="173"/>
      <c r="AH10" s="173"/>
      <c r="AI10" s="173"/>
      <c r="AJ10" s="173"/>
      <c r="AK10" s="173"/>
      <c r="AL10" s="173"/>
    </row>
    <row r="11" spans="1:38">
      <c r="B11" s="252" t="str">
        <f t="shared" ref="B11:B18" si="2">B49</f>
        <v>Totex outperformance</v>
      </c>
      <c r="C11" s="254" t="s">
        <v>7</v>
      </c>
      <c r="D11" s="175">
        <f t="shared" si="1"/>
        <v>6.9686986016843314E-3</v>
      </c>
      <c r="E11" s="176">
        <f t="shared" si="1"/>
        <v>-1.7321474566135659E-2</v>
      </c>
      <c r="F11" s="176">
        <f t="shared" si="1"/>
        <v>-2.8706829907332872E-2</v>
      </c>
      <c r="G11" s="176">
        <f t="shared" si="1"/>
        <v>3.6795554139516649E-2</v>
      </c>
      <c r="H11" s="176">
        <f t="shared" si="1"/>
        <v>1.2775520467294245E-2</v>
      </c>
      <c r="I11" s="176">
        <f t="shared" si="1"/>
        <v>2.2188047305005495E-2</v>
      </c>
      <c r="J11" s="176">
        <f t="shared" si="1"/>
        <v>-6.96328398603927E-3</v>
      </c>
      <c r="K11" s="177">
        <f t="shared" si="1"/>
        <v>-6.8963554078079626E-3</v>
      </c>
      <c r="L11" s="173"/>
      <c r="M11" s="177">
        <f>AVERAGE(D49:INDEX(D49:K49,0,MATCH('RFPR cover'!$C$7,$D$6:$K$6,0)))/AVERAGE($D$65:INDEX($D$65:$K$65,0,MATCH('RFPR cover'!$C$7,$D$6:$K$6,0)))</f>
        <v>6.1508303675523084E-3</v>
      </c>
      <c r="N11" s="177">
        <f t="shared" ref="N11:N19" si="3">AVERAGE(D49:K49)/AVERAGE($D$65:$K$65)</f>
        <v>2.5081108528182731E-3</v>
      </c>
      <c r="P11" s="173"/>
      <c r="S11" s="173"/>
      <c r="T11" s="173"/>
      <c r="AB11" s="173"/>
      <c r="AC11" s="173"/>
      <c r="AD11" s="173"/>
      <c r="AE11" s="173"/>
      <c r="AF11" s="173"/>
      <c r="AG11" s="173"/>
      <c r="AH11" s="173"/>
      <c r="AI11" s="173"/>
      <c r="AJ11" s="173"/>
      <c r="AK11" s="173"/>
      <c r="AL11" s="173"/>
    </row>
    <row r="12" spans="1:38">
      <c r="B12" s="252" t="str">
        <f t="shared" si="2"/>
        <v>IQI Reward</v>
      </c>
      <c r="C12" s="254" t="s">
        <v>7</v>
      </c>
      <c r="D12" s="175">
        <f t="shared" si="1"/>
        <v>1.0136133897446964E-2</v>
      </c>
      <c r="E12" s="176">
        <f t="shared" si="1"/>
        <v>9.6582167964824883E-3</v>
      </c>
      <c r="F12" s="176">
        <f t="shared" si="1"/>
        <v>9.1800337839448715E-3</v>
      </c>
      <c r="G12" s="176">
        <f t="shared" si="1"/>
        <v>9.0306282824083126E-3</v>
      </c>
      <c r="H12" s="176">
        <f t="shared" si="1"/>
        <v>8.5660549009541707E-3</v>
      </c>
      <c r="I12" s="176">
        <f t="shared" si="1"/>
        <v>8.3802281011756841E-3</v>
      </c>
      <c r="J12" s="176">
        <f t="shared" si="1"/>
        <v>8.0704006105412791E-3</v>
      </c>
      <c r="K12" s="177">
        <f t="shared" si="1"/>
        <v>8.0953348471472595E-3</v>
      </c>
      <c r="L12" s="173"/>
      <c r="M12" s="177">
        <f>AVERAGE(D50:INDEX(D50:K50,0,MATCH('RFPR cover'!$C$7,$D$6:$K$6,0)))/AVERAGE($D$65:INDEX($D$65:$K$65,0,MATCH('RFPR cover'!$C$7,$D$6:$K$6,0)))</f>
        <v>9.1196596271289985E-3</v>
      </c>
      <c r="N12" s="177">
        <f t="shared" si="3"/>
        <v>8.8309901617797688E-3</v>
      </c>
      <c r="S12" s="173"/>
      <c r="T12" s="173"/>
      <c r="AB12" s="173"/>
      <c r="AC12" s="173"/>
      <c r="AD12" s="173"/>
      <c r="AE12" s="173"/>
      <c r="AF12" s="173"/>
      <c r="AG12" s="173"/>
      <c r="AH12" s="173"/>
      <c r="AI12" s="173"/>
      <c r="AJ12" s="173"/>
      <c r="AK12" s="173"/>
      <c r="AL12" s="173"/>
    </row>
    <row r="13" spans="1:38">
      <c r="B13" s="252" t="str">
        <f t="shared" si="2"/>
        <v>Broad measure of customer service</v>
      </c>
      <c r="C13" s="254" t="s">
        <v>7</v>
      </c>
      <c r="D13" s="175">
        <f t="shared" si="1"/>
        <v>7.1751492897681058E-3</v>
      </c>
      <c r="E13" s="176">
        <f t="shared" si="1"/>
        <v>6.9228768726214626E-3</v>
      </c>
      <c r="F13" s="176">
        <f t="shared" si="1"/>
        <v>6.7024960418274214E-3</v>
      </c>
      <c r="G13" s="176">
        <f t="shared" si="1"/>
        <v>6.572784319196597E-3</v>
      </c>
      <c r="H13" s="176">
        <f t="shared" si="1"/>
        <v>6.6226075069805192E-3</v>
      </c>
      <c r="I13" s="176">
        <f t="shared" si="1"/>
        <v>6.40524501986747E-3</v>
      </c>
      <c r="J13" s="176">
        <f t="shared" si="1"/>
        <v>6.173984862438555E-3</v>
      </c>
      <c r="K13" s="177">
        <f t="shared" si="1"/>
        <v>5.9176975984532171E-3</v>
      </c>
      <c r="L13" s="173"/>
      <c r="M13" s="177">
        <f>AVERAGE(D51:INDEX(D51:K51,0,MATCH('RFPR cover'!$C$7,$D$6:$K$6,0)))/AVERAGE($D$65:INDEX($D$65:$K$65,0,MATCH('RFPR cover'!$C$7,$D$6:$K$6,0)))</f>
        <v>6.7178842296990674E-3</v>
      </c>
      <c r="N13" s="177">
        <f t="shared" si="3"/>
        <v>6.529966104670229E-3</v>
      </c>
      <c r="S13" s="173"/>
      <c r="T13" s="173"/>
      <c r="AB13" s="173"/>
      <c r="AC13" s="173"/>
      <c r="AD13" s="173"/>
      <c r="AE13" s="173"/>
      <c r="AF13" s="173"/>
      <c r="AG13" s="173"/>
      <c r="AH13" s="173"/>
      <c r="AI13" s="173"/>
      <c r="AJ13" s="173"/>
      <c r="AK13" s="173"/>
      <c r="AL13" s="173"/>
    </row>
    <row r="14" spans="1:38">
      <c r="B14" s="252" t="str">
        <f t="shared" si="2"/>
        <v>Interruptions-related quality of service</v>
      </c>
      <c r="C14" s="254" t="s">
        <v>7</v>
      </c>
      <c r="D14" s="175">
        <f t="shared" si="1"/>
        <v>9.1924259499366247E-3</v>
      </c>
      <c r="E14" s="176">
        <f t="shared" si="1"/>
        <v>6.1379656520157925E-3</v>
      </c>
      <c r="F14" s="176">
        <f t="shared" si="1"/>
        <v>-6.2853101979811203E-4</v>
      </c>
      <c r="G14" s="176">
        <f t="shared" si="1"/>
        <v>5.5552775811094244E-3</v>
      </c>
      <c r="H14" s="176">
        <f t="shared" si="1"/>
        <v>8.8915205998683876E-3</v>
      </c>
      <c r="I14" s="176">
        <f t="shared" si="1"/>
        <v>1.7777611220815149E-3</v>
      </c>
      <c r="J14" s="176">
        <f t="shared" si="1"/>
        <v>3.5402718297813146E-3</v>
      </c>
      <c r="K14" s="177">
        <f t="shared" si="1"/>
        <v>3.154670030223977E-3</v>
      </c>
      <c r="L14" s="173"/>
      <c r="M14" s="177">
        <f>AVERAGE(D52:INDEX(D52:K52,0,MATCH('RFPR cover'!$C$7,$D$6:$K$6,0)))/AVERAGE($D$65:INDEX($D$65:$K$65,0,MATCH('RFPR cover'!$C$7,$D$6:$K$6,0)))</f>
        <v>5.077267354733293E-3</v>
      </c>
      <c r="N14" s="177">
        <f t="shared" si="3"/>
        <v>4.5943867974236018E-3</v>
      </c>
      <c r="S14" s="173"/>
      <c r="T14" s="173"/>
      <c r="AB14" s="173"/>
      <c r="AC14" s="173"/>
      <c r="AD14" s="173"/>
      <c r="AE14" s="173"/>
      <c r="AF14" s="173"/>
      <c r="AG14" s="173"/>
      <c r="AH14" s="173"/>
      <c r="AI14" s="173"/>
      <c r="AJ14" s="173"/>
      <c r="AK14" s="173"/>
      <c r="AL14" s="173"/>
    </row>
    <row r="15" spans="1:38">
      <c r="B15" s="252" t="str">
        <f t="shared" si="2"/>
        <v>Incentive on connections engagement</v>
      </c>
      <c r="C15" s="254" t="s">
        <v>7</v>
      </c>
      <c r="D15" s="175">
        <f t="shared" si="1"/>
        <v>0</v>
      </c>
      <c r="E15" s="176">
        <f t="shared" si="1"/>
        <v>0</v>
      </c>
      <c r="F15" s="176">
        <f t="shared" si="1"/>
        <v>0</v>
      </c>
      <c r="G15" s="176">
        <f t="shared" si="1"/>
        <v>0</v>
      </c>
      <c r="H15" s="176">
        <f t="shared" si="1"/>
        <v>0</v>
      </c>
      <c r="I15" s="176">
        <f t="shared" si="1"/>
        <v>0</v>
      </c>
      <c r="J15" s="176">
        <f t="shared" si="1"/>
        <v>0</v>
      </c>
      <c r="K15" s="177">
        <f t="shared" si="1"/>
        <v>0</v>
      </c>
      <c r="L15" s="173"/>
      <c r="M15" s="177">
        <f>AVERAGE(D53:INDEX(D53:K53,0,MATCH('RFPR cover'!$C$7,$D$6:$K$6,0)))/AVERAGE($D$65:INDEX($D$65:$K$65,0,MATCH('RFPR cover'!$C$7,$D$6:$K$6,0)))</f>
        <v>0</v>
      </c>
      <c r="N15" s="177">
        <f t="shared" si="3"/>
        <v>0</v>
      </c>
      <c r="S15" s="173"/>
      <c r="T15" s="173"/>
      <c r="AB15" s="173"/>
      <c r="AC15" s="173"/>
      <c r="AD15" s="173"/>
      <c r="AE15" s="173"/>
      <c r="AF15" s="173"/>
      <c r="AG15" s="173"/>
      <c r="AH15" s="173"/>
      <c r="AI15" s="173"/>
      <c r="AJ15" s="173"/>
      <c r="AK15" s="173"/>
      <c r="AL15" s="173"/>
    </row>
    <row r="16" spans="1:38">
      <c r="B16" s="252" t="str">
        <f t="shared" si="2"/>
        <v>Time to Connect Incentive</v>
      </c>
      <c r="C16" s="254" t="s">
        <v>7</v>
      </c>
      <c r="D16" s="175">
        <f t="shared" si="1"/>
        <v>2.167571451181505E-3</v>
      </c>
      <c r="E16" s="176">
        <f t="shared" si="1"/>
        <v>1.7326708355234702E-3</v>
      </c>
      <c r="F16" s="176">
        <f t="shared" si="1"/>
        <v>2.0935837580893153E-3</v>
      </c>
      <c r="G16" s="176">
        <f t="shared" si="1"/>
        <v>2.0214621925869879E-3</v>
      </c>
      <c r="H16" s="176">
        <f t="shared" si="1"/>
        <v>1.9518122820409219E-3</v>
      </c>
      <c r="I16" s="176">
        <f t="shared" si="1"/>
        <v>1.149897209850289E-3</v>
      </c>
      <c r="J16" s="176">
        <f t="shared" si="1"/>
        <v>1.5175449461996497E-3</v>
      </c>
      <c r="K16" s="177">
        <f t="shared" si="1"/>
        <v>1.4545503890535103E-3</v>
      </c>
      <c r="L16" s="173"/>
      <c r="M16" s="177">
        <f>AVERAGE(D54:INDEX(D54:K54,0,MATCH('RFPR cover'!$C$7,$D$6:$K$6,0)))/AVERAGE($D$65:INDEX($D$65:$K$65,0,MATCH('RFPR cover'!$C$7,$D$6:$K$6,0)))</f>
        <v>1.8387713345151104E-3</v>
      </c>
      <c r="N16" s="177">
        <f t="shared" si="3"/>
        <v>1.7403530565361857E-3</v>
      </c>
      <c r="S16" s="173"/>
      <c r="T16" s="173"/>
      <c r="AB16" s="173"/>
      <c r="AC16" s="173"/>
      <c r="AD16" s="173"/>
      <c r="AE16" s="173"/>
      <c r="AF16" s="173"/>
      <c r="AG16" s="173"/>
      <c r="AH16" s="173"/>
      <c r="AI16" s="173"/>
      <c r="AJ16" s="173"/>
      <c r="AK16" s="173"/>
      <c r="AL16" s="173"/>
    </row>
    <row r="17" spans="2:38">
      <c r="B17" s="252" t="str">
        <f t="shared" si="2"/>
        <v>Losses discretionary reward scheme</v>
      </c>
      <c r="C17" s="254" t="s">
        <v>7</v>
      </c>
      <c r="D17" s="175">
        <f t="shared" si="1"/>
        <v>0</v>
      </c>
      <c r="E17" s="176">
        <f t="shared" si="1"/>
        <v>7.273839635010731E-5</v>
      </c>
      <c r="F17" s="176">
        <f t="shared" si="1"/>
        <v>0</v>
      </c>
      <c r="G17" s="176">
        <f t="shared" si="1"/>
        <v>0</v>
      </c>
      <c r="H17" s="176">
        <f t="shared" si="1"/>
        <v>0</v>
      </c>
      <c r="I17" s="176">
        <f t="shared" si="1"/>
        <v>0</v>
      </c>
      <c r="J17" s="176">
        <f t="shared" si="1"/>
        <v>0</v>
      </c>
      <c r="K17" s="177">
        <f t="shared" si="1"/>
        <v>0</v>
      </c>
      <c r="L17" s="173"/>
      <c r="M17" s="177">
        <f>AVERAGE(D55:INDEX(D55:K55,0,MATCH('RFPR cover'!$C$7,$D$6:$K$6,0)))/AVERAGE($D$65:INDEX($D$65:$K$65,0,MATCH('RFPR cover'!$C$7,$D$6:$K$6,0)))</f>
        <v>1.1457792808463457E-5</v>
      </c>
      <c r="N17" s="177">
        <f t="shared" si="3"/>
        <v>8.2668360473675769E-6</v>
      </c>
      <c r="S17" s="173"/>
      <c r="T17" s="173"/>
      <c r="AB17" s="173"/>
      <c r="AC17" s="173"/>
      <c r="AD17" s="173"/>
      <c r="AE17" s="173"/>
      <c r="AF17" s="173"/>
      <c r="AG17" s="173"/>
      <c r="AH17" s="173"/>
      <c r="AI17" s="173"/>
      <c r="AJ17" s="173"/>
      <c r="AK17" s="173"/>
      <c r="AL17" s="173"/>
    </row>
    <row r="18" spans="2:38">
      <c r="B18" s="252" t="str">
        <f t="shared" si="2"/>
        <v xml:space="preserve">Network Innovation </v>
      </c>
      <c r="C18" s="254" t="s">
        <v>7</v>
      </c>
      <c r="D18" s="175">
        <f t="shared" si="1"/>
        <v>-9.1216701032435283E-5</v>
      </c>
      <c r="E18" s="176">
        <f t="shared" si="1"/>
        <v>1.608124183659196E-4</v>
      </c>
      <c r="F18" s="176">
        <f t="shared" si="1"/>
        <v>5.4389647652756067E-4</v>
      </c>
      <c r="G18" s="176">
        <f t="shared" si="1"/>
        <v>-1.8081322217656403E-4</v>
      </c>
      <c r="H18" s="176">
        <f t="shared" si="1"/>
        <v>-2.5359443447458684E-4</v>
      </c>
      <c r="I18" s="176">
        <f t="shared" si="1"/>
        <v>1.3939731401648669E-3</v>
      </c>
      <c r="J18" s="176">
        <f t="shared" si="1"/>
        <v>-5.9029835976096164E-4</v>
      </c>
      <c r="K18" s="177">
        <f t="shared" si="1"/>
        <v>-4.4734456067631507E-4</v>
      </c>
      <c r="L18" s="173"/>
      <c r="M18" s="177">
        <f>AVERAGE(D56:INDEX(D56:K56,0,MATCH('RFPR cover'!$C$7,$D$6:$K$6,0)))/AVERAGE($D$65:INDEX($D$65:$K$65,0,MATCH('RFPR cover'!$C$7,$D$6:$K$6,0)))</f>
        <v>2.7936003123225418E-4</v>
      </c>
      <c r="N18" s="177">
        <f t="shared" si="3"/>
        <v>5.7491086349397558E-5</v>
      </c>
      <c r="S18" s="173"/>
      <c r="T18" s="173"/>
      <c r="AB18" s="173"/>
      <c r="AC18" s="173"/>
      <c r="AD18" s="173"/>
      <c r="AE18" s="173"/>
      <c r="AF18" s="173"/>
      <c r="AG18" s="173"/>
      <c r="AH18" s="173"/>
      <c r="AI18" s="173"/>
      <c r="AJ18" s="173"/>
      <c r="AK18" s="173"/>
      <c r="AL18" s="173"/>
    </row>
    <row r="19" spans="2:38">
      <c r="B19" s="252" t="str">
        <f>B57</f>
        <v>Penalties and fines</v>
      </c>
      <c r="C19" s="254" t="s">
        <v>7</v>
      </c>
      <c r="D19" s="185">
        <f t="shared" si="1"/>
        <v>-5.4765410543402642E-6</v>
      </c>
      <c r="E19" s="186">
        <f t="shared" si="1"/>
        <v>-3.7809451736045379E-6</v>
      </c>
      <c r="F19" s="186">
        <f t="shared" si="1"/>
        <v>-6.0791530788818973E-6</v>
      </c>
      <c r="G19" s="186">
        <f t="shared" si="1"/>
        <v>-3.3170344562995835E-6</v>
      </c>
      <c r="H19" s="186">
        <f t="shared" si="1"/>
        <v>-6.4218604927718085E-6</v>
      </c>
      <c r="I19" s="186">
        <f t="shared" si="1"/>
        <v>-6.8759371253212868E-6</v>
      </c>
      <c r="J19" s="186">
        <f t="shared" si="1"/>
        <v>-4.4026812602939564E-6</v>
      </c>
      <c r="K19" s="187">
        <f t="shared" si="1"/>
        <v>-4.0940308387397591E-6</v>
      </c>
      <c r="L19" s="173"/>
      <c r="M19" s="187">
        <f>AVERAGE(D57:INDEX(D57:K57,0,MATCH('RFPR cover'!$C$7,$D$6:$K$6,0)))/AVERAGE($D$65:INDEX($D$65:$K$65,0,MATCH('RFPR cover'!$C$7,$D$6:$K$6,0)))</f>
        <v>-5.3624734026272615E-6</v>
      </c>
      <c r="N19" s="187">
        <f t="shared" si="3"/>
        <v>-5.0512845114824179E-6</v>
      </c>
      <c r="S19" s="173"/>
      <c r="T19" s="173"/>
      <c r="AB19" s="173"/>
      <c r="AC19" s="173"/>
      <c r="AD19" s="173"/>
      <c r="AE19" s="173"/>
      <c r="AF19" s="173"/>
      <c r="AG19" s="173"/>
      <c r="AH19" s="173"/>
      <c r="AI19" s="173"/>
      <c r="AJ19" s="173"/>
      <c r="AK19" s="173"/>
      <c r="AL19" s="173"/>
    </row>
    <row r="20" spans="2:38">
      <c r="B20" s="253" t="str">
        <f>B58</f>
        <v>RoRE - Operational performance</v>
      </c>
      <c r="C20" s="254" t="s">
        <v>7</v>
      </c>
      <c r="D20" s="188">
        <f t="shared" ref="D20:K20" si="4">SUM(D10:D19)</f>
        <v>9.9543285947930757E-2</v>
      </c>
      <c r="E20" s="189">
        <f t="shared" si="4"/>
        <v>7.1360025460049992E-2</v>
      </c>
      <c r="F20" s="189">
        <f t="shared" si="4"/>
        <v>5.3178569980179308E-2</v>
      </c>
      <c r="G20" s="189">
        <f t="shared" si="4"/>
        <v>0.12379157625818511</v>
      </c>
      <c r="H20" s="189">
        <f t="shared" si="4"/>
        <v>0.10254749946217089</v>
      </c>
      <c r="I20" s="189">
        <f t="shared" si="4"/>
        <v>0.10528827596102</v>
      </c>
      <c r="J20" s="189">
        <f t="shared" si="4"/>
        <v>7.5744217221900279E-2</v>
      </c>
      <c r="K20" s="190">
        <f t="shared" si="4"/>
        <v>7.527445886555495E-2</v>
      </c>
      <c r="L20" s="174"/>
      <c r="M20" s="190">
        <f>SUM(M10:M19)</f>
        <v>9.3189868264266881E-2</v>
      </c>
      <c r="N20" s="190">
        <f>SUM(N10:N19)</f>
        <v>8.8264513611113329E-2</v>
      </c>
      <c r="S20" s="173"/>
      <c r="T20" s="173"/>
      <c r="AB20" s="173"/>
      <c r="AC20" s="173"/>
      <c r="AD20" s="173"/>
      <c r="AE20" s="173"/>
      <c r="AF20" s="173"/>
      <c r="AG20" s="173"/>
      <c r="AH20" s="173"/>
      <c r="AI20" s="173"/>
      <c r="AJ20" s="173"/>
      <c r="AK20" s="173"/>
      <c r="AL20" s="173"/>
    </row>
    <row r="21" spans="2:38">
      <c r="B21" s="252" t="str">
        <f>B59</f>
        <v>Debt performance - at notional gearing</v>
      </c>
      <c r="C21" s="254" t="s">
        <v>7</v>
      </c>
      <c r="D21" s="175">
        <f>(D59)/D$65</f>
        <v>-1.0820941113357125E-2</v>
      </c>
      <c r="E21" s="176">
        <f t="shared" ref="E21:K21" si="5">(E59)/E$65</f>
        <v>-1.4262176268207357E-3</v>
      </c>
      <c r="F21" s="176">
        <f t="shared" si="5"/>
        <v>1.7112357671417031E-2</v>
      </c>
      <c r="G21" s="176">
        <f t="shared" si="5"/>
        <v>1.0979034630103579E-2</v>
      </c>
      <c r="H21" s="176">
        <f t="shared" si="5"/>
        <v>-1.1741219386669228E-3</v>
      </c>
      <c r="I21" s="176">
        <f t="shared" si="5"/>
        <v>-2.1507324976141828E-2</v>
      </c>
      <c r="J21" s="176">
        <f t="shared" si="5"/>
        <v>-1.4822661917362976E-2</v>
      </c>
      <c r="K21" s="177">
        <f t="shared" si="5"/>
        <v>-1.3006182383447234E-2</v>
      </c>
      <c r="L21" s="173"/>
      <c r="M21" s="177">
        <f>AVERAGE(D59:INDEX(D59:K59,0,MATCH('RFPR cover'!$C$7,$D$6:$K$6,0)))/AVERAGE($D$65:INDEX($D$65:$K$65,0,MATCH('RFPR cover'!$C$7,$D$6:$K$6,0)))</f>
        <v>-1.2948953537418512E-3</v>
      </c>
      <c r="N21" s="177">
        <f>AVERAGE(D59:K59)/AVERAGE($D$65:$K$65)</f>
        <v>-4.8040299387116453E-3</v>
      </c>
      <c r="S21" s="173"/>
      <c r="T21" s="173"/>
      <c r="AB21" s="173"/>
      <c r="AC21" s="173"/>
      <c r="AD21" s="173"/>
      <c r="AE21" s="173"/>
      <c r="AF21" s="173"/>
      <c r="AG21" s="173"/>
      <c r="AH21" s="173"/>
      <c r="AI21" s="173"/>
      <c r="AJ21" s="173"/>
      <c r="AK21" s="173"/>
      <c r="AL21" s="173"/>
    </row>
    <row r="22" spans="2:38">
      <c r="B22" s="252" t="str">
        <f>B61</f>
        <v>Tax performance - at notional gearing</v>
      </c>
      <c r="C22" s="254" t="s">
        <v>7</v>
      </c>
      <c r="D22" s="175">
        <f>(D61)/D$65</f>
        <v>2.9729498116306304E-4</v>
      </c>
      <c r="E22" s="176">
        <f t="shared" ref="E22:K22" si="6">(E61)/E$65</f>
        <v>1.3583482412281678E-2</v>
      </c>
      <c r="F22" s="176">
        <f t="shared" si="6"/>
        <v>-7.1465866912924147E-3</v>
      </c>
      <c r="G22" s="176">
        <f t="shared" si="6"/>
        <v>-1.8045237653250992E-4</v>
      </c>
      <c r="H22" s="176">
        <f t="shared" si="6"/>
        <v>-7.3071042097568647E-3</v>
      </c>
      <c r="I22" s="176">
        <f t="shared" si="6"/>
        <v>-1.0145063490540398E-2</v>
      </c>
      <c r="J22" s="176">
        <f t="shared" si="6"/>
        <v>-2.6529166999375046E-3</v>
      </c>
      <c r="K22" s="177">
        <f t="shared" si="6"/>
        <v>-2.0721199436533944E-3</v>
      </c>
      <c r="L22" s="173"/>
      <c r="M22" s="177">
        <f>AVERAGE(D61:INDEX(D61:K61,0,MATCH('RFPR cover'!$C$7,$D$6:$K$6,0)))/AVERAGE($D$65:INDEX($D$65:$K$65,0,MATCH('RFPR cover'!$C$7,$D$6:$K$6,0)))</f>
        <v>-2.1538861489648416E-3</v>
      </c>
      <c r="N22" s="177">
        <f>AVERAGE(D61:K61)/AVERAGE($D$65:$K$65)</f>
        <v>-2.2102753352643938E-3</v>
      </c>
      <c r="S22" s="173"/>
      <c r="T22" s="173"/>
      <c r="AB22" s="173"/>
      <c r="AC22" s="173"/>
      <c r="AD22" s="173"/>
      <c r="AE22" s="173"/>
      <c r="AF22" s="173"/>
      <c r="AG22" s="173"/>
      <c r="AH22" s="173"/>
      <c r="AI22" s="173"/>
      <c r="AJ22" s="173"/>
      <c r="AK22" s="173"/>
      <c r="AL22" s="173"/>
    </row>
    <row r="23" spans="2:38">
      <c r="B23" s="253" t="str">
        <f>B63</f>
        <v>RoRE - including financing and tax</v>
      </c>
      <c r="C23" s="254" t="s">
        <v>7</v>
      </c>
      <c r="D23" s="191">
        <f>SUM(D20:D22)</f>
        <v>8.9019639815736684E-2</v>
      </c>
      <c r="E23" s="192">
        <f t="shared" ref="E23:K23" si="7">SUM(E20:E22)</f>
        <v>8.3517290245510925E-2</v>
      </c>
      <c r="F23" s="192">
        <f t="shared" si="7"/>
        <v>6.3144340960303927E-2</v>
      </c>
      <c r="G23" s="192">
        <f t="shared" si="7"/>
        <v>0.13459015851175618</v>
      </c>
      <c r="H23" s="192">
        <f t="shared" si="7"/>
        <v>9.4066273313747104E-2</v>
      </c>
      <c r="I23" s="192">
        <f t="shared" si="7"/>
        <v>7.3635887494337776E-2</v>
      </c>
      <c r="J23" s="192">
        <f t="shared" si="7"/>
        <v>5.8268638604599798E-2</v>
      </c>
      <c r="K23" s="193">
        <f t="shared" si="7"/>
        <v>6.0196156538454317E-2</v>
      </c>
      <c r="L23" s="174"/>
      <c r="M23" s="193">
        <f>SUM(M20:M22)</f>
        <v>8.9741086761560188E-2</v>
      </c>
      <c r="N23" s="193">
        <f>SUM(N20:N22)</f>
        <v>8.1250208337137281E-2</v>
      </c>
      <c r="S23" s="173"/>
      <c r="T23" s="173"/>
      <c r="AB23" s="173"/>
      <c r="AC23" s="173"/>
      <c r="AD23" s="173"/>
      <c r="AE23" s="173"/>
      <c r="AF23" s="173"/>
      <c r="AG23" s="173"/>
      <c r="AH23" s="173"/>
      <c r="AI23" s="173"/>
      <c r="AJ23" s="173"/>
      <c r="AK23" s="173"/>
      <c r="AL23" s="173"/>
    </row>
    <row r="24" spans="2:38">
      <c r="S24" s="173"/>
      <c r="T24" s="173"/>
      <c r="AB24" s="173"/>
      <c r="AC24" s="173"/>
      <c r="AD24" s="173"/>
      <c r="AE24" s="173"/>
      <c r="AF24" s="173"/>
      <c r="AG24" s="173"/>
      <c r="AH24" s="173"/>
      <c r="AI24" s="173"/>
      <c r="AJ24" s="173"/>
      <c r="AK24" s="173"/>
      <c r="AL24" s="173"/>
    </row>
    <row r="25" spans="2:38">
      <c r="S25" s="173"/>
      <c r="T25" s="173"/>
      <c r="AB25" s="173"/>
      <c r="AC25" s="173"/>
      <c r="AD25" s="173"/>
      <c r="AE25" s="173"/>
      <c r="AF25" s="173"/>
      <c r="AG25" s="173"/>
      <c r="AH25" s="173"/>
      <c r="AI25" s="173"/>
      <c r="AJ25" s="173"/>
      <c r="AK25" s="173"/>
      <c r="AL25" s="173"/>
    </row>
    <row r="26" spans="2:38" s="31" customFormat="1">
      <c r="B26" s="469"/>
      <c r="C26" s="365"/>
      <c r="S26" s="173"/>
      <c r="T26" s="173"/>
      <c r="AB26" s="173"/>
      <c r="AC26" s="173"/>
      <c r="AD26" s="173"/>
      <c r="AE26" s="173"/>
      <c r="AF26" s="173"/>
      <c r="AG26" s="173"/>
      <c r="AH26" s="173"/>
      <c r="AI26" s="173"/>
      <c r="AJ26" s="173"/>
      <c r="AK26" s="173"/>
      <c r="AL26" s="173"/>
    </row>
    <row r="27" spans="2:38">
      <c r="B27" s="530" t="s">
        <v>216</v>
      </c>
      <c r="C27" s="423"/>
      <c r="D27" s="217"/>
      <c r="E27" s="217"/>
      <c r="F27" s="217"/>
      <c r="G27" s="217"/>
      <c r="H27" s="217"/>
      <c r="I27" s="217"/>
      <c r="J27" s="217"/>
      <c r="K27" s="217"/>
      <c r="L27" s="531"/>
      <c r="M27" s="217"/>
      <c r="N27" s="217"/>
      <c r="O27" s="217"/>
      <c r="S27" s="173"/>
      <c r="T27" s="173"/>
      <c r="AB27" s="173"/>
      <c r="AC27" s="173"/>
      <c r="AD27" s="173"/>
      <c r="AE27" s="173"/>
      <c r="AF27" s="173"/>
      <c r="AG27" s="173"/>
      <c r="AH27" s="173"/>
      <c r="AI27" s="173"/>
      <c r="AJ27" s="173"/>
      <c r="AK27" s="173"/>
      <c r="AL27" s="173"/>
    </row>
    <row r="28" spans="2:38">
      <c r="B28" s="197"/>
      <c r="L28" s="48"/>
      <c r="S28" s="173"/>
      <c r="T28" s="173"/>
      <c r="AB28" s="173"/>
      <c r="AC28" s="173"/>
      <c r="AD28" s="173"/>
      <c r="AE28" s="173"/>
      <c r="AF28" s="173"/>
      <c r="AG28" s="173"/>
      <c r="AH28" s="173"/>
      <c r="AI28" s="173"/>
      <c r="AJ28" s="173"/>
      <c r="AK28" s="173"/>
      <c r="AL28" s="173"/>
    </row>
    <row r="29" spans="2:38">
      <c r="B29" s="252" t="s">
        <v>215</v>
      </c>
      <c r="C29" s="254" t="s">
        <v>7</v>
      </c>
      <c r="D29" s="175">
        <f t="shared" ref="D29:K38" si="8">D48/D$66</f>
        <v>5.1397151316431834E-2</v>
      </c>
      <c r="E29" s="176">
        <f t="shared" si="8"/>
        <v>5.4920790304626092E-2</v>
      </c>
      <c r="F29" s="176">
        <f t="shared" si="8"/>
        <v>5.4980963763460428E-2</v>
      </c>
      <c r="G29" s="176">
        <f t="shared" si="8"/>
        <v>5.5365782262283753E-2</v>
      </c>
      <c r="H29" s="176">
        <f t="shared" si="8"/>
        <v>5.699657747174354E-2</v>
      </c>
      <c r="I29" s="176">
        <f t="shared" si="8"/>
        <v>5.7459673164042394E-2</v>
      </c>
      <c r="J29" s="176">
        <f t="shared" si="8"/>
        <v>4.9686909352515962E-2</v>
      </c>
      <c r="K29" s="177">
        <f t="shared" si="8"/>
        <v>4.5883387251272355E-2</v>
      </c>
      <c r="L29" s="173"/>
      <c r="M29" s="508">
        <f>AVERAGE(D48:INDEX(D48:K48,0,MATCH('RFPR cover'!$C$7,$D$6:$K$6,0)))/AVERAGE($D$66:INDEX($D$66:$K$66,0,MATCH('RFPR cover'!$C$7,$D$6:$K$6,0)))</f>
        <v>5.5236652932316284E-2</v>
      </c>
      <c r="N29" s="508">
        <f>AVERAGE(D48:K48)/AVERAGE($D$66:$K$66)</f>
        <v>5.2897990177738434E-2</v>
      </c>
      <c r="P29" s="322"/>
      <c r="S29" s="173"/>
      <c r="T29" s="173"/>
      <c r="AB29" s="173"/>
      <c r="AC29" s="173"/>
      <c r="AD29" s="173"/>
      <c r="AE29" s="173"/>
      <c r="AF29" s="173"/>
      <c r="AG29" s="173"/>
      <c r="AH29" s="173"/>
      <c r="AI29" s="173"/>
      <c r="AJ29" s="173"/>
      <c r="AK29" s="173"/>
      <c r="AL29" s="173"/>
    </row>
    <row r="30" spans="2:38">
      <c r="B30" s="252" t="str">
        <f t="shared" ref="B30:B37" si="9">B49</f>
        <v>Totex outperformance</v>
      </c>
      <c r="C30" s="254" t="s">
        <v>7</v>
      </c>
      <c r="D30" s="175">
        <f t="shared" si="8"/>
        <v>5.5964258829590083E-3</v>
      </c>
      <c r="E30" s="176">
        <f t="shared" si="8"/>
        <v>-1.4864204256463292E-2</v>
      </c>
      <c r="F30" s="176">
        <f t="shared" si="8"/>
        <v>-2.4661393357795169E-2</v>
      </c>
      <c r="G30" s="176">
        <f t="shared" si="8"/>
        <v>3.1831478729821137E-2</v>
      </c>
      <c r="H30" s="176">
        <f t="shared" si="8"/>
        <v>1.1377514719624714E-2</v>
      </c>
      <c r="I30" s="176">
        <f t="shared" si="8"/>
        <v>1.9920592910842617E-2</v>
      </c>
      <c r="J30" s="176">
        <f t="shared" si="8"/>
        <v>-5.4060009407837376E-3</v>
      </c>
      <c r="K30" s="177">
        <f t="shared" si="8"/>
        <v>-4.9441897781071732E-3</v>
      </c>
      <c r="L30" s="173"/>
      <c r="M30" s="177">
        <f>AVERAGE(D49:INDEX(D49:K49,0,MATCH('RFPR cover'!$C$7,$D$6:$K$6,0)))/AVERAGE($D$66:INDEX($D$66:$K$66,0,MATCH('RFPR cover'!$C$7,$D$6:$K$6,0)))</f>
        <v>5.3086137852818476E-3</v>
      </c>
      <c r="N30" s="177">
        <f t="shared" ref="N30:N38" si="10">AVERAGE(D49:K49)/AVERAGE($D$66:$K$66)</f>
        <v>2.0730316133915653E-3</v>
      </c>
      <c r="S30" s="173"/>
      <c r="T30" s="173"/>
      <c r="AB30" s="173"/>
      <c r="AC30" s="173"/>
      <c r="AD30" s="173"/>
      <c r="AE30" s="173"/>
      <c r="AF30" s="173"/>
      <c r="AG30" s="173"/>
      <c r="AH30" s="173"/>
      <c r="AI30" s="173"/>
      <c r="AJ30" s="173"/>
      <c r="AK30" s="173"/>
      <c r="AL30" s="173"/>
    </row>
    <row r="31" spans="2:38">
      <c r="B31" s="252" t="str">
        <f t="shared" si="9"/>
        <v>IQI Reward</v>
      </c>
      <c r="C31" s="254" t="s">
        <v>7</v>
      </c>
      <c r="D31" s="175">
        <f t="shared" si="8"/>
        <v>8.1401313701671175E-3</v>
      </c>
      <c r="E31" s="176">
        <f t="shared" si="8"/>
        <v>8.2880765530661277E-3</v>
      </c>
      <c r="F31" s="176">
        <f t="shared" si="8"/>
        <v>7.8863610128502414E-3</v>
      </c>
      <c r="G31" s="176">
        <f t="shared" si="8"/>
        <v>7.8123093621162536E-3</v>
      </c>
      <c r="H31" s="176">
        <f t="shared" si="8"/>
        <v>7.6286845592100439E-3</v>
      </c>
      <c r="I31" s="176">
        <f t="shared" si="8"/>
        <v>7.5238307458387254E-3</v>
      </c>
      <c r="J31" s="176">
        <f t="shared" si="8"/>
        <v>6.2655197433508433E-3</v>
      </c>
      <c r="K31" s="177">
        <f t="shared" si="8"/>
        <v>5.8037716206308975E-3</v>
      </c>
      <c r="L31" s="173"/>
      <c r="M31" s="177">
        <f>AVERAGE(D50:INDEX(D50:K50,0,MATCH('RFPR cover'!$C$7,$D$6:$K$6,0)))/AVERAGE($D$66:INDEX($D$66:$K$66,0,MATCH('RFPR cover'!$C$7,$D$6:$K$6,0)))</f>
        <v>7.8709292763215859E-3</v>
      </c>
      <c r="N31" s="177">
        <f t="shared" si="10"/>
        <v>7.2990879818364222E-3</v>
      </c>
      <c r="S31" s="173"/>
      <c r="T31" s="173"/>
      <c r="AB31" s="173"/>
      <c r="AC31" s="173"/>
      <c r="AD31" s="173"/>
      <c r="AE31" s="173"/>
      <c r="AF31" s="173"/>
      <c r="AG31" s="173"/>
      <c r="AH31" s="173"/>
      <c r="AI31" s="173"/>
      <c r="AJ31" s="173"/>
      <c r="AK31" s="173"/>
      <c r="AL31" s="173"/>
    </row>
    <row r="32" spans="2:38">
      <c r="B32" s="252" t="str">
        <f t="shared" si="9"/>
        <v>Broad measure of customer service</v>
      </c>
      <c r="C32" s="254" t="s">
        <v>7</v>
      </c>
      <c r="D32" s="175">
        <f t="shared" si="8"/>
        <v>5.7622224025656215E-3</v>
      </c>
      <c r="E32" s="176">
        <f t="shared" si="8"/>
        <v>5.9407792035310785E-3</v>
      </c>
      <c r="F32" s="176">
        <f t="shared" si="8"/>
        <v>5.7579639375070369E-3</v>
      </c>
      <c r="G32" s="176">
        <f t="shared" si="8"/>
        <v>5.6860522730248714E-3</v>
      </c>
      <c r="H32" s="176">
        <f t="shared" si="8"/>
        <v>5.8979056536963359E-3</v>
      </c>
      <c r="I32" s="176">
        <f t="shared" si="8"/>
        <v>5.7506763340186727E-3</v>
      </c>
      <c r="J32" s="176">
        <f t="shared" si="8"/>
        <v>4.7932222844342225E-3</v>
      </c>
      <c r="K32" s="177">
        <f t="shared" si="8"/>
        <v>4.2425626647773973E-3</v>
      </c>
      <c r="L32" s="173"/>
      <c r="M32" s="177">
        <f>AVERAGE(D51:INDEX(D51:K51,0,MATCH('RFPR cover'!$C$7,$D$6:$K$6,0)))/AVERAGE($D$66:INDEX($D$66:$K$66,0,MATCH('RFPR cover'!$C$7,$D$6:$K$6,0)))</f>
        <v>5.79802249430263E-3</v>
      </c>
      <c r="N32" s="177">
        <f t="shared" si="10"/>
        <v>5.3972200447782916E-3</v>
      </c>
      <c r="S32" s="173"/>
      <c r="T32" s="173"/>
      <c r="AB32" s="173"/>
      <c r="AC32" s="173"/>
      <c r="AD32" s="173"/>
      <c r="AE32" s="173"/>
      <c r="AF32" s="173"/>
      <c r="AG32" s="173"/>
      <c r="AH32" s="173"/>
      <c r="AI32" s="173"/>
      <c r="AJ32" s="173"/>
      <c r="AK32" s="173"/>
      <c r="AL32" s="173"/>
    </row>
    <row r="33" spans="2:38">
      <c r="B33" s="252" t="str">
        <f t="shared" si="9"/>
        <v>Interruptions-related quality of service</v>
      </c>
      <c r="C33" s="254" t="s">
        <v>7</v>
      </c>
      <c r="D33" s="175">
        <f t="shared" si="8"/>
        <v>7.382257929906052E-3</v>
      </c>
      <c r="E33" s="176">
        <f t="shared" si="8"/>
        <v>5.2672175698649506E-3</v>
      </c>
      <c r="F33" s="176">
        <f t="shared" si="8"/>
        <v>-5.3995689412079419E-4</v>
      </c>
      <c r="G33" s="176">
        <f t="shared" si="8"/>
        <v>4.805817015035168E-3</v>
      </c>
      <c r="H33" s="176">
        <f t="shared" si="8"/>
        <v>7.9185350423750332E-3</v>
      </c>
      <c r="I33" s="176">
        <f t="shared" si="8"/>
        <v>1.5960870787272675E-3</v>
      </c>
      <c r="J33" s="176">
        <f t="shared" si="8"/>
        <v>2.7485182107751562E-3</v>
      </c>
      <c r="K33" s="177">
        <f t="shared" si="8"/>
        <v>2.2616710413554657E-3</v>
      </c>
      <c r="L33" s="173"/>
      <c r="M33" s="177">
        <f>AVERAGE(D52:INDEX(D52:K52,0,MATCH('RFPR cover'!$C$7,$D$6:$K$6,0)))/AVERAGE($D$66:INDEX($D$66:$K$66,0,MATCH('RFPR cover'!$C$7,$D$6:$K$6,0)))</f>
        <v>4.3820508549684764E-3</v>
      </c>
      <c r="N33" s="177">
        <f t="shared" si="10"/>
        <v>3.7974035575444507E-3</v>
      </c>
      <c r="S33" s="173"/>
      <c r="T33" s="173"/>
      <c r="AB33" s="173"/>
      <c r="AC33" s="173"/>
      <c r="AD33" s="173"/>
      <c r="AE33" s="173"/>
      <c r="AF33" s="173"/>
      <c r="AG33" s="173"/>
      <c r="AH33" s="173"/>
      <c r="AI33" s="173"/>
      <c r="AJ33" s="173"/>
      <c r="AK33" s="173"/>
      <c r="AL33" s="173"/>
    </row>
    <row r="34" spans="2:38">
      <c r="B34" s="252" t="str">
        <f t="shared" si="9"/>
        <v>Incentive on connections engagement</v>
      </c>
      <c r="C34" s="254" t="s">
        <v>7</v>
      </c>
      <c r="D34" s="175">
        <f t="shared" si="8"/>
        <v>0</v>
      </c>
      <c r="E34" s="176">
        <f t="shared" si="8"/>
        <v>0</v>
      </c>
      <c r="F34" s="176">
        <f t="shared" si="8"/>
        <v>0</v>
      </c>
      <c r="G34" s="176">
        <f t="shared" si="8"/>
        <v>0</v>
      </c>
      <c r="H34" s="176">
        <f t="shared" si="8"/>
        <v>0</v>
      </c>
      <c r="I34" s="176">
        <f t="shared" si="8"/>
        <v>0</v>
      </c>
      <c r="J34" s="176">
        <f t="shared" si="8"/>
        <v>0</v>
      </c>
      <c r="K34" s="177">
        <f t="shared" si="8"/>
        <v>0</v>
      </c>
      <c r="L34" s="173"/>
      <c r="M34" s="177">
        <f>AVERAGE(D53:INDEX(D53:K53,0,MATCH('RFPR cover'!$C$7,$D$6:$K$6,0)))/AVERAGE($D$66:INDEX($D$66:$K$66,0,MATCH('RFPR cover'!$C$7,$D$6:$K$6,0)))</f>
        <v>0</v>
      </c>
      <c r="N34" s="177">
        <f t="shared" si="10"/>
        <v>0</v>
      </c>
      <c r="S34" s="173"/>
      <c r="T34" s="173"/>
      <c r="AB34" s="173"/>
      <c r="AC34" s="173"/>
      <c r="AD34" s="173"/>
      <c r="AE34" s="173"/>
      <c r="AF34" s="173"/>
      <c r="AG34" s="173"/>
      <c r="AH34" s="173"/>
      <c r="AI34" s="173"/>
      <c r="AJ34" s="173"/>
      <c r="AK34" s="173"/>
      <c r="AL34" s="173"/>
    </row>
    <row r="35" spans="2:38">
      <c r="B35" s="252" t="str">
        <f t="shared" si="9"/>
        <v>Time to Connect Incentive</v>
      </c>
      <c r="C35" s="254" t="s">
        <v>7</v>
      </c>
      <c r="D35" s="175">
        <f t="shared" si="8"/>
        <v>1.7407343416492743E-3</v>
      </c>
      <c r="E35" s="176">
        <f t="shared" si="8"/>
        <v>1.4868695566363404E-3</v>
      </c>
      <c r="F35" s="176">
        <f t="shared" si="8"/>
        <v>1.798550824051218E-3</v>
      </c>
      <c r="G35" s="176">
        <f t="shared" si="8"/>
        <v>1.7487474313470296E-3</v>
      </c>
      <c r="H35" s="176">
        <f t="shared" si="8"/>
        <v>1.7382284366194681E-3</v>
      </c>
      <c r="I35" s="176">
        <f t="shared" si="8"/>
        <v>1.0323862164100294E-3</v>
      </c>
      <c r="J35" s="176">
        <f t="shared" si="8"/>
        <v>1.1781580965654797E-3</v>
      </c>
      <c r="K35" s="177">
        <f t="shared" si="8"/>
        <v>1.0428077933973606E-3</v>
      </c>
      <c r="L35" s="173"/>
      <c r="M35" s="177">
        <f>AVERAGE(D54:INDEX(D54:K54,0,MATCH('RFPR cover'!$C$7,$D$6:$K$6,0)))/AVERAGE($D$66:INDEX($D$66:$K$66,0,MATCH('RFPR cover'!$C$7,$D$6:$K$6,0)))</f>
        <v>1.5869933441641124E-3</v>
      </c>
      <c r="N35" s="177">
        <f t="shared" si="10"/>
        <v>1.4384559201632535E-3</v>
      </c>
      <c r="S35" s="173"/>
      <c r="T35" s="173"/>
      <c r="AB35" s="173"/>
      <c r="AC35" s="173"/>
      <c r="AD35" s="173"/>
      <c r="AE35" s="173"/>
      <c r="AF35" s="173"/>
      <c r="AG35" s="173"/>
      <c r="AH35" s="173"/>
      <c r="AI35" s="173"/>
      <c r="AJ35" s="173"/>
      <c r="AK35" s="173"/>
      <c r="AL35" s="173"/>
    </row>
    <row r="36" spans="2:38">
      <c r="B36" s="252" t="str">
        <f t="shared" si="9"/>
        <v>Losses discretionary reward scheme</v>
      </c>
      <c r="C36" s="254" t="s">
        <v>7</v>
      </c>
      <c r="D36" s="175">
        <f t="shared" si="8"/>
        <v>0</v>
      </c>
      <c r="E36" s="176">
        <f t="shared" si="8"/>
        <v>6.2419534578734727E-5</v>
      </c>
      <c r="F36" s="176">
        <f t="shared" si="8"/>
        <v>0</v>
      </c>
      <c r="G36" s="176">
        <f t="shared" si="8"/>
        <v>0</v>
      </c>
      <c r="H36" s="176">
        <f t="shared" si="8"/>
        <v>0</v>
      </c>
      <c r="I36" s="176">
        <f t="shared" si="8"/>
        <v>0</v>
      </c>
      <c r="J36" s="176">
        <f t="shared" si="8"/>
        <v>0</v>
      </c>
      <c r="K36" s="177">
        <f t="shared" si="8"/>
        <v>0</v>
      </c>
      <c r="L36" s="173"/>
      <c r="M36" s="177">
        <f>AVERAGE(D55:INDEX(D55:K55,0,MATCH('RFPR cover'!$C$7,$D$6:$K$6,0)))/AVERAGE($D$66:INDEX($D$66:$K$66,0,MATCH('RFPR cover'!$C$7,$D$6:$K$6,0)))</f>
        <v>9.88890819892946E-6</v>
      </c>
      <c r="N36" s="177">
        <f t="shared" si="10"/>
        <v>6.8327970630410024E-6</v>
      </c>
      <c r="S36" s="173"/>
      <c r="T36" s="173"/>
      <c r="AB36" s="173"/>
      <c r="AC36" s="173"/>
      <c r="AD36" s="173"/>
      <c r="AE36" s="173"/>
      <c r="AF36" s="173"/>
      <c r="AG36" s="173"/>
      <c r="AH36" s="173"/>
      <c r="AI36" s="173"/>
      <c r="AJ36" s="173"/>
      <c r="AK36" s="173"/>
      <c r="AL36" s="173"/>
    </row>
    <row r="37" spans="2:38">
      <c r="B37" s="252" t="str">
        <f t="shared" si="9"/>
        <v xml:space="preserve">Network Innovation </v>
      </c>
      <c r="C37" s="254" t="s">
        <v>7</v>
      </c>
      <c r="D37" s="175">
        <f t="shared" si="8"/>
        <v>-7.3254352899215628E-5</v>
      </c>
      <c r="E37" s="176">
        <f t="shared" si="8"/>
        <v>1.3799914230397612E-4</v>
      </c>
      <c r="F37" s="176">
        <f t="shared" si="8"/>
        <v>4.6724925729743155E-4</v>
      </c>
      <c r="G37" s="176">
        <f t="shared" si="8"/>
        <v>-1.5641977326827467E-4</v>
      </c>
      <c r="H37" s="176">
        <f t="shared" si="8"/>
        <v>-2.2584398173334028E-4</v>
      </c>
      <c r="I37" s="176">
        <f t="shared" si="8"/>
        <v>1.251519391145736E-3</v>
      </c>
      <c r="J37" s="176">
        <f t="shared" si="8"/>
        <v>-4.5828282956846499E-4</v>
      </c>
      <c r="K37" s="177">
        <f t="shared" si="8"/>
        <v>-3.2071380800408858E-4</v>
      </c>
      <c r="L37" s="173"/>
      <c r="M37" s="177">
        <f>AVERAGE(D56:INDEX(D56:K56,0,MATCH('RFPR cover'!$C$7,$D$6:$K$6,0)))/AVERAGE($D$66:INDEX($D$66:$K$66,0,MATCH('RFPR cover'!$C$7,$D$6:$K$6,0)))</f>
        <v>2.4110801700526658E-4</v>
      </c>
      <c r="N37" s="177">
        <f t="shared" si="10"/>
        <v>4.7518170640905379E-5</v>
      </c>
      <c r="S37" s="173"/>
      <c r="T37" s="173"/>
      <c r="AB37" s="173"/>
      <c r="AC37" s="173"/>
      <c r="AD37" s="173"/>
      <c r="AE37" s="173"/>
      <c r="AF37" s="173"/>
      <c r="AG37" s="173"/>
      <c r="AH37" s="173"/>
      <c r="AI37" s="173"/>
      <c r="AJ37" s="173"/>
      <c r="AK37" s="173"/>
      <c r="AL37" s="173"/>
    </row>
    <row r="38" spans="2:38">
      <c r="B38" s="252" t="str">
        <f>B57</f>
        <v>Penalties and fines</v>
      </c>
      <c r="C38" s="254" t="s">
        <v>7</v>
      </c>
      <c r="D38" s="185">
        <f t="shared" si="8"/>
        <v>-4.3981032696965264E-6</v>
      </c>
      <c r="E38" s="186">
        <f t="shared" si="8"/>
        <v>-3.2445702661378577E-6</v>
      </c>
      <c r="F38" s="186">
        <f t="shared" si="8"/>
        <v>-5.2224639866021015E-6</v>
      </c>
      <c r="G38" s="186">
        <f t="shared" si="8"/>
        <v>-2.8695344916246174E-6</v>
      </c>
      <c r="H38" s="186">
        <f t="shared" si="8"/>
        <v>-5.7191260795155858E-6</v>
      </c>
      <c r="I38" s="186">
        <f t="shared" si="8"/>
        <v>-6.1732671862104123E-6</v>
      </c>
      <c r="J38" s="186">
        <f t="shared" si="8"/>
        <v>-3.418056635753852E-6</v>
      </c>
      <c r="K38" s="187">
        <f t="shared" si="8"/>
        <v>-2.9351250373835587E-6</v>
      </c>
      <c r="L38" s="173"/>
      <c r="M38" s="187">
        <f>AVERAGE(D57:INDEX(D57:K57,0,MATCH('RFPR cover'!$C$7,$D$6:$K$6,0)))/AVERAGE($D$66:INDEX($D$66:$K$66,0,MATCH('RFPR cover'!$C$7,$D$6:$K$6,0)))</f>
        <v>-4.6282044093703002E-6</v>
      </c>
      <c r="N38" s="187">
        <f t="shared" si="10"/>
        <v>-4.175043726146238E-6</v>
      </c>
      <c r="S38" s="173"/>
      <c r="T38" s="173"/>
      <c r="AB38" s="173"/>
      <c r="AC38" s="173"/>
      <c r="AD38" s="173"/>
      <c r="AE38" s="173"/>
      <c r="AF38" s="173"/>
      <c r="AG38" s="173"/>
      <c r="AH38" s="173"/>
      <c r="AI38" s="173"/>
      <c r="AJ38" s="173"/>
      <c r="AK38" s="173"/>
      <c r="AL38" s="173"/>
    </row>
    <row r="39" spans="2:38">
      <c r="B39" s="253" t="str">
        <f>B58</f>
        <v>RoRE - Operational performance</v>
      </c>
      <c r="C39" s="254" t="s">
        <v>7</v>
      </c>
      <c r="D39" s="188">
        <f t="shared" ref="D39:K39" si="11">SUM(D29:D38)</f>
        <v>7.9941270787509983E-2</v>
      </c>
      <c r="E39" s="189">
        <f t="shared" si="11"/>
        <v>6.1236703037877871E-2</v>
      </c>
      <c r="F39" s="189">
        <f t="shared" si="11"/>
        <v>4.5684516079263784E-2</v>
      </c>
      <c r="G39" s="189">
        <f t="shared" si="11"/>
        <v>0.10709089776586835</v>
      </c>
      <c r="H39" s="189">
        <f t="shared" si="11"/>
        <v>9.1325882775456307E-2</v>
      </c>
      <c r="I39" s="189">
        <f t="shared" si="11"/>
        <v>9.4528592573839221E-2</v>
      </c>
      <c r="J39" s="189">
        <f t="shared" si="11"/>
        <v>5.8804625860653693E-2</v>
      </c>
      <c r="K39" s="190">
        <f t="shared" si="11"/>
        <v>5.3966361660284838E-2</v>
      </c>
      <c r="L39" s="174"/>
      <c r="M39" s="190">
        <f>SUM(M29:M38)</f>
        <v>8.0429631408149765E-2</v>
      </c>
      <c r="N39" s="190">
        <f>SUM(N29:N38)</f>
        <v>7.2953365219430202E-2</v>
      </c>
      <c r="S39" s="173"/>
      <c r="T39" s="173"/>
      <c r="AB39" s="173"/>
      <c r="AC39" s="173"/>
      <c r="AD39" s="173"/>
      <c r="AE39" s="173"/>
      <c r="AF39" s="173"/>
      <c r="AG39" s="173"/>
      <c r="AH39" s="173"/>
      <c r="AI39" s="173"/>
      <c r="AJ39" s="173"/>
      <c r="AK39" s="173"/>
      <c r="AL39" s="173"/>
    </row>
    <row r="40" spans="2:38">
      <c r="B40" s="252" t="s">
        <v>457</v>
      </c>
      <c r="C40" s="254" t="s">
        <v>7</v>
      </c>
      <c r="D40" s="175">
        <f>(D59+D60)/D$66</f>
        <v>-3.5255455121658914E-3</v>
      </c>
      <c r="E40" s="176">
        <f t="shared" ref="E40:K40" si="12">(E59+E60)/E$66</f>
        <v>1.5861195870035794E-3</v>
      </c>
      <c r="F40" s="176">
        <f t="shared" si="12"/>
        <v>1.5936401597196108E-2</v>
      </c>
      <c r="G40" s="176">
        <f t="shared" si="12"/>
        <v>1.0787486869451994E-2</v>
      </c>
      <c r="H40" s="176">
        <f t="shared" si="12"/>
        <v>4.2400890320776598E-4</v>
      </c>
      <c r="I40" s="176">
        <f t="shared" si="12"/>
        <v>-1.7223697827736612E-2</v>
      </c>
      <c r="J40" s="176">
        <f t="shared" si="12"/>
        <v>-8.3459670957988334E-3</v>
      </c>
      <c r="K40" s="177">
        <f t="shared" si="12"/>
        <v>-6.3331796268621485E-3</v>
      </c>
      <c r="L40" s="173"/>
      <c r="M40" s="177">
        <f>(AVERAGE(D59:INDEX(D59:K59,0,MATCH('RFPR cover'!$C$7,$D$6:$K$6,0)))+AVERAGE(D60:INDEX(D60:K60,0,MATCH('RFPR cover'!$C$7,$D$6:$K$6,0))))/AVERAGE($D$66:INDEX($D$66:$K$66,0,MATCH('RFPR cover'!$C$7,$D$6:$K$6,0)))</f>
        <v>1.1989586861308544E-3</v>
      </c>
      <c r="N40" s="177">
        <f>(AVERAGE(D59:K59)+AVERAGE(D60:K60))/AVERAGE($D$66:$K$66)</f>
        <v>-1.4208721128937717E-3</v>
      </c>
      <c r="S40" s="173"/>
      <c r="T40" s="173"/>
      <c r="AB40" s="173"/>
      <c r="AC40" s="173"/>
      <c r="AD40" s="173"/>
      <c r="AE40" s="173"/>
      <c r="AF40" s="173"/>
      <c r="AG40" s="173"/>
      <c r="AH40" s="173"/>
      <c r="AI40" s="173"/>
      <c r="AJ40" s="173"/>
      <c r="AK40" s="173"/>
      <c r="AL40" s="173"/>
    </row>
    <row r="41" spans="2:38">
      <c r="B41" s="252" t="s">
        <v>458</v>
      </c>
      <c r="C41" s="254" t="s">
        <v>7</v>
      </c>
      <c r="D41" s="175">
        <f>(D61+D62)/D$66</f>
        <v>2.3875179894458911E-4</v>
      </c>
      <c r="E41" s="176">
        <f t="shared" ref="E41:K41" si="13">(E61+E62)/E$66</f>
        <v>1.1656493580804665E-2</v>
      </c>
      <c r="F41" s="176">
        <f t="shared" si="13"/>
        <v>-6.1394722485371353E-3</v>
      </c>
      <c r="G41" s="176">
        <f t="shared" si="13"/>
        <v>-1.5610760918453805E-4</v>
      </c>
      <c r="H41" s="176">
        <f t="shared" si="13"/>
        <v>-6.5074989247736028E-3</v>
      </c>
      <c r="I41" s="176">
        <f t="shared" si="13"/>
        <v>-9.1083130061704754E-3</v>
      </c>
      <c r="J41" s="176">
        <f t="shared" si="13"/>
        <v>-2.0596129935870401E-3</v>
      </c>
      <c r="K41" s="177">
        <f t="shared" si="13"/>
        <v>-1.4855606532145839E-3</v>
      </c>
      <c r="L41" s="173"/>
      <c r="M41" s="177">
        <f>(AVERAGE(D61:INDEX(D61:K61,0,MATCH('RFPR cover'!$C$7,$D$6:$K$6,0)))+AVERAGE(D62:INDEX(D62:K62,0,MATCH('RFPR cover'!$C$7,$D$6:$K$6,0))))/AVERAGE($D$66:INDEX($D$66:$K$66,0,MATCH('RFPR cover'!$C$7,$D$6:$K$6,0)))</f>
        <v>-1.8589603385327223E-3</v>
      </c>
      <c r="N41" s="177">
        <f>(AVERAGE(D61:K61)+AVERAGE(D62:K62))/AVERAGE($D$66:$K$66)</f>
        <v>-1.8268612964830221E-3</v>
      </c>
      <c r="S41" s="173"/>
      <c r="T41" s="173"/>
      <c r="AB41" s="173"/>
      <c r="AC41" s="173"/>
      <c r="AD41" s="173"/>
      <c r="AE41" s="173"/>
      <c r="AF41" s="173"/>
      <c r="AG41" s="173"/>
      <c r="AH41" s="173"/>
      <c r="AI41" s="173"/>
      <c r="AJ41" s="173"/>
      <c r="AK41" s="173"/>
      <c r="AL41" s="173"/>
    </row>
    <row r="42" spans="2:38">
      <c r="B42" s="253" t="str">
        <f>B63</f>
        <v>RoRE - including financing and tax</v>
      </c>
      <c r="C42" s="254" t="s">
        <v>7</v>
      </c>
      <c r="D42" s="191">
        <f>SUM(D39:D41)</f>
        <v>7.6654477074288671E-2</v>
      </c>
      <c r="E42" s="192">
        <f t="shared" ref="E42:K42" si="14">SUM(E39:E41)</f>
        <v>7.4479316205686125E-2</v>
      </c>
      <c r="F42" s="192">
        <f t="shared" si="14"/>
        <v>5.5481445427922757E-2</v>
      </c>
      <c r="G42" s="192">
        <f t="shared" si="14"/>
        <v>0.1177222770261358</v>
      </c>
      <c r="H42" s="192">
        <f t="shared" si="14"/>
        <v>8.5242392753890464E-2</v>
      </c>
      <c r="I42" s="192">
        <f t="shared" si="14"/>
        <v>6.8196581739932136E-2</v>
      </c>
      <c r="J42" s="192">
        <f t="shared" si="14"/>
        <v>4.8399045771267822E-2</v>
      </c>
      <c r="K42" s="193">
        <f t="shared" si="14"/>
        <v>4.6147621380208108E-2</v>
      </c>
      <c r="L42" s="174"/>
      <c r="M42" s="193">
        <f>SUM(M39:M41)</f>
        <v>7.9769629755747903E-2</v>
      </c>
      <c r="N42" s="193">
        <f>SUM(N39:N41)</f>
        <v>6.9705631810053417E-2</v>
      </c>
      <c r="S42" s="173"/>
      <c r="T42" s="173"/>
      <c r="AB42" s="173"/>
      <c r="AC42" s="173"/>
      <c r="AD42" s="173"/>
      <c r="AE42" s="173"/>
      <c r="AF42" s="173"/>
      <c r="AG42" s="173"/>
      <c r="AH42" s="173"/>
      <c r="AI42" s="173"/>
      <c r="AJ42" s="173"/>
      <c r="AK42" s="173"/>
      <c r="AL42" s="173"/>
    </row>
    <row r="43" spans="2:38" s="31" customFormat="1">
      <c r="B43" s="470"/>
      <c r="C43" s="471"/>
      <c r="D43" s="472"/>
      <c r="E43" s="472"/>
      <c r="F43" s="472"/>
      <c r="G43" s="472"/>
      <c r="H43" s="472"/>
      <c r="I43" s="472"/>
      <c r="J43" s="472"/>
      <c r="K43" s="472"/>
      <c r="L43" s="473"/>
      <c r="M43" s="472"/>
      <c r="N43" s="472"/>
      <c r="S43" s="518"/>
      <c r="T43" s="518"/>
      <c r="AB43" s="518"/>
      <c r="AC43" s="518"/>
      <c r="AD43" s="518"/>
      <c r="AE43" s="518"/>
      <c r="AF43" s="518"/>
      <c r="AG43" s="518"/>
      <c r="AH43" s="518"/>
      <c r="AI43" s="518"/>
      <c r="AJ43" s="518"/>
      <c r="AK43" s="518"/>
      <c r="AL43" s="518"/>
    </row>
    <row r="44" spans="2:38" s="31" customFormat="1">
      <c r="B44" s="470"/>
      <c r="C44" s="471"/>
      <c r="D44" s="472"/>
      <c r="E44" s="472"/>
      <c r="F44" s="472"/>
      <c r="G44" s="472"/>
      <c r="H44" s="472"/>
      <c r="I44" s="472"/>
      <c r="J44" s="472"/>
      <c r="K44" s="472"/>
      <c r="L44" s="473"/>
      <c r="M44" s="472"/>
      <c r="N44" s="472"/>
      <c r="S44" s="518"/>
      <c r="T44" s="518"/>
      <c r="AB44" s="518"/>
      <c r="AC44" s="518"/>
      <c r="AD44" s="518"/>
      <c r="AE44" s="518"/>
      <c r="AF44" s="518"/>
      <c r="AG44" s="518"/>
      <c r="AH44" s="518"/>
      <c r="AI44" s="518"/>
      <c r="AJ44" s="518"/>
      <c r="AK44" s="518"/>
      <c r="AL44" s="518"/>
    </row>
    <row r="45" spans="2:38" s="31" customFormat="1">
      <c r="B45" s="524" t="s">
        <v>393</v>
      </c>
      <c r="C45" s="525"/>
      <c r="D45" s="526"/>
      <c r="E45" s="526"/>
      <c r="F45" s="526"/>
      <c r="G45" s="526"/>
      <c r="H45" s="526"/>
      <c r="I45" s="526"/>
      <c r="J45" s="526"/>
      <c r="K45" s="526"/>
      <c r="L45" s="527"/>
      <c r="M45" s="526"/>
      <c r="N45" s="526"/>
      <c r="O45" s="217"/>
      <c r="S45" s="518"/>
      <c r="T45" s="518"/>
      <c r="AB45" s="518"/>
      <c r="AC45" s="518"/>
      <c r="AD45" s="518"/>
      <c r="AE45" s="518"/>
      <c r="AF45" s="518"/>
      <c r="AG45" s="518"/>
      <c r="AH45" s="518"/>
      <c r="AI45" s="518"/>
      <c r="AJ45" s="518"/>
      <c r="AK45" s="518"/>
      <c r="AL45" s="518"/>
    </row>
    <row r="46" spans="2:38" s="31" customFormat="1">
      <c r="B46" s="529" t="str">
        <f>"Input values provided in "&amp;'RFPR cover'!C14&amp;" prices"</f>
        <v>Input values provided in £m 12/13 prices</v>
      </c>
      <c r="C46" s="528"/>
      <c r="D46" s="528"/>
      <c r="E46" s="528"/>
      <c r="F46" s="528"/>
      <c r="G46" s="528"/>
      <c r="H46" s="528"/>
      <c r="I46" s="528"/>
      <c r="J46" s="528"/>
      <c r="K46" s="528"/>
      <c r="L46" s="528"/>
      <c r="M46" s="528"/>
      <c r="N46" s="528"/>
      <c r="O46" s="528"/>
      <c r="S46" s="518"/>
      <c r="T46" s="518"/>
      <c r="AB46" s="518"/>
      <c r="AC46" s="518"/>
      <c r="AD46" s="518"/>
      <c r="AE46" s="518"/>
      <c r="AF46" s="518"/>
      <c r="AG46" s="518"/>
      <c r="AH46" s="518"/>
      <c r="AI46" s="518"/>
      <c r="AJ46" s="518"/>
      <c r="AK46" s="518"/>
      <c r="AL46" s="518"/>
    </row>
    <row r="47" spans="2:38">
      <c r="S47" s="518"/>
      <c r="T47" s="518"/>
      <c r="AB47" s="518"/>
      <c r="AC47" s="518"/>
      <c r="AD47" s="518"/>
      <c r="AE47" s="518"/>
      <c r="AF47" s="518"/>
      <c r="AG47" s="518"/>
      <c r="AH47" s="518"/>
      <c r="AI47" s="518"/>
      <c r="AJ47" s="518"/>
      <c r="AK47" s="518"/>
      <c r="AL47" s="518"/>
    </row>
    <row r="48" spans="2:38">
      <c r="B48" s="247" t="s">
        <v>228</v>
      </c>
      <c r="C48" s="342" t="str">
        <f>'RFPR cover'!$C$14</f>
        <v>£m 12/13</v>
      </c>
      <c r="D48" s="178">
        <f>'R9 - RAV'!D50</f>
        <v>27.156807203709068</v>
      </c>
      <c r="E48" s="179">
        <f>'R9 - RAV'!E50</f>
        <v>28.50763976180156</v>
      </c>
      <c r="F48" s="179">
        <f>'R9 - RAV'!F50</f>
        <v>29.713642819226589</v>
      </c>
      <c r="G48" s="179">
        <f>'R9 - RAV'!G50</f>
        <v>30.773763777589448</v>
      </c>
      <c r="H48" s="179">
        <f>'R9 - RAV'!H50</f>
        <v>31.87191748529828</v>
      </c>
      <c r="I48" s="179">
        <f>'R9 - RAV'!I50</f>
        <v>32.953493479999203</v>
      </c>
      <c r="J48" s="179">
        <f>'R9 - RAV'!J50</f>
        <v>34.187838924605188</v>
      </c>
      <c r="K48" s="180">
        <f>'R9 - RAV'!K50</f>
        <v>35.66846674544022</v>
      </c>
      <c r="M48" s="95">
        <f>SUM(D48:INDEX(D48:K48,0,MATCH('RFPR cover'!$C$7,$D$6:$K$6,0)))</f>
        <v>180.97726452762413</v>
      </c>
      <c r="N48" s="95">
        <f>SUM(D48:K48)</f>
        <v>250.83357019766953</v>
      </c>
      <c r="S48" s="518"/>
      <c r="T48" s="518"/>
      <c r="AB48" s="518"/>
      <c r="AC48" s="518"/>
      <c r="AD48" s="518"/>
      <c r="AE48" s="518"/>
      <c r="AF48" s="518"/>
      <c r="AG48" s="518"/>
      <c r="AH48" s="518"/>
      <c r="AI48" s="518"/>
      <c r="AJ48" s="518"/>
      <c r="AK48" s="518"/>
      <c r="AL48" s="518"/>
    </row>
    <row r="49" spans="2:38">
      <c r="B49" s="247" t="s">
        <v>102</v>
      </c>
      <c r="C49" s="342" t="str">
        <f>'RFPR cover'!$C$14</f>
        <v>£m 12/13</v>
      </c>
      <c r="D49" s="251">
        <f>'R4 - Totex'!D35+'R4 - Totex'!D63</f>
        <v>2.9569938185421618</v>
      </c>
      <c r="E49" s="251">
        <f>'R4 - Totex'!E35+'R4 - Totex'!E63</f>
        <v>-7.7155368292906772</v>
      </c>
      <c r="F49" s="251">
        <f>'R4 - Totex'!F35+'R4 - Totex'!F63</f>
        <v>-13.327882661543445</v>
      </c>
      <c r="G49" s="251">
        <f>'R4 - Totex'!G35+'R4 - Totex'!G63</f>
        <v>17.692776424296703</v>
      </c>
      <c r="H49" s="251">
        <f>'R4 - Totex'!H35+'R4 - Totex'!H63</f>
        <v>6.3621927213334608</v>
      </c>
      <c r="I49" s="251">
        <f>'R4 - Totex'!I35+'R4 - Totex'!I63</f>
        <v>11.424588628115821</v>
      </c>
      <c r="J49" s="251">
        <f>'R4 - Totex'!J35+'R4 - Totex'!J63</f>
        <v>-3.7196817390780206</v>
      </c>
      <c r="K49" s="251">
        <f>'R4 - Totex'!K35+'R4 - Totex'!K63</f>
        <v>-3.8434753676271121</v>
      </c>
      <c r="M49" s="95">
        <f>SUM(D49:INDEX(D49:K49,0,MATCH('RFPR cover'!$C$7,$D$6:$K$6,0)))</f>
        <v>17.393132101454025</v>
      </c>
      <c r="N49" s="95">
        <f>SUM(D49:K49)</f>
        <v>9.829974994748893</v>
      </c>
      <c r="S49" s="518"/>
      <c r="T49" s="518"/>
      <c r="AB49" s="518"/>
      <c r="AC49" s="518"/>
      <c r="AD49" s="518"/>
      <c r="AE49" s="518"/>
      <c r="AF49" s="518"/>
      <c r="AG49" s="518"/>
      <c r="AH49" s="518"/>
      <c r="AI49" s="518"/>
      <c r="AJ49" s="518"/>
      <c r="AK49" s="518"/>
      <c r="AL49" s="518"/>
    </row>
    <row r="50" spans="2:38">
      <c r="B50" s="249" t="s">
        <v>110</v>
      </c>
      <c r="C50" s="342" t="str">
        <f>'RFPR cover'!$C$14</f>
        <v>£m 12/13</v>
      </c>
      <c r="D50" s="242">
        <f>'R4 - Totex'!D79</f>
        <v>4.3010161569366776</v>
      </c>
      <c r="E50" s="181">
        <f>'R4 - Totex'!E79</f>
        <v>4.3020775808672473</v>
      </c>
      <c r="F50" s="181">
        <f>'R4 - Totex'!F79</f>
        <v>4.2620663269464218</v>
      </c>
      <c r="G50" s="181">
        <f>'R4 - Totex'!G79</f>
        <v>4.3422878363445587</v>
      </c>
      <c r="H50" s="181">
        <f>'R4 - Totex'!H79</f>
        <v>4.2658842965272852</v>
      </c>
      <c r="I50" s="181">
        <f>'R4 - Totex'!I79</f>
        <v>4.3149655014531101</v>
      </c>
      <c r="J50" s="181">
        <f>'R4 - Totex'!J79</f>
        <v>4.311086814534697</v>
      </c>
      <c r="K50" s="182">
        <f>'R4 - Totex'!K79</f>
        <v>4.5116903404480535</v>
      </c>
      <c r="M50" s="95">
        <f>SUM(D50:INDEX(D50:K50,0,MATCH('RFPR cover'!$C$7,$D$6:$K$6,0)))</f>
        <v>25.788297699075297</v>
      </c>
      <c r="N50" s="95">
        <f t="shared" ref="N50:N57" si="15">SUM(D50:K50)</f>
        <v>34.611074854058046</v>
      </c>
      <c r="S50" s="518"/>
      <c r="T50" s="518"/>
      <c r="AB50" s="518"/>
      <c r="AC50" s="518"/>
      <c r="AD50" s="518"/>
      <c r="AE50" s="518"/>
      <c r="AF50" s="518"/>
      <c r="AG50" s="518"/>
      <c r="AH50" s="518"/>
      <c r="AI50" s="518"/>
      <c r="AJ50" s="518"/>
      <c r="AK50" s="518"/>
      <c r="AL50" s="518"/>
    </row>
    <row r="51" spans="2:38">
      <c r="B51" s="250" t="str">
        <f>'R5 - Output Incentives'!B39</f>
        <v>Broad measure of customer service</v>
      </c>
      <c r="C51" s="342" t="str">
        <f>'RFPR cover'!$C$14</f>
        <v>£m 12/13</v>
      </c>
      <c r="D51" s="242">
        <f>'R5 - Output Incentives'!D39</f>
        <v>3.0445960300009767</v>
      </c>
      <c r="E51" s="181">
        <f>'R5 - Output Incentives'!E39</f>
        <v>3.0836700000000006</v>
      </c>
      <c r="F51" s="181">
        <f>'R5 - Output Incentives'!F39</f>
        <v>3.1118058341271873</v>
      </c>
      <c r="G51" s="181">
        <f>'R5 - Output Incentives'!G39</f>
        <v>3.1604580000000024</v>
      </c>
      <c r="H51" s="181">
        <f>'R5 - Output Incentives'!H39</f>
        <v>3.2980500000000008</v>
      </c>
      <c r="I51" s="181">
        <f>'R5 - Output Incentives'!I39</f>
        <v>3.2980500000000008</v>
      </c>
      <c r="J51" s="181">
        <f>'R5 - Output Incentives'!J39</f>
        <v>3.2980500000000008</v>
      </c>
      <c r="K51" s="182">
        <f>'R5 - Output Incentives'!K39</f>
        <v>3.2980500000000008</v>
      </c>
      <c r="M51" s="95">
        <f>SUM(D51:INDEX(D51:K51,0,MATCH('RFPR cover'!$C$7,$D$6:$K$6,0)))</f>
        <v>18.996629864128167</v>
      </c>
      <c r="N51" s="95">
        <f t="shared" si="15"/>
        <v>25.592729864128167</v>
      </c>
      <c r="S51" s="518"/>
      <c r="T51" s="518"/>
      <c r="AB51" s="518"/>
      <c r="AC51" s="518"/>
      <c r="AD51" s="518"/>
      <c r="AE51" s="518"/>
      <c r="AF51" s="518"/>
      <c r="AG51" s="518"/>
      <c r="AH51" s="518"/>
      <c r="AI51" s="518"/>
      <c r="AJ51" s="518"/>
      <c r="AK51" s="518"/>
      <c r="AL51" s="518"/>
    </row>
    <row r="52" spans="2:38">
      <c r="B52" s="250" t="str">
        <f>'R5 - Output Incentives'!B40</f>
        <v>Interruptions-related quality of service</v>
      </c>
      <c r="C52" s="342" t="str">
        <f>'RFPR cover'!$C$14</f>
        <v>£m 12/13</v>
      </c>
      <c r="D52" s="242">
        <f>'R5 - Output Incentives'!D40</f>
        <v>3.9005771758875172</v>
      </c>
      <c r="E52" s="181">
        <f>'R5 - Output Incentives'!E40</f>
        <v>2.7340455262184005</v>
      </c>
      <c r="F52" s="181">
        <f>'R5 - Output Incentives'!F40</f>
        <v>-0.29181165973570838</v>
      </c>
      <c r="G52" s="181">
        <f>'R5 - Output Incentives'!G40</f>
        <v>2.6711999999999989</v>
      </c>
      <c r="H52" s="181">
        <f>'R5 - Output Incentives'!H40</f>
        <v>4.4279657949661733</v>
      </c>
      <c r="I52" s="181">
        <f>'R5 - Output Incentives'!I40</f>
        <v>0.91536624289858237</v>
      </c>
      <c r="J52" s="181">
        <f>'R5 - Output Incentives'!J40</f>
        <v>1.8911600479043884</v>
      </c>
      <c r="K52" s="182">
        <f>'R5 - Output Incentives'!K40</f>
        <v>1.758160047904388</v>
      </c>
      <c r="M52" s="95">
        <f>SUM(D52:INDEX(D52:K52,0,MATCH('RFPR cover'!$C$7,$D$6:$K$6,0)))</f>
        <v>14.357343080234962</v>
      </c>
      <c r="N52" s="95">
        <f t="shared" si="15"/>
        <v>18.006663176043737</v>
      </c>
      <c r="S52" s="518"/>
      <c r="T52" s="518"/>
      <c r="AB52" s="518"/>
      <c r="AC52" s="518"/>
      <c r="AD52" s="518"/>
      <c r="AE52" s="518"/>
      <c r="AF52" s="518"/>
      <c r="AG52" s="518"/>
      <c r="AH52" s="518"/>
      <c r="AI52" s="518"/>
      <c r="AJ52" s="518"/>
      <c r="AK52" s="518"/>
      <c r="AL52" s="518"/>
    </row>
    <row r="53" spans="2:38">
      <c r="B53" s="250" t="str">
        <f>'R5 - Output Incentives'!B41</f>
        <v>Incentive on connections engagement</v>
      </c>
      <c r="C53" s="342" t="str">
        <f>'RFPR cover'!$C$14</f>
        <v>£m 12/13</v>
      </c>
      <c r="D53" s="242">
        <f>'R5 - Output Incentives'!D41</f>
        <v>0</v>
      </c>
      <c r="E53" s="181">
        <f>'R5 - Output Incentives'!E41</f>
        <v>0</v>
      </c>
      <c r="F53" s="181">
        <f>'R5 - Output Incentives'!F41</f>
        <v>0</v>
      </c>
      <c r="G53" s="181">
        <f>'R5 - Output Incentives'!G41</f>
        <v>0</v>
      </c>
      <c r="H53" s="181">
        <f>'R5 - Output Incentives'!H41</f>
        <v>0</v>
      </c>
      <c r="I53" s="181">
        <f>'R5 - Output Incentives'!I41</f>
        <v>0</v>
      </c>
      <c r="J53" s="181">
        <f>'R5 - Output Incentives'!J41</f>
        <v>0</v>
      </c>
      <c r="K53" s="182">
        <f>'R5 - Output Incentives'!K41</f>
        <v>0</v>
      </c>
      <c r="M53" s="95">
        <f>SUM(D53:INDEX(D53:K53,0,MATCH('RFPR cover'!$C$7,$D$6:$K$6,0)))</f>
        <v>0</v>
      </c>
      <c r="N53" s="95">
        <f t="shared" si="15"/>
        <v>0</v>
      </c>
      <c r="S53" s="518"/>
      <c r="T53" s="518"/>
      <c r="AB53" s="518"/>
      <c r="AC53" s="518"/>
      <c r="AD53" s="518"/>
      <c r="AE53" s="518"/>
      <c r="AF53" s="518"/>
      <c r="AG53" s="518"/>
      <c r="AH53" s="518"/>
      <c r="AI53" s="518"/>
      <c r="AJ53" s="518"/>
      <c r="AK53" s="518"/>
      <c r="AL53" s="518"/>
    </row>
    <row r="54" spans="2:38">
      <c r="B54" s="250" t="str">
        <f>'R5 - Output Incentives'!B42</f>
        <v>Time to Connect Incentive</v>
      </c>
      <c r="C54" s="342" t="str">
        <f>'RFPR cover'!$C$14</f>
        <v>£m 12/13</v>
      </c>
      <c r="D54" s="242">
        <f>'R5 - Output Incentives'!D42</f>
        <v>0.91975500000000021</v>
      </c>
      <c r="E54" s="181">
        <f>'R5 - Output Incentives'!E42</f>
        <v>0.77178681257629389</v>
      </c>
      <c r="F54" s="181">
        <f>'R5 - Output Incentives'!F42</f>
        <v>0.97199999999999998</v>
      </c>
      <c r="G54" s="181">
        <f>'R5 - Output Incentives'!G42</f>
        <v>0.97199999999999998</v>
      </c>
      <c r="H54" s="181">
        <f>'R5 - Output Incentives'!H42</f>
        <v>0.97199999999999998</v>
      </c>
      <c r="I54" s="181">
        <f>'R5 - Output Incentives'!I42</f>
        <v>0.59208015949173087</v>
      </c>
      <c r="J54" s="181">
        <f>'R5 - Output Incentives'!J42</f>
        <v>0.81064972158628545</v>
      </c>
      <c r="K54" s="182">
        <f>'R5 - Output Incentives'!K42</f>
        <v>0.81064972158628545</v>
      </c>
      <c r="M54" s="95">
        <f>SUM(D54:INDEX(D54:K54,0,MATCH('RFPR cover'!$C$7,$D$6:$K$6,0)))</f>
        <v>5.1996219720680248</v>
      </c>
      <c r="N54" s="95">
        <f t="shared" si="15"/>
        <v>6.8209214152405959</v>
      </c>
      <c r="S54" s="518"/>
      <c r="T54" s="518"/>
      <c r="AB54" s="518"/>
      <c r="AC54" s="518"/>
      <c r="AD54" s="518"/>
      <c r="AE54" s="518"/>
      <c r="AF54" s="518"/>
      <c r="AG54" s="518"/>
      <c r="AH54" s="518"/>
      <c r="AI54" s="518"/>
      <c r="AJ54" s="518"/>
      <c r="AK54" s="518"/>
      <c r="AL54" s="518"/>
    </row>
    <row r="55" spans="2:38">
      <c r="B55" s="250" t="str">
        <f>'R5 - Output Incentives'!B43</f>
        <v>Losses discretionary reward scheme</v>
      </c>
      <c r="C55" s="342" t="str">
        <f>'RFPR cover'!$C$14</f>
        <v>£m 12/13</v>
      </c>
      <c r="D55" s="242">
        <f>'R5 - Output Incentives'!D43</f>
        <v>0</v>
      </c>
      <c r="E55" s="181">
        <f>'R5 - Output Incentives'!E43</f>
        <v>3.2400000000000005E-2</v>
      </c>
      <c r="F55" s="181">
        <f>'R5 - Output Incentives'!F43</f>
        <v>0</v>
      </c>
      <c r="G55" s="181">
        <f>'R5 - Output Incentives'!G43</f>
        <v>0</v>
      </c>
      <c r="H55" s="181">
        <f>'R5 - Output Incentives'!H43</f>
        <v>0</v>
      </c>
      <c r="I55" s="181">
        <f>'R5 - Output Incentives'!I43</f>
        <v>0</v>
      </c>
      <c r="J55" s="181">
        <f>'R5 - Output Incentives'!J43</f>
        <v>0</v>
      </c>
      <c r="K55" s="182">
        <f>'R5 - Output Incentives'!K43</f>
        <v>0</v>
      </c>
      <c r="M55" s="95">
        <f>SUM(D55:INDEX(D55:K55,0,MATCH('RFPR cover'!$C$7,$D$6:$K$6,0)))</f>
        <v>3.2400000000000005E-2</v>
      </c>
      <c r="N55" s="95">
        <f t="shared" si="15"/>
        <v>3.2400000000000005E-2</v>
      </c>
      <c r="S55" s="518"/>
      <c r="T55" s="518"/>
      <c r="AB55" s="518"/>
      <c r="AC55" s="518"/>
      <c r="AD55" s="518"/>
      <c r="AE55" s="518"/>
      <c r="AF55" s="518"/>
      <c r="AG55" s="518"/>
      <c r="AH55" s="518"/>
      <c r="AI55" s="518"/>
      <c r="AJ55" s="518"/>
      <c r="AK55" s="518"/>
      <c r="AL55" s="518"/>
    </row>
    <row r="56" spans="2:38">
      <c r="B56" s="247" t="s">
        <v>499</v>
      </c>
      <c r="C56" s="342" t="str">
        <f>'RFPR cover'!$C$14</f>
        <v>£m 12/13</v>
      </c>
      <c r="D56" s="242">
        <f>-'R6 - Innovation'!D28</f>
        <v>-3.8705536932753359E-2</v>
      </c>
      <c r="E56" s="181">
        <f>-'R6 - Innovation'!E28</f>
        <v>7.1630976437496205E-2</v>
      </c>
      <c r="F56" s="181">
        <f>-'R6 - Innovation'!F28</f>
        <v>0.25251790053399681</v>
      </c>
      <c r="G56" s="181">
        <f>-'R6 - Innovation'!G28</f>
        <v>-8.6942240423849668E-2</v>
      </c>
      <c r="H56" s="181">
        <f>-'R6 - Innovation'!H28</f>
        <v>-0.12628970141101425</v>
      </c>
      <c r="I56" s="181">
        <f>-'R6 - Innovation'!I28</f>
        <v>0.71775444977682745</v>
      </c>
      <c r="J56" s="181">
        <f>-'R6 - Innovation'!J28</f>
        <v>-0.31532851939010004</v>
      </c>
      <c r="K56" s="182">
        <f>-'R6 - Innovation'!K28</f>
        <v>-0.24931397790994861</v>
      </c>
      <c r="M56" s="95">
        <f>SUM(D56:INDEX(D56:K56,0,MATCH('RFPR cover'!$C$7,$D$6:$K$6,0)))</f>
        <v>0.78996584798070324</v>
      </c>
      <c r="N56" s="95">
        <f t="shared" si="15"/>
        <v>0.22532335068065459</v>
      </c>
      <c r="S56" s="518"/>
      <c r="T56" s="518"/>
      <c r="AB56" s="518"/>
      <c r="AC56" s="518"/>
      <c r="AD56" s="518"/>
      <c r="AE56" s="518"/>
      <c r="AF56" s="518"/>
      <c r="AG56" s="518"/>
      <c r="AH56" s="518"/>
      <c r="AI56" s="518"/>
      <c r="AJ56" s="518"/>
      <c r="AK56" s="518"/>
      <c r="AL56" s="518"/>
    </row>
    <row r="57" spans="2:38">
      <c r="B57" s="247" t="s">
        <v>35</v>
      </c>
      <c r="C57" s="342" t="str">
        <f>'RFPR cover'!$C$14</f>
        <v>£m 12/13</v>
      </c>
      <c r="D57" s="243">
        <f>-'R13 - Other Activities '!D8</f>
        <v>-2.3238338993111897E-3</v>
      </c>
      <c r="E57" s="243">
        <f>-'R13 - Other Activities '!E8</f>
        <v>-1.6841534838787566E-3</v>
      </c>
      <c r="F57" s="243">
        <f>-'R13 - Other Activities '!F8</f>
        <v>-2.8224028629577859E-3</v>
      </c>
      <c r="G57" s="243">
        <f>-'R13 - Other Activities '!G8</f>
        <v>-1.5949630437545035E-3</v>
      </c>
      <c r="H57" s="243">
        <f>-'R13 - Other Activities '!H8</f>
        <v>-3.1980782457456253E-3</v>
      </c>
      <c r="I57" s="243">
        <f>-'R13 - Other Activities '!I8</f>
        <v>-3.5404085816899923E-3</v>
      </c>
      <c r="J57" s="243">
        <f>-'R13 - Other Activities '!J8</f>
        <v>-2.3518462150516803E-3</v>
      </c>
      <c r="K57" s="243">
        <f>-'R13 - Other Activities '!K8</f>
        <v>-2.2816844191624352E-3</v>
      </c>
      <c r="M57" s="95">
        <f>SUM(D57:INDEX(D57:K57,0,MATCH('RFPR cover'!$C$7,$D$6:$K$6,0)))</f>
        <v>-1.5163840117337853E-2</v>
      </c>
      <c r="N57" s="95">
        <f t="shared" si="15"/>
        <v>-1.9797370751551968E-2</v>
      </c>
      <c r="S57" s="518"/>
      <c r="T57" s="518"/>
      <c r="AB57" s="518"/>
      <c r="AC57" s="518"/>
      <c r="AD57" s="518"/>
      <c r="AE57" s="518"/>
      <c r="AF57" s="518"/>
      <c r="AG57" s="518"/>
      <c r="AH57" s="518"/>
      <c r="AI57" s="518"/>
      <c r="AJ57" s="518"/>
      <c r="AK57" s="518"/>
      <c r="AL57" s="518"/>
    </row>
    <row r="58" spans="2:38">
      <c r="B58" s="248" t="s">
        <v>103</v>
      </c>
      <c r="C58" s="342" t="str">
        <f>'RFPR cover'!$C$14</f>
        <v>£m 12/13</v>
      </c>
      <c r="D58" s="244">
        <f t="shared" ref="D58:K58" si="16">SUM(D48:D57)</f>
        <v>42.238716014244339</v>
      </c>
      <c r="E58" s="143">
        <f t="shared" si="16"/>
        <v>31.786029675126446</v>
      </c>
      <c r="F58" s="143">
        <f t="shared" si="16"/>
        <v>24.689516156692083</v>
      </c>
      <c r="G58" s="143">
        <f t="shared" si="16"/>
        <v>59.523948834763104</v>
      </c>
      <c r="H58" s="143">
        <f t="shared" si="16"/>
        <v>51.068522518468448</v>
      </c>
      <c r="I58" s="143">
        <f t="shared" si="16"/>
        <v>54.212758053153586</v>
      </c>
      <c r="J58" s="143">
        <f t="shared" si="16"/>
        <v>40.461423403947393</v>
      </c>
      <c r="K58" s="144">
        <f t="shared" si="16"/>
        <v>41.951945825422733</v>
      </c>
      <c r="M58" s="142">
        <f>SUM(M48:M57)</f>
        <v>263.51949125244795</v>
      </c>
      <c r="N58" s="144">
        <f>SUM(N48:N57)</f>
        <v>345.93286048181801</v>
      </c>
      <c r="S58" s="518"/>
      <c r="T58" s="518"/>
      <c r="AB58" s="518"/>
      <c r="AC58" s="518"/>
      <c r="AD58" s="518"/>
      <c r="AE58" s="518"/>
      <c r="AF58" s="518"/>
      <c r="AG58" s="518"/>
      <c r="AH58" s="518"/>
      <c r="AI58" s="518"/>
      <c r="AJ58" s="518"/>
      <c r="AK58" s="518"/>
      <c r="AL58" s="518"/>
    </row>
    <row r="59" spans="2:38">
      <c r="B59" s="247" t="s">
        <v>438</v>
      </c>
      <c r="C59" s="342" t="str">
        <f>'RFPR cover'!$C$14</f>
        <v>£m 12/13</v>
      </c>
      <c r="D59" s="242">
        <f>'R7 - Financing'!D88+'R10 - Tax'!D89</f>
        <v>-4.591597055908256</v>
      </c>
      <c r="E59" s="242">
        <f>'R7 - Financing'!E88+'R10 - Tax'!E89</f>
        <v>-0.63528278636464164</v>
      </c>
      <c r="F59" s="242">
        <f>'R7 - Financing'!F88+'R10 - Tax'!F89</f>
        <v>7.944851306927152</v>
      </c>
      <c r="G59" s="242">
        <f>'R7 - Financing'!G88+'R10 - Tax'!G89</f>
        <v>5.2791596595747139</v>
      </c>
      <c r="H59" s="242">
        <f>'R7 - Financing'!H88+'R10 - Tax'!H89</f>
        <v>-0.58471121166985329</v>
      </c>
      <c r="I59" s="242">
        <f>'R7 - Financing'!I88+'R10 - Tax'!I89</f>
        <v>-11.074085833961153</v>
      </c>
      <c r="J59" s="242">
        <f>'R7 - Financing'!J88+'R10 - Tax'!J89</f>
        <v>-7.9180434072607024</v>
      </c>
      <c r="K59" s="242">
        <f>'R7 - Financing'!K88+'R10 - Tax'!K89</f>
        <v>-7.2486028723299709</v>
      </c>
      <c r="M59" s="95">
        <f>SUM(D59:INDEX(D59:K59,0,MATCH('RFPR cover'!$C$7,$D$6:$K$6,0)))</f>
        <v>-3.6616659214020384</v>
      </c>
      <c r="N59" s="95">
        <f>SUM(D59:K59)</f>
        <v>-18.828312200992713</v>
      </c>
      <c r="S59" s="518"/>
      <c r="T59" s="518"/>
      <c r="AB59" s="518"/>
      <c r="AC59" s="518"/>
      <c r="AD59" s="518"/>
      <c r="AE59" s="518"/>
      <c r="AF59" s="518"/>
      <c r="AG59" s="518"/>
      <c r="AH59" s="518"/>
      <c r="AI59" s="518"/>
      <c r="AJ59" s="518"/>
      <c r="AK59" s="518"/>
      <c r="AL59" s="518"/>
    </row>
    <row r="60" spans="2:38">
      <c r="B60" s="247" t="s">
        <v>433</v>
      </c>
      <c r="C60" s="342" t="str">
        <f>'RFPR cover'!$C$14</f>
        <v>£m 12/13</v>
      </c>
      <c r="D60" s="242">
        <f>'R7 - Financing'!D90+'R10 - Tax'!D90</f>
        <v>2.7287981009167241</v>
      </c>
      <c r="E60" s="242">
        <f>'R7 - Financing'!E90+'R10 - Tax'!E90</f>
        <v>1.4585871407746114</v>
      </c>
      <c r="F60" s="242">
        <f>'R7 - Financing'!F90+'R10 - Tax'!F90</f>
        <v>0.66773953305986122</v>
      </c>
      <c r="G60" s="242">
        <f>'R7 - Financing'!G90+'R10 - Tax'!G90</f>
        <v>0.7168103982801175</v>
      </c>
      <c r="H60" s="242">
        <f>'R7 - Financing'!H90+'R10 - Tax'!H90</f>
        <v>0.82181276014036264</v>
      </c>
      <c r="I60" s="242">
        <f>'R7 - Financing'!I90+'R10 - Tax'!I90</f>
        <v>1.1961839453200493</v>
      </c>
      <c r="J60" s="242">
        <f>'R7 - Financing'!J90+'R10 - Tax'!J90</f>
        <v>2.1754729302588491</v>
      </c>
      <c r="K60" s="242">
        <f>'R7 - Financing'!K90+'R10 - Tax'!K90</f>
        <v>2.3253654993662316</v>
      </c>
      <c r="M60" s="95">
        <f>SUM(D60:INDEX(D60:K60,0,MATCH('RFPR cover'!$C$7,$D$6:$K$6,0)))</f>
        <v>7.5899318784917256</v>
      </c>
      <c r="N60" s="95">
        <f>SUM(D60:K60)</f>
        <v>12.090770308116806</v>
      </c>
      <c r="S60" s="518"/>
      <c r="T60" s="518"/>
      <c r="AB60" s="518"/>
      <c r="AC60" s="518"/>
      <c r="AD60" s="518"/>
      <c r="AE60" s="518"/>
      <c r="AF60" s="518"/>
      <c r="AG60" s="518"/>
      <c r="AH60" s="518"/>
      <c r="AI60" s="518"/>
      <c r="AJ60" s="518"/>
      <c r="AK60" s="518"/>
      <c r="AL60" s="518"/>
    </row>
    <row r="61" spans="2:38">
      <c r="B61" s="247" t="s">
        <v>439</v>
      </c>
      <c r="C61" s="342" t="str">
        <f>'RFPR cover'!$C$14</f>
        <v>£m 12/13</v>
      </c>
      <c r="D61" s="242">
        <f>'R10 - Tax'!D82-'R10 - Tax'!D89</f>
        <v>0.1261497263449316</v>
      </c>
      <c r="E61" s="242">
        <f>'R10 - Tax'!E82-'R10 - Tax'!E89</f>
        <v>6.050515989376458</v>
      </c>
      <c r="F61" s="242">
        <f>'R10 - Tax'!F82-'R10 - Tax'!F89</f>
        <v>-3.3179863175265805</v>
      </c>
      <c r="G61" s="242">
        <f>'R10 - Tax'!G82-'R10 - Tax'!G89</f>
        <v>-8.6768731383063846E-2</v>
      </c>
      <c r="H61" s="242">
        <f>'R10 - Tax'!H82-'R10 - Tax'!H89</f>
        <v>-3.6389284754663511</v>
      </c>
      <c r="I61" s="242">
        <f>'R10 - Tax'!I82-'R10 - Tax'!I89</f>
        <v>-5.2236763060890778</v>
      </c>
      <c r="J61" s="242">
        <f>'R10 - Tax'!J82-'R10 - Tax'!J89</f>
        <v>-1.4171482627790399</v>
      </c>
      <c r="K61" s="242">
        <f>'R10 - Tax'!K82-'R10 - Tax'!K89</f>
        <v>-1.1548334578556965</v>
      </c>
      <c r="M61" s="95">
        <f>SUM(D61:INDEX(D61:K61,0,MATCH('RFPR cover'!$C$7,$D$6:$K$6,0)))</f>
        <v>-6.0906941147436839</v>
      </c>
      <c r="N61" s="95">
        <f>SUM(D61:K61)</f>
        <v>-8.6626758353784208</v>
      </c>
      <c r="S61" s="518"/>
      <c r="T61" s="518"/>
      <c r="AB61" s="518"/>
      <c r="AC61" s="518"/>
      <c r="AD61" s="518"/>
      <c r="AE61" s="518"/>
      <c r="AF61" s="518"/>
      <c r="AG61" s="518"/>
      <c r="AH61" s="518"/>
      <c r="AI61" s="518"/>
      <c r="AJ61" s="518"/>
      <c r="AK61" s="518"/>
      <c r="AL61" s="518"/>
    </row>
    <row r="62" spans="2:38">
      <c r="B62" s="247" t="s">
        <v>434</v>
      </c>
      <c r="C62" s="342" t="str">
        <f>'RFPR cover'!$C$14</f>
        <v>£m 12/13</v>
      </c>
      <c r="D62" s="242">
        <f>'R10 - Tax'!D84-'R10 - Tax'!D90</f>
        <v>0</v>
      </c>
      <c r="E62" s="242">
        <f>'R10 - Tax'!E84-'R10 - Tax'!E90</f>
        <v>0</v>
      </c>
      <c r="F62" s="242">
        <f>'R10 - Tax'!F84-'R10 - Tax'!F90</f>
        <v>8.8817841970012523E-16</v>
      </c>
      <c r="G62" s="242">
        <f>'R10 - Tax'!G84-'R10 - Tax'!G90</f>
        <v>1.3322676295501878E-15</v>
      </c>
      <c r="H62" s="242">
        <f>'R10 - Tax'!H84-'R10 - Tax'!H90</f>
        <v>-8.3266726846886741E-16</v>
      </c>
      <c r="I62" s="242">
        <f>'R10 - Tax'!I84-'R10 - Tax'!I90</f>
        <v>0</v>
      </c>
      <c r="J62" s="242">
        <f>'R10 - Tax'!J84-'R10 - Tax'!J90</f>
        <v>0</v>
      </c>
      <c r="K62" s="242">
        <f>'R10 - Tax'!K84-'R10 - Tax'!K90</f>
        <v>0</v>
      </c>
      <c r="M62" s="95">
        <f>SUM(D62:INDEX(D62:K62,0,MATCH('RFPR cover'!$C$7,$D$6:$K$6,0)))</f>
        <v>1.3877787807814457E-15</v>
      </c>
      <c r="N62" s="95">
        <f>SUM(D62:K62)</f>
        <v>1.3877787807814457E-15</v>
      </c>
      <c r="S62" s="518"/>
      <c r="T62" s="518"/>
      <c r="AB62" s="518"/>
      <c r="AC62" s="518"/>
      <c r="AD62" s="518"/>
      <c r="AE62" s="518"/>
      <c r="AF62" s="518"/>
      <c r="AG62" s="518"/>
      <c r="AH62" s="518"/>
      <c r="AI62" s="518"/>
      <c r="AJ62" s="518"/>
      <c r="AK62" s="518"/>
      <c r="AL62" s="518"/>
    </row>
    <row r="63" spans="2:38">
      <c r="B63" s="248" t="s">
        <v>104</v>
      </c>
      <c r="C63" s="342" t="str">
        <f>'RFPR cover'!$C$14</f>
        <v>£m 12/13</v>
      </c>
      <c r="D63" s="245">
        <f>SUM(D58:D62)</f>
        <v>40.502066785597741</v>
      </c>
      <c r="E63" s="146">
        <f t="shared" ref="E63:K63" si="17">SUM(E58:E62)</f>
        <v>38.659850018912877</v>
      </c>
      <c r="F63" s="146">
        <f t="shared" si="17"/>
        <v>29.984120679152511</v>
      </c>
      <c r="G63" s="146">
        <f t="shared" si="17"/>
        <v>65.433150161234877</v>
      </c>
      <c r="H63" s="146">
        <f t="shared" si="17"/>
        <v>47.666695591472603</v>
      </c>
      <c r="I63" s="146">
        <f t="shared" si="17"/>
        <v>39.111179858423405</v>
      </c>
      <c r="J63" s="146">
        <f t="shared" si="17"/>
        <v>33.3017046641665</v>
      </c>
      <c r="K63" s="147">
        <f t="shared" si="17"/>
        <v>35.873874994603305</v>
      </c>
      <c r="M63" s="145">
        <f>SUM(M58:M62)</f>
        <v>261.35706309479394</v>
      </c>
      <c r="N63" s="147">
        <f>SUM(N58:N62)</f>
        <v>330.53264275356366</v>
      </c>
      <c r="S63" s="518"/>
      <c r="T63" s="518"/>
      <c r="AB63" s="518"/>
      <c r="AC63" s="518"/>
      <c r="AD63" s="518"/>
      <c r="AE63" s="518"/>
      <c r="AF63" s="518"/>
      <c r="AG63" s="518"/>
      <c r="AH63" s="518"/>
      <c r="AI63" s="518"/>
      <c r="AJ63" s="518"/>
      <c r="AK63" s="518"/>
      <c r="AL63" s="518"/>
    </row>
    <row r="64" spans="2:38">
      <c r="B64" s="247"/>
      <c r="D64" s="420"/>
      <c r="S64" s="518"/>
      <c r="T64" s="518"/>
      <c r="AB64" s="518"/>
      <c r="AC64" s="518"/>
      <c r="AD64" s="518"/>
      <c r="AE64" s="518"/>
      <c r="AF64" s="518"/>
      <c r="AG64" s="518"/>
      <c r="AH64" s="518"/>
      <c r="AI64" s="518"/>
      <c r="AJ64" s="518"/>
      <c r="AK64" s="518"/>
      <c r="AL64" s="518"/>
    </row>
    <row r="65" spans="2:38">
      <c r="B65" s="247" t="s">
        <v>232</v>
      </c>
      <c r="C65" s="342" t="str">
        <f>'RFPR cover'!$C$14</f>
        <v>£m 12/13</v>
      </c>
      <c r="D65" s="241">
        <f>'R9 - RAV'!D46</f>
        <v>424.32511255795418</v>
      </c>
      <c r="E65" s="179">
        <f>'R9 - RAV'!E46</f>
        <v>445.43187127814934</v>
      </c>
      <c r="F65" s="179">
        <f>'R9 - RAV'!F46</f>
        <v>464.27566905041544</v>
      </c>
      <c r="G65" s="179">
        <f>'R9 - RAV'!G46</f>
        <v>480.84005902483511</v>
      </c>
      <c r="H65" s="179">
        <f>'R9 - RAV'!H46</f>
        <v>497.99871070778562</v>
      </c>
      <c r="I65" s="179">
        <f>'R9 - RAV'!I46</f>
        <v>514.89833562498757</v>
      </c>
      <c r="J65" s="179">
        <f>'R9 - RAV'!J46</f>
        <v>534.18498319695607</v>
      </c>
      <c r="K65" s="180">
        <f>'R9 - RAV'!K46</f>
        <v>557.31979289750348</v>
      </c>
      <c r="AB65" s="518"/>
      <c r="AC65" s="518"/>
      <c r="AD65" s="518"/>
      <c r="AE65" s="518"/>
      <c r="AF65" s="518"/>
      <c r="AG65" s="518"/>
      <c r="AH65" s="518"/>
      <c r="AI65" s="518"/>
      <c r="AJ65" s="518"/>
      <c r="AK65" s="518"/>
      <c r="AL65" s="518"/>
    </row>
    <row r="66" spans="2:38">
      <c r="B66" s="247" t="s">
        <v>107</v>
      </c>
      <c r="C66" s="342" t="str">
        <f>'RFPR cover'!$C$14</f>
        <v>£m 12/13</v>
      </c>
      <c r="D66" s="246">
        <f>'R8 - Net Debt'!D62</f>
        <v>528.37183595089539</v>
      </c>
      <c r="E66" s="183">
        <f>'R8 - Net Debt'!E62</f>
        <v>519.06827275572368</v>
      </c>
      <c r="F66" s="183">
        <f>'R8 - Net Debt'!F62</f>
        <v>540.43510308514919</v>
      </c>
      <c r="G66" s="183">
        <f>'R8 - Net Debt'!G62</f>
        <v>555.82640613303738</v>
      </c>
      <c r="H66" s="183">
        <f>'R8 - Net Debt'!H62</f>
        <v>559.19002331497904</v>
      </c>
      <c r="I66" s="183">
        <f>'R8 - Net Debt'!I62</f>
        <v>573.50645531727673</v>
      </c>
      <c r="J66" s="183">
        <f>'R8 - Net Debt'!J62</f>
        <v>688.06531479048499</v>
      </c>
      <c r="K66" s="184">
        <f>'R8 - Net Debt'!K62</f>
        <v>777.37213580392597</v>
      </c>
      <c r="AB66" s="518"/>
      <c r="AC66" s="518"/>
      <c r="AD66" s="518"/>
      <c r="AE66" s="518"/>
      <c r="AF66" s="518"/>
      <c r="AG66" s="518"/>
      <c r="AH66" s="518"/>
      <c r="AI66" s="518"/>
      <c r="AJ66" s="518"/>
      <c r="AK66" s="518"/>
      <c r="AL66" s="518"/>
    </row>
  </sheetData>
  <conditionalFormatting sqref="D5:K6">
    <cfRule type="expression" dxfId="87"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L71"/>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64.36328125" style="213" customWidth="1"/>
    <col min="3" max="3" width="13.36328125" style="136" customWidth="1"/>
    <col min="4" max="11" width="11.08984375" customWidth="1"/>
    <col min="12" max="12" width="5" style="42" customWidth="1"/>
  </cols>
  <sheetData>
    <row r="1" spans="1:12" s="31" customFormat="1" ht="21">
      <c r="A1" s="923" t="s">
        <v>119</v>
      </c>
      <c r="B1" s="924"/>
      <c r="C1" s="275"/>
      <c r="D1" s="274"/>
      <c r="E1" s="274"/>
      <c r="F1" s="274"/>
      <c r="G1" s="274"/>
      <c r="H1" s="274"/>
      <c r="I1" s="274"/>
      <c r="J1" s="274"/>
      <c r="K1" s="274"/>
      <c r="L1" s="276"/>
    </row>
    <row r="2" spans="1:12" s="31" customFormat="1" ht="21">
      <c r="A2" s="912" t="str">
        <f>'RFPR cover'!C5</f>
        <v>WPD-SWEST</v>
      </c>
      <c r="B2" s="925"/>
      <c r="C2" s="134"/>
      <c r="D2" s="29"/>
      <c r="E2" s="29"/>
      <c r="F2" s="29"/>
      <c r="G2" s="29"/>
      <c r="H2" s="29"/>
      <c r="I2" s="27"/>
      <c r="J2" s="27"/>
      <c r="K2" s="27"/>
      <c r="L2" s="123"/>
    </row>
    <row r="3" spans="1:12" s="31" customFormat="1" ht="21">
      <c r="A3" s="915">
        <f>'RFPR cover'!C7</f>
        <v>2021</v>
      </c>
      <c r="B3" s="926"/>
      <c r="C3" s="277"/>
      <c r="D3" s="260"/>
      <c r="E3" s="260"/>
      <c r="F3" s="260"/>
      <c r="G3" s="260"/>
      <c r="H3" s="260"/>
      <c r="I3" s="255"/>
      <c r="J3" s="255"/>
      <c r="K3" s="255"/>
      <c r="L3" s="261"/>
    </row>
    <row r="4" spans="1:12" s="35" customFormat="1" ht="12.75" customHeight="1">
      <c r="B4" s="225"/>
      <c r="C4" s="138"/>
      <c r="L4" s="57"/>
    </row>
    <row r="5" spans="1:12" s="2" customFormat="1">
      <c r="B5" s="129"/>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c r="L5" s="53"/>
    </row>
    <row r="6" spans="1:12" s="2" customFormat="1">
      <c r="B6" s="129"/>
      <c r="C6" s="136"/>
      <c r="D6" s="90">
        <f>'RFPR cover'!$C$13</f>
        <v>2016</v>
      </c>
      <c r="E6" s="91">
        <f>D6+1</f>
        <v>2017</v>
      </c>
      <c r="F6" s="91">
        <f t="shared" ref="F6:K6" si="0">E6+1</f>
        <v>2018</v>
      </c>
      <c r="G6" s="91">
        <f t="shared" si="0"/>
        <v>2019</v>
      </c>
      <c r="H6" s="91">
        <f t="shared" si="0"/>
        <v>2020</v>
      </c>
      <c r="I6" s="91">
        <f t="shared" si="0"/>
        <v>2021</v>
      </c>
      <c r="J6" s="91">
        <f t="shared" si="0"/>
        <v>2022</v>
      </c>
      <c r="K6" s="91">
        <f t="shared" si="0"/>
        <v>2023</v>
      </c>
      <c r="L6" s="53"/>
    </row>
    <row r="7" spans="1:12" s="2" customFormat="1">
      <c r="B7" s="766"/>
      <c r="C7" s="152"/>
      <c r="D7" s="49"/>
      <c r="E7" s="49"/>
      <c r="F7" s="49"/>
      <c r="G7" s="49"/>
      <c r="H7" s="49"/>
      <c r="I7" s="49"/>
      <c r="J7" s="49"/>
      <c r="K7" s="49"/>
      <c r="L7" s="57"/>
    </row>
    <row r="8" spans="1:12" s="2" customFormat="1">
      <c r="B8" s="767" t="s">
        <v>155</v>
      </c>
      <c r="C8" s="150"/>
      <c r="D8" s="80"/>
      <c r="E8" s="80"/>
      <c r="F8" s="80"/>
      <c r="G8" s="80"/>
      <c r="H8" s="80"/>
      <c r="I8" s="80"/>
      <c r="J8" s="80"/>
      <c r="K8" s="80"/>
      <c r="L8" s="272"/>
    </row>
    <row r="9" spans="1:12" s="35" customFormat="1">
      <c r="A9" s="2"/>
      <c r="B9" s="768"/>
      <c r="C9" s="138"/>
      <c r="L9" s="57"/>
    </row>
    <row r="10" spans="1:12" s="2" customFormat="1">
      <c r="B10" s="769" t="s">
        <v>386</v>
      </c>
      <c r="C10" s="151" t="str">
        <f>'RFPR cover'!$C$14</f>
        <v>£m 12/13</v>
      </c>
      <c r="D10" s="594">
        <v>286.89999999999998</v>
      </c>
      <c r="E10" s="595">
        <v>291.89999999999998</v>
      </c>
      <c r="F10" s="595">
        <v>296.5</v>
      </c>
      <c r="G10" s="595">
        <v>299.5</v>
      </c>
      <c r="H10" s="595">
        <v>302.5</v>
      </c>
      <c r="I10" s="595">
        <v>305.5</v>
      </c>
      <c r="J10" s="595"/>
      <c r="K10" s="595"/>
      <c r="L10" s="57"/>
    </row>
    <row r="11" spans="1:12" s="2" customFormat="1">
      <c r="B11" s="769" t="s">
        <v>387</v>
      </c>
      <c r="C11" s="151" t="str">
        <f>'RFPR cover'!$C$14</f>
        <v>£m 12/13</v>
      </c>
      <c r="D11" s="596">
        <v>0</v>
      </c>
      <c r="E11" s="597">
        <v>-1.7</v>
      </c>
      <c r="F11" s="597">
        <v>-4</v>
      </c>
      <c r="G11" s="597">
        <v>-7.8</v>
      </c>
      <c r="H11" s="597">
        <v>-6.8</v>
      </c>
      <c r="I11" s="597">
        <v>-15</v>
      </c>
      <c r="J11" s="597"/>
      <c r="K11" s="597"/>
      <c r="L11" s="57"/>
    </row>
    <row r="12" spans="1:12" s="2" customFormat="1">
      <c r="B12" s="769" t="s">
        <v>147</v>
      </c>
      <c r="C12" s="151" t="str">
        <f>'RFPR cover'!$C$14</f>
        <v>£m 12/13</v>
      </c>
      <c r="D12" s="596">
        <v>0</v>
      </c>
      <c r="E12" s="597">
        <v>0</v>
      </c>
      <c r="F12" s="597">
        <v>-6.3265570245591984</v>
      </c>
      <c r="G12" s="597">
        <v>-1.1427829459226504</v>
      </c>
      <c r="H12" s="597">
        <v>0.71134570327322644</v>
      </c>
      <c r="I12" s="597">
        <v>-0.29861869239177119</v>
      </c>
      <c r="J12" s="597"/>
      <c r="K12" s="597"/>
      <c r="L12" s="57"/>
    </row>
    <row r="13" spans="1:12" s="2" customFormat="1">
      <c r="B13" s="769" t="s">
        <v>375</v>
      </c>
      <c r="C13" s="152" t="s">
        <v>127</v>
      </c>
      <c r="D13" s="819">
        <v>1.0820000000000001</v>
      </c>
      <c r="E13" s="820">
        <v>1.087</v>
      </c>
      <c r="F13" s="820">
        <v>1.121</v>
      </c>
      <c r="G13" s="820">
        <v>1.159</v>
      </c>
      <c r="H13" s="820">
        <v>1.198</v>
      </c>
      <c r="I13" s="820">
        <v>1.2170000000000001</v>
      </c>
      <c r="J13" s="820"/>
      <c r="K13" s="820"/>
      <c r="L13" s="57"/>
    </row>
    <row r="14" spans="1:12" s="2" customFormat="1">
      <c r="B14" s="770" t="s">
        <v>196</v>
      </c>
      <c r="C14" s="266" t="s">
        <v>128</v>
      </c>
      <c r="D14" s="629">
        <f>SUM(D10:D12)*D13</f>
        <v>310.42579999999998</v>
      </c>
      <c r="E14" s="630">
        <f t="shared" ref="E14:K14" si="1">SUM(E10:E12)*E13</f>
        <v>315.44739999999996</v>
      </c>
      <c r="F14" s="630">
        <f t="shared" si="1"/>
        <v>320.80042957546914</v>
      </c>
      <c r="G14" s="630">
        <f t="shared" si="1"/>
        <v>336.75581456567562</v>
      </c>
      <c r="H14" s="630">
        <f t="shared" si="1"/>
        <v>355.10079215252131</v>
      </c>
      <c r="I14" s="630">
        <f t="shared" si="1"/>
        <v>353.17508105135926</v>
      </c>
      <c r="J14" s="630">
        <f t="shared" si="1"/>
        <v>0</v>
      </c>
      <c r="K14" s="631">
        <f t="shared" si="1"/>
        <v>0</v>
      </c>
      <c r="L14" s="57"/>
    </row>
    <row r="15" spans="1:12" s="2" customFormat="1">
      <c r="B15" s="213" t="s">
        <v>131</v>
      </c>
      <c r="C15" s="152" t="s">
        <v>128</v>
      </c>
      <c r="D15" s="598">
        <f>'R5 - Output Incentives'!D102</f>
        <v>7.2959808351149995</v>
      </c>
      <c r="E15" s="599">
        <f>'R5 - Output Incentives'!E102</f>
        <v>7.9779374569769903</v>
      </c>
      <c r="F15" s="600">
        <f>'R5 - Output Incentives'!F102</f>
        <v>11.056645964830542</v>
      </c>
      <c r="G15" s="600">
        <f>'R5 - Output Incentives'!G102</f>
        <v>9.3688219807151381</v>
      </c>
      <c r="H15" s="600">
        <f>'R5 - Output Incentives'!H102</f>
        <v>5.2016442323563572</v>
      </c>
      <c r="I15" s="600">
        <f>'R5 - Output Incentives'!I102</f>
        <v>10.196153978306409</v>
      </c>
      <c r="J15" s="600">
        <f>'R5 - Output Incentives'!J102</f>
        <v>13.456898103855053</v>
      </c>
      <c r="K15" s="601">
        <f>'R5 - Output Incentives'!K102</f>
        <v>7.2944990278451129</v>
      </c>
      <c r="L15" s="57"/>
    </row>
    <row r="16" spans="1:12" s="2" customFormat="1">
      <c r="B16" s="771" t="s">
        <v>388</v>
      </c>
      <c r="C16" s="152" t="s">
        <v>128</v>
      </c>
      <c r="D16" s="596">
        <v>0</v>
      </c>
      <c r="E16" s="597">
        <v>0</v>
      </c>
      <c r="F16" s="597">
        <v>-0.9743727796161239</v>
      </c>
      <c r="G16" s="597">
        <v>-1.5370216543795576</v>
      </c>
      <c r="H16" s="597">
        <v>-0.81092718241662898</v>
      </c>
      <c r="I16" s="597">
        <v>-5.1020341062775971</v>
      </c>
      <c r="J16" s="597"/>
      <c r="K16" s="597"/>
      <c r="L16" s="57"/>
    </row>
    <row r="17" spans="2:12" s="2" customFormat="1">
      <c r="B17" s="771" t="s">
        <v>134</v>
      </c>
      <c r="C17" s="152" t="s">
        <v>128</v>
      </c>
      <c r="D17" s="598">
        <f>'R6 - Innovation'!D12</f>
        <v>0.45862408100000007</v>
      </c>
      <c r="E17" s="599">
        <f>'R6 - Innovation'!E12</f>
        <v>1.1017892250000003</v>
      </c>
      <c r="F17" s="600">
        <f>'R6 - Innovation'!F12</f>
        <v>1.4480200000000001</v>
      </c>
      <c r="G17" s="600">
        <f>'R6 - Innovation'!G12</f>
        <v>0.90602999999999989</v>
      </c>
      <c r="H17" s="600">
        <f>'R6 - Innovation'!H12</f>
        <v>1.3501413000000002</v>
      </c>
      <c r="I17" s="600">
        <f>'R6 - Innovation'!I12</f>
        <v>1.0699532999999999</v>
      </c>
      <c r="J17" s="600">
        <f>'R6 - Innovation'!J12</f>
        <v>1.2384742493686638</v>
      </c>
      <c r="K17" s="601">
        <f>'R6 - Innovation'!K12</f>
        <v>0.6389880520649609</v>
      </c>
      <c r="L17" s="57"/>
    </row>
    <row r="18" spans="2:12" s="2" customFormat="1">
      <c r="B18" s="771" t="s">
        <v>133</v>
      </c>
      <c r="C18" s="152" t="s">
        <v>128</v>
      </c>
      <c r="D18" s="598">
        <f>'R6 - Innovation'!D17</f>
        <v>1.0900995600000001</v>
      </c>
      <c r="E18" s="599">
        <f>'R6 - Innovation'!E17</f>
        <v>5.799675E-2</v>
      </c>
      <c r="F18" s="600">
        <f>'R6 - Innovation'!F17</f>
        <v>0.16837228000000001</v>
      </c>
      <c r="G18" s="600">
        <f>'R6 - Innovation'!G17</f>
        <v>0.45837662000000001</v>
      </c>
      <c r="H18" s="600">
        <f>'R6 - Innovation'!H17</f>
        <v>6.3094600000000001E-2</v>
      </c>
      <c r="I18" s="600">
        <f>'R6 - Innovation'!I17</f>
        <v>-0.17071215000000001</v>
      </c>
      <c r="J18" s="600">
        <f>'R6 - Innovation'!J17</f>
        <v>0</v>
      </c>
      <c r="K18" s="601">
        <f>'R6 - Innovation'!K17</f>
        <v>0</v>
      </c>
      <c r="L18" s="57"/>
    </row>
    <row r="19" spans="2:12" s="2" customFormat="1">
      <c r="B19" s="946" t="s">
        <v>587</v>
      </c>
      <c r="C19" s="152" t="s">
        <v>128</v>
      </c>
      <c r="D19" s="596">
        <v>-9.4046009259502412</v>
      </c>
      <c r="E19" s="597">
        <v>-1.9100856947630691</v>
      </c>
      <c r="F19" s="597">
        <v>0</v>
      </c>
      <c r="G19" s="597">
        <v>0</v>
      </c>
      <c r="H19" s="597">
        <v>0</v>
      </c>
      <c r="I19" s="597">
        <v>0</v>
      </c>
      <c r="J19" s="597"/>
      <c r="K19" s="597"/>
      <c r="L19" s="57"/>
    </row>
    <row r="20" spans="2:12" s="2" customFormat="1">
      <c r="B20" s="542" t="s">
        <v>243</v>
      </c>
      <c r="C20" s="152" t="s">
        <v>128</v>
      </c>
      <c r="D20" s="596">
        <v>0</v>
      </c>
      <c r="E20" s="597">
        <v>0</v>
      </c>
      <c r="F20" s="597">
        <v>0</v>
      </c>
      <c r="G20" s="597">
        <v>0</v>
      </c>
      <c r="H20" s="597">
        <v>0</v>
      </c>
      <c r="I20" s="597">
        <v>0</v>
      </c>
      <c r="J20" s="597"/>
      <c r="K20" s="597"/>
      <c r="L20" s="57"/>
    </row>
    <row r="21" spans="2:12" s="2" customFormat="1">
      <c r="B21" s="542" t="s">
        <v>243</v>
      </c>
      <c r="C21" s="152" t="s">
        <v>128</v>
      </c>
      <c r="D21" s="596">
        <v>0</v>
      </c>
      <c r="E21" s="597">
        <v>0</v>
      </c>
      <c r="F21" s="597">
        <v>0</v>
      </c>
      <c r="G21" s="597">
        <v>0</v>
      </c>
      <c r="H21" s="597">
        <v>0</v>
      </c>
      <c r="I21" s="597">
        <v>0</v>
      </c>
      <c r="J21" s="597"/>
      <c r="K21" s="597"/>
      <c r="L21" s="57"/>
    </row>
    <row r="22" spans="2:12" s="2" customFormat="1">
      <c r="B22" s="542" t="s">
        <v>243</v>
      </c>
      <c r="C22" s="152" t="s">
        <v>128</v>
      </c>
      <c r="D22" s="596">
        <v>0</v>
      </c>
      <c r="E22" s="597">
        <v>0</v>
      </c>
      <c r="F22" s="597">
        <v>0</v>
      </c>
      <c r="G22" s="597">
        <v>0</v>
      </c>
      <c r="H22" s="597">
        <v>0</v>
      </c>
      <c r="I22" s="597">
        <v>0</v>
      </c>
      <c r="J22" s="597"/>
      <c r="K22" s="597"/>
      <c r="L22" s="57"/>
    </row>
    <row r="23" spans="2:12" s="2" customFormat="1">
      <c r="B23" s="542" t="s">
        <v>243</v>
      </c>
      <c r="C23" s="152" t="s">
        <v>128</v>
      </c>
      <c r="D23" s="596">
        <v>0</v>
      </c>
      <c r="E23" s="597">
        <v>0</v>
      </c>
      <c r="F23" s="597">
        <v>0</v>
      </c>
      <c r="G23" s="597">
        <v>0</v>
      </c>
      <c r="H23" s="597">
        <v>0</v>
      </c>
      <c r="I23" s="597">
        <v>0</v>
      </c>
      <c r="J23" s="597"/>
      <c r="K23" s="597"/>
      <c r="L23" s="57"/>
    </row>
    <row r="24" spans="2:12" s="2" customFormat="1">
      <c r="B24" s="542" t="s">
        <v>243</v>
      </c>
      <c r="C24" s="152" t="s">
        <v>128</v>
      </c>
      <c r="D24" s="596">
        <v>0</v>
      </c>
      <c r="E24" s="597">
        <v>0</v>
      </c>
      <c r="F24" s="597">
        <v>0</v>
      </c>
      <c r="G24" s="597">
        <v>0</v>
      </c>
      <c r="H24" s="597">
        <v>0</v>
      </c>
      <c r="I24" s="597">
        <v>0</v>
      </c>
      <c r="J24" s="597"/>
      <c r="K24" s="597"/>
      <c r="L24" s="57"/>
    </row>
    <row r="25" spans="2:12" s="2" customFormat="1">
      <c r="B25" s="771" t="s">
        <v>135</v>
      </c>
      <c r="C25" s="152" t="s">
        <v>128</v>
      </c>
      <c r="D25" s="596">
        <v>0</v>
      </c>
      <c r="E25" s="597">
        <v>-21.218210269698869</v>
      </c>
      <c r="F25" s="597">
        <v>-2.9158233460713121</v>
      </c>
      <c r="G25" s="597">
        <v>12.619615032575819</v>
      </c>
      <c r="H25" s="597">
        <v>8.9009119448275928</v>
      </c>
      <c r="I25" s="597">
        <v>13.085258992572566</v>
      </c>
      <c r="J25" s="597"/>
      <c r="K25" s="597"/>
      <c r="L25" s="57"/>
    </row>
    <row r="26" spans="2:12" s="2" customFormat="1">
      <c r="B26" s="766" t="s">
        <v>148</v>
      </c>
      <c r="C26" s="152" t="s">
        <v>128</v>
      </c>
      <c r="D26" s="602">
        <f>SUM(D14:D24,-D25)</f>
        <v>309.86590355016472</v>
      </c>
      <c r="E26" s="603">
        <f t="shared" ref="E26:K26" si="2">SUM(E14:E24,-E25)</f>
        <v>343.8932480069127</v>
      </c>
      <c r="F26" s="603">
        <f t="shared" si="2"/>
        <v>335.41491838675483</v>
      </c>
      <c r="G26" s="603">
        <f t="shared" si="2"/>
        <v>333.33240647943541</v>
      </c>
      <c r="H26" s="603">
        <f t="shared" si="2"/>
        <v>352.00383315763344</v>
      </c>
      <c r="I26" s="603">
        <f t="shared" si="2"/>
        <v>346.08318308081556</v>
      </c>
      <c r="J26" s="603">
        <f t="shared" si="2"/>
        <v>14.695372353223718</v>
      </c>
      <c r="K26" s="604">
        <f t="shared" si="2"/>
        <v>7.9334870799100736</v>
      </c>
      <c r="L26" s="57"/>
    </row>
    <row r="27" spans="2:12" s="2" customFormat="1">
      <c r="B27" s="225"/>
      <c r="C27" s="138"/>
      <c r="D27" s="54"/>
      <c r="E27" s="54"/>
      <c r="F27" s="54"/>
      <c r="G27" s="60"/>
      <c r="H27" s="60"/>
      <c r="I27" s="60"/>
      <c r="J27" s="60"/>
      <c r="K27" s="60"/>
      <c r="L27" s="57"/>
    </row>
    <row r="28" spans="2:12" s="2" customFormat="1">
      <c r="B28" s="225" t="s">
        <v>150</v>
      </c>
      <c r="C28" s="138"/>
      <c r="D28" s="602">
        <f>IF(ISBLANK(D33),0,D33-D26)</f>
        <v>-2.8071223401647671</v>
      </c>
      <c r="E28" s="603">
        <f t="shared" ref="E28:K28" si="3">IF(ISBLANK(E33),0,E33-E26)</f>
        <v>12.166725073087321</v>
      </c>
      <c r="F28" s="603">
        <f t="shared" si="3"/>
        <v>8.553747913245104</v>
      </c>
      <c r="G28" s="603">
        <f t="shared" si="3"/>
        <v>12.524881230564574</v>
      </c>
      <c r="H28" s="603">
        <f t="shared" si="3"/>
        <v>-3.5586720276334063</v>
      </c>
      <c r="I28" s="603">
        <f t="shared" si="3"/>
        <v>-8.8372047308155857</v>
      </c>
      <c r="J28" s="603">
        <f t="shared" si="3"/>
        <v>0</v>
      </c>
      <c r="K28" s="604">
        <f t="shared" si="3"/>
        <v>0</v>
      </c>
      <c r="L28" s="57"/>
    </row>
    <row r="29" spans="2:12" s="2" customFormat="1">
      <c r="B29" s="225"/>
      <c r="C29" s="138"/>
      <c r="D29" s="35"/>
      <c r="E29" s="35"/>
      <c r="F29" s="35"/>
      <c r="G29" s="35"/>
      <c r="H29" s="35"/>
      <c r="I29" s="35"/>
      <c r="J29" s="35"/>
      <c r="K29" s="35"/>
      <c r="L29" s="57"/>
    </row>
    <row r="30" spans="2:12" s="2" customFormat="1">
      <c r="B30" s="225"/>
      <c r="C30" s="138"/>
      <c r="D30" s="35"/>
      <c r="E30" s="35"/>
      <c r="F30" s="35"/>
      <c r="G30" s="35"/>
      <c r="H30" s="35"/>
      <c r="I30" s="35"/>
      <c r="J30" s="35"/>
      <c r="K30" s="35"/>
      <c r="L30" s="57"/>
    </row>
    <row r="31" spans="2:12" s="2" customFormat="1">
      <c r="B31" s="767" t="s">
        <v>193</v>
      </c>
      <c r="C31" s="150"/>
      <c r="D31" s="80"/>
      <c r="E31" s="80"/>
      <c r="F31" s="80"/>
      <c r="G31" s="80"/>
      <c r="H31" s="80"/>
      <c r="I31" s="80"/>
      <c r="J31" s="80"/>
      <c r="K31" s="80"/>
      <c r="L31" s="273"/>
    </row>
    <row r="32" spans="2:12" s="2" customFormat="1">
      <c r="B32" s="225"/>
      <c r="C32" s="138"/>
      <c r="D32" s="35"/>
      <c r="E32" s="35"/>
      <c r="F32" s="35"/>
      <c r="G32" s="35"/>
      <c r="H32" s="35"/>
      <c r="I32" s="35"/>
      <c r="J32" s="35"/>
      <c r="K32" s="35"/>
      <c r="L32" s="57"/>
    </row>
    <row r="33" spans="2:12" s="2" customFormat="1">
      <c r="B33" s="768" t="s">
        <v>149</v>
      </c>
      <c r="C33" s="138"/>
      <c r="D33" s="638">
        <v>307.05878120999995</v>
      </c>
      <c r="E33" s="639">
        <v>356.05997308000002</v>
      </c>
      <c r="F33" s="639">
        <v>343.96866629999994</v>
      </c>
      <c r="G33" s="639">
        <v>345.85728770999998</v>
      </c>
      <c r="H33" s="639">
        <v>348.44516113000003</v>
      </c>
      <c r="I33" s="639">
        <v>337.24597834999997</v>
      </c>
      <c r="J33" s="639"/>
      <c r="K33" s="640"/>
      <c r="L33" s="57"/>
    </row>
    <row r="34" spans="2:12" s="2" customFormat="1">
      <c r="B34" s="129"/>
      <c r="C34" s="136"/>
      <c r="L34" s="57"/>
    </row>
    <row r="35" spans="2:12" s="2" customFormat="1">
      <c r="B35" s="393" t="s">
        <v>136</v>
      </c>
      <c r="C35" s="136"/>
      <c r="L35" s="57"/>
    </row>
    <row r="36" spans="2:12" s="2" customFormat="1">
      <c r="B36" s="897" t="s">
        <v>137</v>
      </c>
      <c r="C36" s="152" t="s">
        <v>128</v>
      </c>
      <c r="D36" s="594">
        <v>0</v>
      </c>
      <c r="E36" s="595">
        <v>0</v>
      </c>
      <c r="F36" s="595">
        <v>0</v>
      </c>
      <c r="G36" s="595">
        <v>0</v>
      </c>
      <c r="H36" s="595">
        <v>0</v>
      </c>
      <c r="I36" s="595">
        <v>0</v>
      </c>
      <c r="J36" s="595"/>
      <c r="K36" s="605"/>
      <c r="L36" s="57"/>
    </row>
    <row r="37" spans="2:12" s="2" customFormat="1">
      <c r="B37" s="897" t="s">
        <v>138</v>
      </c>
      <c r="C37" s="152" t="s">
        <v>128</v>
      </c>
      <c r="D37" s="596">
        <v>2.7888999999999999</v>
      </c>
      <c r="E37" s="597">
        <v>2.5195000000000003</v>
      </c>
      <c r="F37" s="597">
        <v>2.0343</v>
      </c>
      <c r="G37" s="597">
        <v>2.1497999999999999</v>
      </c>
      <c r="H37" s="597">
        <v>2.4695160279999997</v>
      </c>
      <c r="I37" s="597">
        <v>1.7896477180000001</v>
      </c>
      <c r="J37" s="597"/>
      <c r="K37" s="606"/>
      <c r="L37" s="57"/>
    </row>
    <row r="38" spans="2:12" s="2" customFormat="1">
      <c r="B38" s="897" t="s">
        <v>139</v>
      </c>
      <c r="C38" s="152" t="s">
        <v>128</v>
      </c>
      <c r="D38" s="596">
        <v>10.5586</v>
      </c>
      <c r="E38" s="597">
        <v>38.68560124495</v>
      </c>
      <c r="F38" s="597">
        <v>41.936399999999999</v>
      </c>
      <c r="G38" s="597">
        <v>48.3078</v>
      </c>
      <c r="H38" s="597">
        <v>53.635448077999996</v>
      </c>
      <c r="I38" s="597">
        <v>42.522312849999999</v>
      </c>
      <c r="J38" s="597"/>
      <c r="K38" s="606"/>
      <c r="L38" s="57"/>
    </row>
    <row r="39" spans="2:12" s="2" customFormat="1">
      <c r="B39" s="897" t="s">
        <v>140</v>
      </c>
      <c r="C39" s="152" t="s">
        <v>128</v>
      </c>
      <c r="D39" s="596">
        <v>0</v>
      </c>
      <c r="E39" s="597">
        <v>0</v>
      </c>
      <c r="F39" s="597">
        <v>0</v>
      </c>
      <c r="G39" s="597">
        <v>0</v>
      </c>
      <c r="H39" s="597">
        <v>0</v>
      </c>
      <c r="I39" s="597">
        <v>0</v>
      </c>
      <c r="J39" s="597"/>
      <c r="K39" s="606"/>
      <c r="L39" s="57"/>
    </row>
    <row r="40" spans="2:12" s="2" customFormat="1">
      <c r="B40" s="897" t="s">
        <v>141</v>
      </c>
      <c r="C40" s="152" t="s">
        <v>128</v>
      </c>
      <c r="D40" s="596">
        <v>0</v>
      </c>
      <c r="E40" s="597">
        <v>0</v>
      </c>
      <c r="F40" s="597">
        <v>0</v>
      </c>
      <c r="G40" s="597">
        <v>0</v>
      </c>
      <c r="H40" s="597">
        <v>0</v>
      </c>
      <c r="I40" s="597">
        <v>0</v>
      </c>
      <c r="J40" s="597"/>
      <c r="K40" s="606"/>
      <c r="L40" s="57"/>
    </row>
    <row r="41" spans="2:12" s="2" customFormat="1">
      <c r="B41" s="897" t="s">
        <v>142</v>
      </c>
      <c r="C41" s="152" t="s">
        <v>128</v>
      </c>
      <c r="D41" s="596">
        <v>4.0037000000000003</v>
      </c>
      <c r="E41" s="597">
        <v>3.9135</v>
      </c>
      <c r="F41" s="597">
        <v>3.5831</v>
      </c>
      <c r="G41" s="597">
        <v>2.8521999999999998</v>
      </c>
      <c r="H41" s="597">
        <v>2.2910224299999995</v>
      </c>
      <c r="I41" s="597">
        <v>2.1023219200000001</v>
      </c>
      <c r="J41" s="597"/>
      <c r="K41" s="606"/>
      <c r="L41" s="57"/>
    </row>
    <row r="42" spans="2:12" s="2" customFormat="1">
      <c r="B42" s="897" t="s">
        <v>143</v>
      </c>
      <c r="C42" s="152" t="s">
        <v>128</v>
      </c>
      <c r="D42" s="596">
        <v>0</v>
      </c>
      <c r="E42" s="597">
        <v>0</v>
      </c>
      <c r="F42" s="597">
        <v>0</v>
      </c>
      <c r="G42" s="597">
        <v>0</v>
      </c>
      <c r="H42" s="597">
        <v>0</v>
      </c>
      <c r="I42" s="597">
        <v>0</v>
      </c>
      <c r="J42" s="597"/>
      <c r="K42" s="606"/>
      <c r="L42" s="57"/>
    </row>
    <row r="43" spans="2:12" s="2" customFormat="1">
      <c r="B43" s="898" t="s">
        <v>144</v>
      </c>
      <c r="C43" s="152" t="s">
        <v>128</v>
      </c>
      <c r="D43" s="607">
        <v>0</v>
      </c>
      <c r="E43" s="608">
        <v>0</v>
      </c>
      <c r="F43" s="608">
        <v>0</v>
      </c>
      <c r="G43" s="608">
        <v>0</v>
      </c>
      <c r="H43" s="608">
        <v>0</v>
      </c>
      <c r="I43" s="608">
        <v>0</v>
      </c>
      <c r="J43" s="608"/>
      <c r="K43" s="609"/>
      <c r="L43" s="57"/>
    </row>
    <row r="44" spans="2:12" s="2" customFormat="1">
      <c r="B44" s="896" t="s">
        <v>528</v>
      </c>
      <c r="C44" s="152" t="s">
        <v>128</v>
      </c>
      <c r="D44" s="607">
        <v>0</v>
      </c>
      <c r="E44" s="608">
        <v>0</v>
      </c>
      <c r="F44" s="608">
        <v>0</v>
      </c>
      <c r="G44" s="608">
        <v>0</v>
      </c>
      <c r="H44" s="608">
        <v>0</v>
      </c>
      <c r="I44" s="608">
        <v>0</v>
      </c>
      <c r="J44" s="608"/>
      <c r="K44" s="609"/>
      <c r="L44" s="57"/>
    </row>
    <row r="45" spans="2:12" s="2" customFormat="1">
      <c r="B45" s="393" t="s">
        <v>176</v>
      </c>
      <c r="C45" s="152" t="s">
        <v>128</v>
      </c>
      <c r="D45" s="610">
        <f>SUM(D36:D44)</f>
        <v>17.351199999999999</v>
      </c>
      <c r="E45" s="611">
        <f t="shared" ref="E45:K45" si="4">SUM(E36:E44)</f>
        <v>45.11860124495</v>
      </c>
      <c r="F45" s="611">
        <f t="shared" si="4"/>
        <v>47.553800000000003</v>
      </c>
      <c r="G45" s="611">
        <f t="shared" si="4"/>
        <v>53.309799999999996</v>
      </c>
      <c r="H45" s="611">
        <f t="shared" si="4"/>
        <v>58.395986535999995</v>
      </c>
      <c r="I45" s="611">
        <f t="shared" si="4"/>
        <v>46.414282487999998</v>
      </c>
      <c r="J45" s="611">
        <f t="shared" si="4"/>
        <v>0</v>
      </c>
      <c r="K45" s="612">
        <f t="shared" si="4"/>
        <v>0</v>
      </c>
      <c r="L45" s="57"/>
    </row>
    <row r="46" spans="2:12" s="2" customFormat="1">
      <c r="B46" s="129"/>
      <c r="C46" s="136"/>
      <c r="L46" s="57"/>
    </row>
    <row r="47" spans="2:12" s="2" customFormat="1">
      <c r="B47" s="393" t="s">
        <v>145</v>
      </c>
      <c r="C47" s="136"/>
      <c r="L47" s="53"/>
    </row>
    <row r="48" spans="2:12" s="2" customFormat="1">
      <c r="B48" s="542" t="s">
        <v>588</v>
      </c>
      <c r="C48" s="152" t="s">
        <v>128</v>
      </c>
      <c r="D48" s="613">
        <v>1.9776003520000001</v>
      </c>
      <c r="E48" s="614">
        <v>2.6860033630000002</v>
      </c>
      <c r="F48" s="614">
        <v>2.7193234500000001</v>
      </c>
      <c r="G48" s="614">
        <v>5.7949796899999999</v>
      </c>
      <c r="H48" s="614">
        <v>3.2436951199899995</v>
      </c>
      <c r="I48" s="614">
        <v>2.6841138099999995</v>
      </c>
      <c r="J48" s="614"/>
      <c r="K48" s="615"/>
      <c r="L48" s="57"/>
    </row>
    <row r="49" spans="2:12" s="2" customFormat="1">
      <c r="B49" s="542" t="s">
        <v>589</v>
      </c>
      <c r="C49" s="152" t="s">
        <v>128</v>
      </c>
      <c r="D49" s="616">
        <v>-0.76088299999999998</v>
      </c>
      <c r="E49" s="617">
        <v>-0.63873232000999991</v>
      </c>
      <c r="F49" s="617">
        <v>-0.49299996000000001</v>
      </c>
      <c r="G49" s="617">
        <v>-0.52687464000000006</v>
      </c>
      <c r="H49" s="617">
        <v>-0.55494197999999995</v>
      </c>
      <c r="I49" s="617">
        <v>-0.59204551999999999</v>
      </c>
      <c r="J49" s="617"/>
      <c r="K49" s="618"/>
      <c r="L49" s="57"/>
    </row>
    <row r="50" spans="2:12" s="2" customFormat="1">
      <c r="B50" s="542" t="s">
        <v>590</v>
      </c>
      <c r="C50" s="152" t="s">
        <v>128</v>
      </c>
      <c r="D50" s="616">
        <v>-1.3659473899999997</v>
      </c>
      <c r="E50" s="617">
        <v>-1.1649678700000001</v>
      </c>
      <c r="F50" s="617">
        <v>-1.3093721100000002</v>
      </c>
      <c r="G50" s="617">
        <v>-0.92787659999999983</v>
      </c>
      <c r="H50" s="617">
        <v>-1.4350947700000001</v>
      </c>
      <c r="I50" s="617">
        <v>-0.87843581999999987</v>
      </c>
      <c r="J50" s="617"/>
      <c r="K50" s="618"/>
      <c r="L50" s="57"/>
    </row>
    <row r="51" spans="2:12" s="2" customFormat="1">
      <c r="B51" s="542" t="s">
        <v>591</v>
      </c>
      <c r="C51" s="152" t="s">
        <v>128</v>
      </c>
      <c r="D51" s="616">
        <v>34.615600000000001</v>
      </c>
      <c r="E51" s="617">
        <v>0</v>
      </c>
      <c r="F51" s="617">
        <v>0</v>
      </c>
      <c r="G51" s="617">
        <v>0</v>
      </c>
      <c r="H51" s="617">
        <v>0</v>
      </c>
      <c r="I51" s="617">
        <v>0</v>
      </c>
      <c r="J51" s="617"/>
      <c r="K51" s="618"/>
      <c r="L51" s="57"/>
    </row>
    <row r="52" spans="2:12" s="2" customFormat="1">
      <c r="B52" s="542" t="s">
        <v>592</v>
      </c>
      <c r="C52" s="152" t="s">
        <v>128</v>
      </c>
      <c r="D52" s="616">
        <v>-36.565800000000003</v>
      </c>
      <c r="E52" s="617">
        <v>-29.979101244949998</v>
      </c>
      <c r="F52" s="617">
        <v>-28.109400000000001</v>
      </c>
      <c r="G52" s="617">
        <v>-31.3200934027278</v>
      </c>
      <c r="H52" s="617">
        <v>-26.571100000000001</v>
      </c>
      <c r="I52" s="617">
        <v>-27.061399999999999</v>
      </c>
      <c r="J52" s="617"/>
      <c r="K52" s="618"/>
      <c r="L52" s="57"/>
    </row>
    <row r="53" spans="2:12" s="2" customFormat="1">
      <c r="B53" s="542" t="s">
        <v>593</v>
      </c>
      <c r="C53" s="152" t="s">
        <v>128</v>
      </c>
      <c r="D53" s="616">
        <v>1.9501999999999999</v>
      </c>
      <c r="E53" s="617">
        <v>0</v>
      </c>
      <c r="F53" s="617">
        <v>0</v>
      </c>
      <c r="G53" s="617">
        <v>0</v>
      </c>
      <c r="H53" s="617">
        <v>0</v>
      </c>
      <c r="I53" s="617">
        <v>0</v>
      </c>
      <c r="J53" s="617"/>
      <c r="K53" s="618"/>
      <c r="L53" s="57"/>
    </row>
    <row r="54" spans="2:12" s="2" customFormat="1">
      <c r="B54" s="542" t="s">
        <v>154</v>
      </c>
      <c r="C54" s="152" t="s">
        <v>128</v>
      </c>
      <c r="D54" s="616">
        <v>0</v>
      </c>
      <c r="E54" s="617">
        <v>0.12</v>
      </c>
      <c r="F54" s="617">
        <v>0.1</v>
      </c>
      <c r="G54" s="617">
        <v>0</v>
      </c>
      <c r="H54" s="617">
        <v>0.2</v>
      </c>
      <c r="I54" s="617">
        <v>0.1</v>
      </c>
      <c r="J54" s="617"/>
      <c r="K54" s="618"/>
      <c r="L54" s="57"/>
    </row>
    <row r="55" spans="2:12" s="2" customFormat="1">
      <c r="B55" s="946" t="s">
        <v>243</v>
      </c>
      <c r="C55" s="152" t="s">
        <v>128</v>
      </c>
      <c r="D55" s="616">
        <v>0</v>
      </c>
      <c r="E55" s="617">
        <v>0</v>
      </c>
      <c r="F55" s="617">
        <v>0</v>
      </c>
      <c r="G55" s="617">
        <v>0</v>
      </c>
      <c r="H55" s="617">
        <v>0</v>
      </c>
      <c r="I55" s="617">
        <v>0</v>
      </c>
      <c r="J55" s="617"/>
      <c r="K55" s="618"/>
      <c r="L55" s="57"/>
    </row>
    <row r="56" spans="2:12" s="2" customFormat="1">
      <c r="B56" s="542" t="s">
        <v>243</v>
      </c>
      <c r="C56" s="152" t="s">
        <v>128</v>
      </c>
      <c r="D56" s="616">
        <v>0</v>
      </c>
      <c r="E56" s="617">
        <v>0</v>
      </c>
      <c r="F56" s="617">
        <v>0</v>
      </c>
      <c r="G56" s="617">
        <v>0</v>
      </c>
      <c r="H56" s="617">
        <v>0</v>
      </c>
      <c r="I56" s="617">
        <v>0</v>
      </c>
      <c r="J56" s="617"/>
      <c r="K56" s="618"/>
      <c r="L56" s="57"/>
    </row>
    <row r="57" spans="2:12" s="2" customFormat="1">
      <c r="B57" s="542" t="s">
        <v>243</v>
      </c>
      <c r="C57" s="152" t="s">
        <v>128</v>
      </c>
      <c r="D57" s="616">
        <v>0</v>
      </c>
      <c r="E57" s="617">
        <v>0</v>
      </c>
      <c r="F57" s="617">
        <v>0</v>
      </c>
      <c r="G57" s="617">
        <v>0</v>
      </c>
      <c r="H57" s="617">
        <v>0</v>
      </c>
      <c r="I57" s="617">
        <v>0</v>
      </c>
      <c r="J57" s="617"/>
      <c r="K57" s="618"/>
      <c r="L57" s="57"/>
    </row>
    <row r="58" spans="2:12" s="2" customFormat="1">
      <c r="B58" s="542" t="s">
        <v>243</v>
      </c>
      <c r="C58" s="152" t="s">
        <v>128</v>
      </c>
      <c r="D58" s="616">
        <v>0</v>
      </c>
      <c r="E58" s="617">
        <v>0</v>
      </c>
      <c r="F58" s="617">
        <v>0</v>
      </c>
      <c r="G58" s="617">
        <v>0</v>
      </c>
      <c r="H58" s="617">
        <v>0</v>
      </c>
      <c r="I58" s="617">
        <v>0</v>
      </c>
      <c r="J58" s="617"/>
      <c r="K58" s="618"/>
      <c r="L58" s="57"/>
    </row>
    <row r="59" spans="2:12" s="2" customFormat="1">
      <c r="B59" s="542" t="s">
        <v>243</v>
      </c>
      <c r="C59" s="152" t="s">
        <v>128</v>
      </c>
      <c r="D59" s="616">
        <v>0</v>
      </c>
      <c r="E59" s="617">
        <v>0</v>
      </c>
      <c r="F59" s="617">
        <v>0</v>
      </c>
      <c r="G59" s="617">
        <v>0</v>
      </c>
      <c r="H59" s="617">
        <v>0</v>
      </c>
      <c r="I59" s="617">
        <v>0</v>
      </c>
      <c r="J59" s="617"/>
      <c r="K59" s="618"/>
      <c r="L59" s="57"/>
    </row>
    <row r="60" spans="2:12" s="2" customFormat="1">
      <c r="B60" s="542" t="s">
        <v>243</v>
      </c>
      <c r="C60" s="152" t="s">
        <v>128</v>
      </c>
      <c r="D60" s="616">
        <v>0</v>
      </c>
      <c r="E60" s="617">
        <v>0</v>
      </c>
      <c r="F60" s="617">
        <v>0</v>
      </c>
      <c r="G60" s="617">
        <v>0</v>
      </c>
      <c r="H60" s="617">
        <v>0</v>
      </c>
      <c r="I60" s="617">
        <v>0</v>
      </c>
      <c r="J60" s="617"/>
      <c r="K60" s="618"/>
      <c r="L60" s="57"/>
    </row>
    <row r="61" spans="2:12" s="2" customFormat="1">
      <c r="B61" s="542" t="s">
        <v>243</v>
      </c>
      <c r="C61" s="152" t="s">
        <v>128</v>
      </c>
      <c r="D61" s="616">
        <v>0</v>
      </c>
      <c r="E61" s="617">
        <v>0</v>
      </c>
      <c r="F61" s="617">
        <v>0</v>
      </c>
      <c r="G61" s="617">
        <v>0</v>
      </c>
      <c r="H61" s="617">
        <v>0</v>
      </c>
      <c r="I61" s="617">
        <v>0</v>
      </c>
      <c r="J61" s="617"/>
      <c r="K61" s="618"/>
      <c r="L61" s="57"/>
    </row>
    <row r="62" spans="2:12" s="2" customFormat="1">
      <c r="B62" s="542" t="s">
        <v>243</v>
      </c>
      <c r="C62" s="152" t="s">
        <v>128</v>
      </c>
      <c r="D62" s="616">
        <v>0</v>
      </c>
      <c r="E62" s="617">
        <v>0</v>
      </c>
      <c r="F62" s="617">
        <v>0</v>
      </c>
      <c r="G62" s="617">
        <v>0</v>
      </c>
      <c r="H62" s="617">
        <v>0</v>
      </c>
      <c r="I62" s="617">
        <v>0</v>
      </c>
      <c r="J62" s="617"/>
      <c r="K62" s="618"/>
      <c r="L62" s="57"/>
    </row>
    <row r="63" spans="2:12" s="2" customFormat="1">
      <c r="B63" s="772" t="s">
        <v>154</v>
      </c>
      <c r="C63" s="152" t="s">
        <v>128</v>
      </c>
      <c r="D63" s="619">
        <v>0</v>
      </c>
      <c r="E63" s="620">
        <v>0</v>
      </c>
      <c r="F63" s="621">
        <v>0</v>
      </c>
      <c r="G63" s="620">
        <v>0</v>
      </c>
      <c r="H63" s="620">
        <v>0</v>
      </c>
      <c r="I63" s="620">
        <v>0</v>
      </c>
      <c r="J63" s="620"/>
      <c r="K63" s="622"/>
      <c r="L63" s="57"/>
    </row>
    <row r="64" spans="2:12" s="2" customFormat="1">
      <c r="B64" s="768" t="s">
        <v>177</v>
      </c>
      <c r="C64" s="152" t="s">
        <v>128</v>
      </c>
      <c r="D64" s="602">
        <f t="shared" ref="D64:K64" si="5">SUM(D48:D63)</f>
        <v>-0.14923003800000134</v>
      </c>
      <c r="E64" s="603">
        <f t="shared" si="5"/>
        <v>-28.976798071959998</v>
      </c>
      <c r="F64" s="603">
        <f t="shared" si="5"/>
        <v>-27.092448619999999</v>
      </c>
      <c r="G64" s="603">
        <f t="shared" si="5"/>
        <v>-26.979864952727802</v>
      </c>
      <c r="H64" s="603">
        <f t="shared" si="5"/>
        <v>-25.117441630010003</v>
      </c>
      <c r="I64" s="603">
        <f t="shared" si="5"/>
        <v>-25.747767529999997</v>
      </c>
      <c r="J64" s="603">
        <f t="shared" si="5"/>
        <v>0</v>
      </c>
      <c r="K64" s="604">
        <f t="shared" si="5"/>
        <v>0</v>
      </c>
      <c r="L64" s="57"/>
    </row>
    <row r="65" spans="1:12" s="2" customFormat="1">
      <c r="B65" s="225"/>
      <c r="C65" s="138"/>
      <c r="D65" s="55"/>
      <c r="E65" s="55"/>
      <c r="F65" s="55"/>
      <c r="G65" s="55"/>
      <c r="H65" s="55"/>
      <c r="I65" s="55"/>
      <c r="J65" s="55"/>
      <c r="K65" s="55"/>
      <c r="L65" s="57"/>
    </row>
    <row r="66" spans="1:12" s="2" customFormat="1">
      <c r="B66" s="768" t="s">
        <v>146</v>
      </c>
      <c r="C66" s="152" t="s">
        <v>128</v>
      </c>
      <c r="D66" s="623">
        <f t="shared" ref="D66:K66" si="6">D33+D45+D64</f>
        <v>324.26075117199997</v>
      </c>
      <c r="E66" s="624">
        <f t="shared" si="6"/>
        <v>372.20177625299004</v>
      </c>
      <c r="F66" s="624">
        <f t="shared" si="6"/>
        <v>364.43001767999999</v>
      </c>
      <c r="G66" s="624">
        <f t="shared" si="6"/>
        <v>372.1872227572722</v>
      </c>
      <c r="H66" s="624">
        <f t="shared" si="6"/>
        <v>381.72370603599006</v>
      </c>
      <c r="I66" s="624">
        <f t="shared" si="6"/>
        <v>357.91249330800002</v>
      </c>
      <c r="J66" s="624">
        <f t="shared" si="6"/>
        <v>0</v>
      </c>
      <c r="K66" s="625">
        <f t="shared" si="6"/>
        <v>0</v>
      </c>
      <c r="L66" s="57"/>
    </row>
    <row r="67" spans="1:12" s="2" customFormat="1">
      <c r="B67" s="768" t="s">
        <v>194</v>
      </c>
      <c r="C67" s="152" t="s">
        <v>128</v>
      </c>
      <c r="D67" s="626">
        <v>324.3</v>
      </c>
      <c r="E67" s="627">
        <v>372.2</v>
      </c>
      <c r="F67" s="627">
        <v>364.4</v>
      </c>
      <c r="G67" s="627">
        <v>372.2</v>
      </c>
      <c r="H67" s="627">
        <v>381.7</v>
      </c>
      <c r="I67" s="627">
        <v>357.9</v>
      </c>
      <c r="J67" s="627"/>
      <c r="K67" s="628"/>
      <c r="L67" s="57"/>
    </row>
    <row r="68" spans="1:12" s="2" customFormat="1">
      <c r="B68" s="225" t="s">
        <v>122</v>
      </c>
      <c r="C68" s="138"/>
      <c r="D68" s="115" t="str">
        <f>IF(ABS(D66-D67)&lt;'RFPR cover'!$F$14,"OK","Error")</f>
        <v>OK</v>
      </c>
      <c r="E68" s="115" t="str">
        <f>IF(ABS(E66-E67)&lt;'RFPR cover'!$F$14,"OK","Error")</f>
        <v>OK</v>
      </c>
      <c r="F68" s="115" t="str">
        <f>IF(ABS(F66-F67)&lt;'RFPR cover'!$F$14,"OK","Error")</f>
        <v>OK</v>
      </c>
      <c r="G68" s="115" t="str">
        <f>IF(ABS(G66-G67)&lt;'RFPR cover'!$F$14,"OK","Error")</f>
        <v>OK</v>
      </c>
      <c r="H68" s="115" t="str">
        <f>IF(ABS(H66-H67)&lt;'RFPR cover'!$F$14,"OK","Error")</f>
        <v>OK</v>
      </c>
      <c r="I68" s="115" t="str">
        <f>IF(ABS(I66-I67)&lt;'RFPR cover'!$F$14,"OK","Error")</f>
        <v>OK</v>
      </c>
      <c r="J68" s="115" t="str">
        <f>IF(ABS(J66-J67)&lt;'RFPR cover'!$F$14,"OK","Error")</f>
        <v>OK</v>
      </c>
      <c r="K68" s="115" t="str">
        <f>IF(ABS(K66-K67)&lt;'RFPR cover'!$F$14,"OK","Error")</f>
        <v>OK</v>
      </c>
      <c r="L68" s="57"/>
    </row>
    <row r="69" spans="1:12" s="2" customFormat="1">
      <c r="B69" s="129"/>
      <c r="C69" s="138"/>
      <c r="D69" s="47"/>
      <c r="E69" s="47"/>
      <c r="F69" s="47"/>
      <c r="G69" s="47"/>
      <c r="H69" s="47"/>
      <c r="I69" s="47"/>
      <c r="J69" s="47"/>
      <c r="K69" s="47"/>
      <c r="L69" s="57"/>
    </row>
    <row r="70" spans="1:12" s="2" customFormat="1">
      <c r="B70" s="129"/>
      <c r="C70" s="136"/>
      <c r="L70" s="53"/>
    </row>
    <row r="71" spans="1:12" s="2" customFormat="1">
      <c r="A71" s="80"/>
      <c r="B71" s="773"/>
      <c r="C71" s="150"/>
      <c r="D71" s="80"/>
      <c r="E71" s="80"/>
      <c r="F71" s="80"/>
      <c r="G71" s="80"/>
      <c r="H71" s="80"/>
      <c r="I71" s="80"/>
      <c r="J71" s="80"/>
      <c r="K71" s="80"/>
      <c r="L71" s="272"/>
    </row>
  </sheetData>
  <conditionalFormatting sqref="D6:K6">
    <cfRule type="expression" dxfId="86" priority="17">
      <formula>AND(D$5="Actuals",E$5="Forecast")</formula>
    </cfRule>
  </conditionalFormatting>
  <conditionalFormatting sqref="D5:K5">
    <cfRule type="expression" dxfId="85" priority="10">
      <formula>AND(D$5="Actuals",E$5="Forecast")</formula>
    </cfRule>
  </conditionalFormatting>
  <conditionalFormatting sqref="D33:H33 D45:K45 D28:H28 D66:K68 D36:H44 J36:K44 J33:K33 D48:K64">
    <cfRule type="expression" dxfId="84" priority="9">
      <formula>D$5="Forecast"</formula>
    </cfRule>
  </conditionalFormatting>
  <conditionalFormatting sqref="I14:K15 I28:K28 J10:K13 I17:K18 J16:K16 I26:K26 J19:K25">
    <cfRule type="expression" dxfId="83" priority="8">
      <formula>I$5="Forecast"</formula>
    </cfRule>
  </conditionalFormatting>
  <conditionalFormatting sqref="H10:H26">
    <cfRule type="expression" dxfId="82" priority="7">
      <formula>H$5="Forecast"</formula>
    </cfRule>
  </conditionalFormatting>
  <conditionalFormatting sqref="G10:G26">
    <cfRule type="expression" dxfId="81" priority="6">
      <formula>G$5="Forecast"</formula>
    </cfRule>
  </conditionalFormatting>
  <conditionalFormatting sqref="I36:I44">
    <cfRule type="expression" dxfId="80" priority="5">
      <formula>I$5="Forecast"</formula>
    </cfRule>
  </conditionalFormatting>
  <conditionalFormatting sqref="I10:I13">
    <cfRule type="expression" dxfId="79" priority="4">
      <formula>I$5="Forecast"</formula>
    </cfRule>
  </conditionalFormatting>
  <conditionalFormatting sqref="I16">
    <cfRule type="expression" dxfId="78" priority="3">
      <formula>I$5="Forecast"</formula>
    </cfRule>
  </conditionalFormatting>
  <conditionalFormatting sqref="I19:I25">
    <cfRule type="expression" dxfId="77" priority="2">
      <formula>I$5="Forecast"</formula>
    </cfRule>
  </conditionalFormatting>
  <conditionalFormatting sqref="I33">
    <cfRule type="expression" dxfId="76" priority="1">
      <formula>I$5="Forecast"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86"/>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4.453125" customWidth="1"/>
    <col min="3" max="3" width="13.36328125" style="136" customWidth="1"/>
    <col min="4" max="11" width="11.08984375" customWidth="1"/>
    <col min="12" max="12" width="5" customWidth="1"/>
  </cols>
  <sheetData>
    <row r="1" spans="1:12" s="31" customFormat="1" ht="21">
      <c r="A1" s="927" t="s">
        <v>310</v>
      </c>
      <c r="B1" s="928"/>
      <c r="C1" s="148"/>
      <c r="D1" s="121"/>
      <c r="E1" s="121"/>
      <c r="F1" s="121"/>
      <c r="G1" s="121"/>
      <c r="H1" s="121"/>
      <c r="I1" s="121"/>
      <c r="J1" s="121"/>
      <c r="K1" s="121"/>
      <c r="L1" s="122"/>
    </row>
    <row r="2" spans="1:12" s="31" customFormat="1" ht="21">
      <c r="A2" s="912" t="str">
        <f>'RFPR cover'!C5</f>
        <v>WPD-SWEST</v>
      </c>
      <c r="B2" s="904"/>
      <c r="C2" s="134"/>
      <c r="D2" s="29"/>
      <c r="E2" s="29"/>
      <c r="F2" s="29"/>
      <c r="G2" s="29"/>
      <c r="H2" s="29"/>
      <c r="I2" s="27"/>
      <c r="J2" s="27"/>
      <c r="K2" s="27"/>
      <c r="L2" s="123"/>
    </row>
    <row r="3" spans="1:12" s="31" customFormat="1" ht="21">
      <c r="A3" s="929">
        <f>'RFPR cover'!C7</f>
        <v>2021</v>
      </c>
      <c r="B3" s="930"/>
      <c r="C3" s="149"/>
      <c r="D3" s="124"/>
      <c r="E3" s="124"/>
      <c r="F3" s="124"/>
      <c r="G3" s="124"/>
      <c r="H3" s="124"/>
      <c r="I3" s="28"/>
      <c r="J3" s="28"/>
      <c r="K3" s="28"/>
      <c r="L3" s="125"/>
    </row>
    <row r="4" spans="1:12" s="2" customFormat="1" ht="12.75" customHeight="1">
      <c r="C4" s="136"/>
    </row>
    <row r="5" spans="1:12" s="2" customFormat="1">
      <c r="B5" s="3"/>
      <c r="C5" s="136"/>
      <c r="D5" s="389" t="str">
        <f>IF(D6&lt;='RFPR cover'!$C$7,"Actuals","N/A")</f>
        <v>Actuals</v>
      </c>
      <c r="E5" s="390" t="str">
        <f>IF(E6&lt;='RFPR cover'!$C$7,"Actuals","N/A")</f>
        <v>Actuals</v>
      </c>
      <c r="F5" s="390" t="str">
        <f>IF(F6&lt;='RFPR cover'!$C$7,"Actuals","N/A")</f>
        <v>Actuals</v>
      </c>
      <c r="G5" s="390" t="str">
        <f>IF(G6&lt;='RFPR cover'!$C$7,"Actuals","N/A")</f>
        <v>Actuals</v>
      </c>
      <c r="H5" s="390" t="str">
        <f>IF(H6&lt;='RFPR cover'!$C$7,"Actuals","N/A")</f>
        <v>Actuals</v>
      </c>
      <c r="I5" s="390" t="str">
        <f>IF(I6&lt;='RFPR cover'!$C$7,"Actuals","N/A")</f>
        <v>Actuals</v>
      </c>
      <c r="J5" s="390" t="str">
        <f>IF(J6&lt;='RFPR cover'!$C$7,"Actuals","N/A")</f>
        <v>N/A</v>
      </c>
      <c r="K5" s="391" t="str">
        <f>IF(K6&lt;='RFPR cover'!$C$7,"Actuals","N/A")</f>
        <v>N/A</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C7" s="136"/>
    </row>
    <row r="8" spans="1:12" s="2" customFormat="1">
      <c r="B8" s="50" t="s">
        <v>316</v>
      </c>
      <c r="C8" s="137"/>
      <c r="D8" s="50"/>
      <c r="E8" s="50"/>
      <c r="F8" s="50"/>
      <c r="G8" s="50"/>
      <c r="H8" s="50"/>
      <c r="I8" s="50"/>
      <c r="J8" s="50"/>
      <c r="K8" s="50"/>
      <c r="L8" s="35"/>
    </row>
    <row r="9" spans="1:12" s="2" customFormat="1">
      <c r="B9" s="129" t="s">
        <v>160</v>
      </c>
      <c r="C9" s="152" t="s">
        <v>128</v>
      </c>
      <c r="D9" s="594">
        <v>218.90509999999986</v>
      </c>
      <c r="E9" s="595">
        <v>250.83599999999998</v>
      </c>
      <c r="F9" s="595">
        <v>238.85800000000003</v>
      </c>
      <c r="G9" s="595">
        <v>211.24299999999999</v>
      </c>
      <c r="H9" s="595">
        <v>229.10000000000002</v>
      </c>
      <c r="I9" s="595">
        <v>233.10000000000002</v>
      </c>
      <c r="J9" s="595"/>
      <c r="K9" s="605"/>
    </row>
    <row r="10" spans="1:12" s="2" customFormat="1">
      <c r="B10" s="129" t="s">
        <v>161</v>
      </c>
      <c r="C10" s="152" t="s">
        <v>128</v>
      </c>
      <c r="D10" s="596">
        <v>3.0999999999999996</v>
      </c>
      <c r="E10" s="597">
        <v>2</v>
      </c>
      <c r="F10" s="597">
        <v>8.1999999999999993</v>
      </c>
      <c r="G10" s="597">
        <v>6.2</v>
      </c>
      <c r="H10" s="597">
        <v>6.4</v>
      </c>
      <c r="I10" s="597">
        <v>2.5</v>
      </c>
      <c r="J10" s="597"/>
      <c r="K10" s="606"/>
    </row>
    <row r="11" spans="1:12" s="2" customFormat="1" ht="29.25" customHeight="1">
      <c r="B11" s="130" t="s">
        <v>455</v>
      </c>
      <c r="C11" s="152" t="s">
        <v>128</v>
      </c>
      <c r="D11" s="596">
        <v>-2.3889</v>
      </c>
      <c r="E11" s="597">
        <v>0</v>
      </c>
      <c r="F11" s="597">
        <v>0</v>
      </c>
      <c r="G11" s="597">
        <v>0</v>
      </c>
      <c r="H11" s="597">
        <v>0</v>
      </c>
      <c r="I11" s="597">
        <v>0</v>
      </c>
      <c r="J11" s="597"/>
      <c r="K11" s="606"/>
    </row>
    <row r="12" spans="1:12" s="2" customFormat="1">
      <c r="B12" s="129" t="s">
        <v>162</v>
      </c>
      <c r="C12" s="152" t="s">
        <v>128</v>
      </c>
      <c r="D12" s="596">
        <v>-36.664400000000001</v>
      </c>
      <c r="E12" s="597">
        <v>-38.732050890000004</v>
      </c>
      <c r="F12" s="597">
        <v>-37.055998950000003</v>
      </c>
      <c r="G12" s="597">
        <v>-33.293672500000007</v>
      </c>
      <c r="H12" s="597">
        <v>-30.720282109999999</v>
      </c>
      <c r="I12" s="597">
        <v>-31.141755420000003</v>
      </c>
      <c r="J12" s="597"/>
      <c r="K12" s="606"/>
    </row>
    <row r="13" spans="1:12" s="2" customFormat="1">
      <c r="B13" s="129" t="s">
        <v>163</v>
      </c>
      <c r="C13" s="152" t="s">
        <v>128</v>
      </c>
      <c r="D13" s="596">
        <v>-0.30099999999999999</v>
      </c>
      <c r="E13" s="597">
        <v>0.46400000000000002</v>
      </c>
      <c r="F13" s="597">
        <v>0.64200000000000002</v>
      </c>
      <c r="G13" s="597">
        <v>2.0569999999999999</v>
      </c>
      <c r="H13" s="597">
        <v>0</v>
      </c>
      <c r="I13" s="597">
        <v>0</v>
      </c>
      <c r="J13" s="597"/>
      <c r="K13" s="606"/>
    </row>
    <row r="14" spans="1:12" s="2" customFormat="1">
      <c r="B14" s="129" t="s">
        <v>164</v>
      </c>
      <c r="C14" s="152" t="s">
        <v>128</v>
      </c>
      <c r="D14" s="632">
        <v>0</v>
      </c>
      <c r="E14" s="633">
        <v>0</v>
      </c>
      <c r="F14" s="633">
        <v>0</v>
      </c>
      <c r="G14" s="633">
        <v>0</v>
      </c>
      <c r="H14" s="633">
        <v>0</v>
      </c>
      <c r="I14" s="633">
        <v>0</v>
      </c>
      <c r="J14" s="633"/>
      <c r="K14" s="634"/>
    </row>
    <row r="15" spans="1:12" s="2" customFormat="1">
      <c r="A15" s="3">
        <v>1</v>
      </c>
      <c r="B15" s="873" t="s">
        <v>243</v>
      </c>
      <c r="C15" s="152" t="s">
        <v>128</v>
      </c>
      <c r="D15" s="594">
        <v>0</v>
      </c>
      <c r="E15" s="595">
        <v>0</v>
      </c>
      <c r="F15" s="595">
        <v>0</v>
      </c>
      <c r="G15" s="595">
        <v>0</v>
      </c>
      <c r="H15" s="595">
        <v>0</v>
      </c>
      <c r="I15" s="595">
        <v>0</v>
      </c>
      <c r="J15" s="595"/>
      <c r="K15" s="605"/>
    </row>
    <row r="16" spans="1:12" s="2" customFormat="1">
      <c r="A16" s="3">
        <v>2</v>
      </c>
      <c r="B16" s="873" t="s">
        <v>243</v>
      </c>
      <c r="C16" s="152" t="s">
        <v>128</v>
      </c>
      <c r="D16" s="596">
        <v>0</v>
      </c>
      <c r="E16" s="597">
        <v>0</v>
      </c>
      <c r="F16" s="597">
        <v>0</v>
      </c>
      <c r="G16" s="597">
        <v>0</v>
      </c>
      <c r="H16" s="597">
        <v>0</v>
      </c>
      <c r="I16" s="597">
        <v>0</v>
      </c>
      <c r="J16" s="597"/>
      <c r="K16" s="606"/>
    </row>
    <row r="17" spans="1:11" s="2" customFormat="1">
      <c r="A17" s="3">
        <v>3</v>
      </c>
      <c r="B17" s="873" t="s">
        <v>243</v>
      </c>
      <c r="C17" s="152" t="s">
        <v>128</v>
      </c>
      <c r="D17" s="596">
        <v>0</v>
      </c>
      <c r="E17" s="597">
        <v>0</v>
      </c>
      <c r="F17" s="597">
        <v>0</v>
      </c>
      <c r="G17" s="597">
        <v>0</v>
      </c>
      <c r="H17" s="597">
        <v>0</v>
      </c>
      <c r="I17" s="597">
        <v>0</v>
      </c>
      <c r="J17" s="597"/>
      <c r="K17" s="606"/>
    </row>
    <row r="18" spans="1:11" s="2" customFormat="1">
      <c r="B18" s="12" t="s">
        <v>165</v>
      </c>
      <c r="C18" s="152" t="s">
        <v>128</v>
      </c>
      <c r="D18" s="635">
        <f>SUM(D9:D17)</f>
        <v>182.65079999999986</v>
      </c>
      <c r="E18" s="636">
        <f t="shared" ref="E18:K18" si="1">SUM(E9:E17)</f>
        <v>214.56794910999997</v>
      </c>
      <c r="F18" s="636">
        <f t="shared" si="1"/>
        <v>210.64400105000001</v>
      </c>
      <c r="G18" s="636">
        <f t="shared" si="1"/>
        <v>186.20632749999996</v>
      </c>
      <c r="H18" s="636">
        <f t="shared" si="1"/>
        <v>204.77971789000003</v>
      </c>
      <c r="I18" s="636">
        <f t="shared" si="1"/>
        <v>204.45824458000001</v>
      </c>
      <c r="J18" s="636">
        <f t="shared" si="1"/>
        <v>0</v>
      </c>
      <c r="K18" s="637">
        <f t="shared" si="1"/>
        <v>0</v>
      </c>
    </row>
    <row r="19" spans="1:11" s="2" customFormat="1">
      <c r="B19" s="129" t="s">
        <v>166</v>
      </c>
      <c r="C19" s="152" t="s">
        <v>128</v>
      </c>
      <c r="D19" s="638">
        <v>97.7</v>
      </c>
      <c r="E19" s="639">
        <v>88.6</v>
      </c>
      <c r="F19" s="639">
        <v>99.199999999999974</v>
      </c>
      <c r="G19" s="639">
        <v>111.69999999999999</v>
      </c>
      <c r="H19" s="639">
        <v>120.4</v>
      </c>
      <c r="I19" s="639">
        <v>109.59999999999998</v>
      </c>
      <c r="J19" s="639"/>
      <c r="K19" s="640"/>
    </row>
    <row r="20" spans="1:11" s="2" customFormat="1">
      <c r="A20" s="3">
        <v>1</v>
      </c>
      <c r="B20" s="873" t="s">
        <v>243</v>
      </c>
      <c r="C20" s="152" t="s">
        <v>128</v>
      </c>
      <c r="D20" s="594">
        <v>0</v>
      </c>
      <c r="E20" s="595">
        <v>0</v>
      </c>
      <c r="F20" s="595">
        <v>0</v>
      </c>
      <c r="G20" s="595">
        <v>0</v>
      </c>
      <c r="H20" s="595">
        <v>0</v>
      </c>
      <c r="I20" s="595">
        <v>0</v>
      </c>
      <c r="J20" s="595"/>
      <c r="K20" s="605"/>
    </row>
    <row r="21" spans="1:11" s="2" customFormat="1">
      <c r="A21" s="3">
        <v>2</v>
      </c>
      <c r="B21" s="873" t="s">
        <v>243</v>
      </c>
      <c r="C21" s="152" t="s">
        <v>128</v>
      </c>
      <c r="D21" s="596">
        <v>0</v>
      </c>
      <c r="E21" s="597">
        <v>0</v>
      </c>
      <c r="F21" s="597">
        <v>0</v>
      </c>
      <c r="G21" s="597">
        <v>0</v>
      </c>
      <c r="H21" s="597">
        <v>0</v>
      </c>
      <c r="I21" s="597">
        <v>0</v>
      </c>
      <c r="J21" s="597"/>
      <c r="K21" s="606"/>
    </row>
    <row r="22" spans="1:11" s="2" customFormat="1">
      <c r="A22" s="3">
        <v>3</v>
      </c>
      <c r="B22" s="873" t="s">
        <v>243</v>
      </c>
      <c r="C22" s="152" t="s">
        <v>128</v>
      </c>
      <c r="D22" s="596">
        <v>0</v>
      </c>
      <c r="E22" s="597">
        <v>0</v>
      </c>
      <c r="F22" s="597">
        <v>0</v>
      </c>
      <c r="G22" s="597">
        <v>0</v>
      </c>
      <c r="H22" s="597">
        <v>0</v>
      </c>
      <c r="I22" s="597">
        <v>0</v>
      </c>
      <c r="J22" s="597"/>
      <c r="K22" s="606"/>
    </row>
    <row r="23" spans="1:11" s="2" customFormat="1">
      <c r="B23" s="12" t="s">
        <v>167</v>
      </c>
      <c r="C23" s="152" t="s">
        <v>128</v>
      </c>
      <c r="D23" s="610">
        <f>SUM(D18:D22)</f>
        <v>280.35079999999988</v>
      </c>
      <c r="E23" s="611">
        <f t="shared" ref="E23:K23" si="2">SUM(E18:E22)</f>
        <v>303.16794911</v>
      </c>
      <c r="F23" s="611">
        <f t="shared" si="2"/>
        <v>309.84400104999997</v>
      </c>
      <c r="G23" s="611">
        <f t="shared" si="2"/>
        <v>297.90632749999997</v>
      </c>
      <c r="H23" s="611">
        <f t="shared" si="2"/>
        <v>325.17971789000001</v>
      </c>
      <c r="I23" s="611">
        <f t="shared" si="2"/>
        <v>314.05824458000001</v>
      </c>
      <c r="J23" s="611">
        <f t="shared" si="2"/>
        <v>0</v>
      </c>
      <c r="K23" s="612">
        <f t="shared" si="2"/>
        <v>0</v>
      </c>
    </row>
    <row r="24" spans="1:11" s="2" customFormat="1">
      <c r="C24" s="136"/>
      <c r="D24" s="51"/>
      <c r="E24" s="51"/>
      <c r="F24" s="51"/>
      <c r="G24" s="51"/>
      <c r="H24" s="51"/>
      <c r="I24" s="51"/>
      <c r="J24" s="51"/>
      <c r="K24" s="51"/>
    </row>
    <row r="25" spans="1:11" s="2" customFormat="1">
      <c r="B25" s="12" t="s">
        <v>445</v>
      </c>
      <c r="C25" s="152" t="s">
        <v>128</v>
      </c>
      <c r="D25" s="53"/>
    </row>
    <row r="26" spans="1:11" s="2" customFormat="1">
      <c r="A26" s="3">
        <v>1</v>
      </c>
      <c r="B26" s="520" t="s">
        <v>594</v>
      </c>
      <c r="C26" s="152" t="s">
        <v>128</v>
      </c>
      <c r="D26" s="594">
        <v>1.2522</v>
      </c>
      <c r="E26" s="595">
        <v>-0.5</v>
      </c>
      <c r="F26" s="595">
        <v>-0.2</v>
      </c>
      <c r="G26" s="595">
        <v>-1</v>
      </c>
      <c r="H26" s="595">
        <v>0</v>
      </c>
      <c r="I26" s="595">
        <v>-0.1</v>
      </c>
      <c r="J26" s="595"/>
      <c r="K26" s="605"/>
    </row>
    <row r="27" spans="1:11" s="2" customFormat="1">
      <c r="A27" s="3">
        <v>2</v>
      </c>
      <c r="B27" s="520" t="s">
        <v>595</v>
      </c>
      <c r="C27" s="152" t="s">
        <v>128</v>
      </c>
      <c r="D27" s="596">
        <v>-8.8451939999999993</v>
      </c>
      <c r="E27" s="597">
        <v>-10.25974302</v>
      </c>
      <c r="F27" s="597">
        <v>-9.6650935399999991</v>
      </c>
      <c r="G27" s="597">
        <v>-10.479960330000001</v>
      </c>
      <c r="H27" s="597">
        <v>-11.66245</v>
      </c>
      <c r="I27" s="597">
        <v>-12.090034630000002</v>
      </c>
      <c r="J27" s="597"/>
      <c r="K27" s="606"/>
    </row>
    <row r="28" spans="1:11" s="2" customFormat="1">
      <c r="A28" s="3">
        <v>3</v>
      </c>
      <c r="B28" s="520" t="s">
        <v>596</v>
      </c>
      <c r="C28" s="152" t="s">
        <v>128</v>
      </c>
      <c r="D28" s="596">
        <v>53.238700000000009</v>
      </c>
      <c r="E28" s="597">
        <v>-1.0814236025000028</v>
      </c>
      <c r="F28" s="597">
        <v>2.07898505</v>
      </c>
      <c r="G28" s="597">
        <v>-2.2346138600000001</v>
      </c>
      <c r="H28" s="597">
        <v>-1.66279931</v>
      </c>
      <c r="I28" s="597">
        <v>-2.4910243999999997</v>
      </c>
      <c r="J28" s="597"/>
      <c r="K28" s="606"/>
    </row>
    <row r="29" spans="1:11" s="2" customFormat="1">
      <c r="A29" s="3">
        <v>4</v>
      </c>
      <c r="B29" s="520" t="s">
        <v>597</v>
      </c>
      <c r="C29" s="152" t="s">
        <v>128</v>
      </c>
      <c r="D29" s="596">
        <v>-0.25964577</v>
      </c>
      <c r="E29" s="597">
        <v>-0.53405100000000005</v>
      </c>
      <c r="F29" s="597">
        <v>-7.650860000000001E-2</v>
      </c>
      <c r="G29" s="597">
        <v>0.41265855000000001</v>
      </c>
      <c r="H29" s="597">
        <v>-0.8791717</v>
      </c>
      <c r="I29" s="597">
        <v>-5.6707480000000005E-2</v>
      </c>
      <c r="J29" s="597"/>
      <c r="K29" s="606"/>
    </row>
    <row r="30" spans="1:11" s="2" customFormat="1">
      <c r="A30" s="3">
        <v>5</v>
      </c>
      <c r="B30" s="520" t="s">
        <v>598</v>
      </c>
      <c r="C30" s="152" t="s">
        <v>128</v>
      </c>
      <c r="D30" s="596">
        <v>0.21889239150000006</v>
      </c>
      <c r="E30" s="597">
        <v>-0.61413521749999977</v>
      </c>
      <c r="F30" s="597">
        <v>-0.99404895750000011</v>
      </c>
      <c r="G30" s="597">
        <v>-1.0639627325000003</v>
      </c>
      <c r="H30" s="597">
        <v>-2.9753521624999992</v>
      </c>
      <c r="I30" s="597">
        <v>-0.27980987000000002</v>
      </c>
      <c r="J30" s="597"/>
      <c r="K30" s="606"/>
    </row>
    <row r="31" spans="1:11" s="2" customFormat="1">
      <c r="A31" s="3">
        <v>6</v>
      </c>
      <c r="B31" s="520" t="s">
        <v>599</v>
      </c>
      <c r="C31" s="152" t="s">
        <v>128</v>
      </c>
      <c r="D31" s="596">
        <v>-1.9776003519999996</v>
      </c>
      <c r="E31" s="597">
        <v>-2.6860033630000002</v>
      </c>
      <c r="F31" s="597">
        <v>-2.7193234500000001</v>
      </c>
      <c r="G31" s="597">
        <v>-5.7949796899999999</v>
      </c>
      <c r="H31" s="597">
        <v>-3.2436951199899995</v>
      </c>
      <c r="I31" s="597">
        <v>-2.6841138099999995</v>
      </c>
      <c r="J31" s="597"/>
      <c r="K31" s="606"/>
    </row>
    <row r="32" spans="1:11" s="2" customFormat="1">
      <c r="A32" s="3">
        <v>7</v>
      </c>
      <c r="B32" s="520" t="s">
        <v>600</v>
      </c>
      <c r="C32" s="152" t="s">
        <v>128</v>
      </c>
      <c r="D32" s="596">
        <v>0.76088299999999998</v>
      </c>
      <c r="E32" s="597">
        <v>0.63873232000999991</v>
      </c>
      <c r="F32" s="597">
        <v>0.49299996000000001</v>
      </c>
      <c r="G32" s="597">
        <v>0.52687464000000006</v>
      </c>
      <c r="H32" s="597">
        <v>0.55494197999999995</v>
      </c>
      <c r="I32" s="597">
        <v>0.59204551999999999</v>
      </c>
      <c r="J32" s="597"/>
      <c r="K32" s="606"/>
    </row>
    <row r="33" spans="1:11" s="2" customFormat="1">
      <c r="A33" s="3">
        <v>8</v>
      </c>
      <c r="B33" s="520" t="s">
        <v>601</v>
      </c>
      <c r="C33" s="152" t="s">
        <v>128</v>
      </c>
      <c r="D33" s="596">
        <v>-0.55139538509198327</v>
      </c>
      <c r="E33" s="597">
        <v>-0.66415934379722696</v>
      </c>
      <c r="F33" s="597">
        <v>-0.39302118078635234</v>
      </c>
      <c r="G33" s="597">
        <v>-0.26235836656454009</v>
      </c>
      <c r="H33" s="597">
        <v>-0.3206669850722198</v>
      </c>
      <c r="I33" s="597">
        <v>-0.25006385745482929</v>
      </c>
      <c r="J33" s="597"/>
      <c r="K33" s="606"/>
    </row>
    <row r="34" spans="1:11" s="2" customFormat="1">
      <c r="A34" s="3">
        <v>9</v>
      </c>
      <c r="B34" s="520" t="s">
        <v>602</v>
      </c>
      <c r="C34" s="152" t="s">
        <v>128</v>
      </c>
      <c r="D34" s="596">
        <v>-6.7569460931915879</v>
      </c>
      <c r="E34" s="597">
        <v>-3.4819500000000003</v>
      </c>
      <c r="F34" s="597">
        <v>3.0999499999999998</v>
      </c>
      <c r="G34" s="597">
        <v>0.62856900000000016</v>
      </c>
      <c r="H34" s="597">
        <v>3.9455264625000002</v>
      </c>
      <c r="I34" s="597">
        <v>-0.40245975499999975</v>
      </c>
      <c r="J34" s="597"/>
      <c r="K34" s="606"/>
    </row>
    <row r="35" spans="1:11" s="2" customFormat="1">
      <c r="A35" s="3">
        <v>10</v>
      </c>
      <c r="B35" s="520" t="s">
        <v>603</v>
      </c>
      <c r="C35" s="152" t="s">
        <v>128</v>
      </c>
      <c r="D35" s="596">
        <v>-12.372441754686406</v>
      </c>
      <c r="E35" s="597">
        <v>42.079265697291881</v>
      </c>
      <c r="F35" s="597">
        <v>0.8254999999999999</v>
      </c>
      <c r="G35" s="597">
        <v>42.839547997515787</v>
      </c>
      <c r="H35" s="597">
        <v>42.278607512163866</v>
      </c>
      <c r="I35" s="597">
        <v>39.900227228578373</v>
      </c>
      <c r="J35" s="597"/>
      <c r="K35" s="606"/>
    </row>
    <row r="36" spans="1:11" s="2" customFormat="1">
      <c r="A36" s="3">
        <v>11</v>
      </c>
      <c r="B36" s="520" t="s">
        <v>604</v>
      </c>
      <c r="C36" s="152" t="s">
        <v>128</v>
      </c>
      <c r="D36" s="596">
        <v>0</v>
      </c>
      <c r="E36" s="597">
        <v>60.184163468970219</v>
      </c>
      <c r="F36" s="597">
        <v>-16.203195905948611</v>
      </c>
      <c r="G36" s="597">
        <v>-0.58652125016417855</v>
      </c>
      <c r="H36" s="597">
        <v>0</v>
      </c>
      <c r="I36" s="597">
        <v>0</v>
      </c>
      <c r="J36" s="597"/>
      <c r="K36" s="606"/>
    </row>
    <row r="37" spans="1:11" s="2" customFormat="1">
      <c r="A37" s="3">
        <v>12</v>
      </c>
      <c r="B37" s="520" t="s">
        <v>605</v>
      </c>
      <c r="C37" s="152" t="s">
        <v>128</v>
      </c>
      <c r="D37" s="596">
        <v>0</v>
      </c>
      <c r="E37" s="597">
        <v>-0.71853896250000004</v>
      </c>
      <c r="F37" s="597">
        <v>-5.9908820016485187</v>
      </c>
      <c r="G37" s="597">
        <v>-5.4153558960123913</v>
      </c>
      <c r="H37" s="597">
        <v>-6.2756608985123847</v>
      </c>
      <c r="I37" s="597">
        <v>-4.9682848386953484</v>
      </c>
      <c r="J37" s="597"/>
      <c r="K37" s="606"/>
    </row>
    <row r="38" spans="1:11" s="2" customFormat="1">
      <c r="A38" s="3">
        <v>13</v>
      </c>
      <c r="B38" s="520" t="s">
        <v>606</v>
      </c>
      <c r="C38" s="152" t="s">
        <v>128</v>
      </c>
      <c r="D38" s="596">
        <v>0</v>
      </c>
      <c r="E38" s="597">
        <v>0</v>
      </c>
      <c r="F38" s="597">
        <v>-0.86984739427790825</v>
      </c>
      <c r="G38" s="597">
        <v>-0.35026929186895583</v>
      </c>
      <c r="H38" s="597">
        <v>-0.40377070603452514</v>
      </c>
      <c r="I38" s="597">
        <v>-0.36960112486244445</v>
      </c>
      <c r="J38" s="597"/>
      <c r="K38" s="606"/>
    </row>
    <row r="39" spans="1:11" s="2" customFormat="1">
      <c r="A39" s="3">
        <v>14</v>
      </c>
      <c r="B39" s="520" t="s">
        <v>607</v>
      </c>
      <c r="C39" s="152" t="s">
        <v>128</v>
      </c>
      <c r="D39" s="596">
        <v>-0.9000999999999999</v>
      </c>
      <c r="E39" s="597">
        <v>0</v>
      </c>
      <c r="F39" s="597">
        <v>0</v>
      </c>
      <c r="G39" s="597">
        <v>0</v>
      </c>
      <c r="H39" s="597">
        <v>0</v>
      </c>
      <c r="I39" s="597">
        <v>0</v>
      </c>
      <c r="J39" s="597"/>
      <c r="K39" s="606"/>
    </row>
    <row r="40" spans="1:11" s="2" customFormat="1">
      <c r="A40" s="3">
        <v>15</v>
      </c>
      <c r="B40" s="520" t="s">
        <v>608</v>
      </c>
      <c r="C40" s="152" t="s">
        <v>128</v>
      </c>
      <c r="D40" s="596">
        <v>0.5</v>
      </c>
      <c r="E40" s="597">
        <v>0.35</v>
      </c>
      <c r="F40" s="597">
        <v>2.2000000000000002</v>
      </c>
      <c r="G40" s="597">
        <v>0.18621948519989928</v>
      </c>
      <c r="H40" s="597">
        <v>-7.0746372824750936E-2</v>
      </c>
      <c r="I40" s="597">
        <v>0.67039460755427172</v>
      </c>
      <c r="J40" s="597"/>
      <c r="K40" s="606"/>
    </row>
    <row r="41" spans="1:11" s="2" customFormat="1">
      <c r="A41" s="3">
        <v>16</v>
      </c>
      <c r="B41" s="520" t="s">
        <v>609</v>
      </c>
      <c r="C41" s="152" t="s">
        <v>128</v>
      </c>
      <c r="D41" s="596">
        <v>0</v>
      </c>
      <c r="E41" s="597">
        <v>0</v>
      </c>
      <c r="F41" s="597">
        <v>0</v>
      </c>
      <c r="G41" s="597">
        <v>-1.5</v>
      </c>
      <c r="H41" s="597">
        <v>0</v>
      </c>
      <c r="I41" s="597">
        <v>0</v>
      </c>
      <c r="J41" s="597"/>
      <c r="K41" s="606"/>
    </row>
    <row r="42" spans="1:11" s="2" customFormat="1">
      <c r="A42" s="3">
        <v>17</v>
      </c>
      <c r="B42" s="520" t="s">
        <v>610</v>
      </c>
      <c r="C42" s="152" t="s">
        <v>128</v>
      </c>
      <c r="D42" s="596">
        <v>0</v>
      </c>
      <c r="E42" s="597">
        <v>0</v>
      </c>
      <c r="F42" s="597">
        <v>0</v>
      </c>
      <c r="G42" s="597">
        <v>1.0920000000000001</v>
      </c>
      <c r="H42" s="597">
        <v>0.50074658839999997</v>
      </c>
      <c r="I42" s="597">
        <v>1.7309950700000001</v>
      </c>
      <c r="J42" s="597"/>
      <c r="K42" s="606"/>
    </row>
    <row r="43" spans="1:11" s="2" customFormat="1">
      <c r="A43" s="3">
        <v>18</v>
      </c>
      <c r="B43" s="520" t="s">
        <v>611</v>
      </c>
      <c r="C43" s="152" t="s">
        <v>128</v>
      </c>
      <c r="D43" s="596">
        <v>0</v>
      </c>
      <c r="E43" s="597">
        <v>0</v>
      </c>
      <c r="F43" s="597">
        <v>0</v>
      </c>
      <c r="G43" s="597">
        <v>0</v>
      </c>
      <c r="H43" s="597">
        <v>3.5</v>
      </c>
      <c r="I43" s="597">
        <v>-1.04</v>
      </c>
      <c r="J43" s="597"/>
      <c r="K43" s="606"/>
    </row>
    <row r="44" spans="1:11" s="2" customFormat="1">
      <c r="A44" s="3">
        <v>19</v>
      </c>
      <c r="B44" s="520" t="s">
        <v>612</v>
      </c>
      <c r="C44" s="152" t="s">
        <v>128</v>
      </c>
      <c r="D44" s="596">
        <v>0</v>
      </c>
      <c r="E44" s="597">
        <v>0</v>
      </c>
      <c r="F44" s="597">
        <v>0</v>
      </c>
      <c r="G44" s="597">
        <v>0</v>
      </c>
      <c r="H44" s="597">
        <v>-1.3396177615273075</v>
      </c>
      <c r="I44" s="597">
        <v>0</v>
      </c>
      <c r="J44" s="597"/>
      <c r="K44" s="606"/>
    </row>
    <row r="45" spans="1:11" s="2" customFormat="1">
      <c r="A45" s="3">
        <v>20</v>
      </c>
      <c r="B45" s="520" t="s">
        <v>243</v>
      </c>
      <c r="C45" s="152" t="s">
        <v>128</v>
      </c>
      <c r="D45" s="596">
        <v>0</v>
      </c>
      <c r="E45" s="597">
        <v>0</v>
      </c>
      <c r="F45" s="597">
        <v>0</v>
      </c>
      <c r="G45" s="597">
        <v>0</v>
      </c>
      <c r="H45" s="597">
        <v>0</v>
      </c>
      <c r="I45" s="597"/>
      <c r="J45" s="597"/>
      <c r="K45" s="606"/>
    </row>
    <row r="46" spans="1:11" s="2" customFormat="1">
      <c r="B46" s="12" t="s">
        <v>398</v>
      </c>
      <c r="C46" s="152" t="s">
        <v>128</v>
      </c>
      <c r="D46" s="610">
        <f>SUM(D26:D45)</f>
        <v>24.30735203653003</v>
      </c>
      <c r="E46" s="611">
        <f t="shared" ref="E46:K46" si="3">SUM(E26:E45)</f>
        <v>82.712156976974853</v>
      </c>
      <c r="F46" s="611">
        <f t="shared" si="3"/>
        <v>-28.414486020161391</v>
      </c>
      <c r="G46" s="611">
        <f t="shared" si="3"/>
        <v>16.997848255605618</v>
      </c>
      <c r="H46" s="611">
        <f t="shared" si="3"/>
        <v>21.945891526602676</v>
      </c>
      <c r="I46" s="611">
        <f t="shared" si="3"/>
        <v>18.161562660120023</v>
      </c>
      <c r="J46" s="611">
        <f t="shared" si="3"/>
        <v>0</v>
      </c>
      <c r="K46" s="612">
        <f t="shared" si="3"/>
        <v>0</v>
      </c>
    </row>
    <row r="47" spans="1:11" s="2" customFormat="1">
      <c r="C47" s="136"/>
      <c r="D47" s="52"/>
      <c r="E47" s="51"/>
      <c r="F47" s="51"/>
      <c r="G47" s="51"/>
      <c r="H47" s="51"/>
      <c r="I47" s="51"/>
      <c r="J47" s="51"/>
      <c r="K47" s="51"/>
    </row>
    <row r="48" spans="1:11" s="2" customFormat="1">
      <c r="B48" s="12" t="s">
        <v>444</v>
      </c>
      <c r="C48" s="152" t="s">
        <v>128</v>
      </c>
      <c r="D48" s="610">
        <f>D46+D23</f>
        <v>304.65815203652988</v>
      </c>
      <c r="E48" s="611">
        <f t="shared" ref="E48:K48" si="4">E46+E23</f>
        <v>385.88010608697482</v>
      </c>
      <c r="F48" s="611">
        <f t="shared" si="4"/>
        <v>281.42951502983857</v>
      </c>
      <c r="G48" s="611">
        <f t="shared" si="4"/>
        <v>314.90417575560559</v>
      </c>
      <c r="H48" s="611">
        <f t="shared" si="4"/>
        <v>347.12560941660269</v>
      </c>
      <c r="I48" s="611">
        <f t="shared" si="4"/>
        <v>332.21980724012002</v>
      </c>
      <c r="J48" s="611">
        <f t="shared" si="4"/>
        <v>0</v>
      </c>
      <c r="K48" s="612">
        <f t="shared" si="4"/>
        <v>0</v>
      </c>
    </row>
    <row r="49" spans="1:11" s="2" customFormat="1">
      <c r="B49" s="2" t="s">
        <v>399</v>
      </c>
      <c r="C49" s="152" t="s">
        <v>128</v>
      </c>
      <c r="D49" s="594">
        <v>304.69439999999997</v>
      </c>
      <c r="E49" s="595">
        <v>385.88942066075998</v>
      </c>
      <c r="F49" s="595">
        <v>281.40392215565799</v>
      </c>
      <c r="G49" s="595">
        <v>314.90938879022497</v>
      </c>
      <c r="H49" s="595">
        <v>347.12532755937269</v>
      </c>
      <c r="I49" s="595">
        <v>332.22028692499998</v>
      </c>
      <c r="J49" s="595"/>
      <c r="K49" s="605"/>
    </row>
    <row r="50" spans="1:11" s="2" customFormat="1">
      <c r="C50" s="136" t="s">
        <v>402</v>
      </c>
      <c r="D50" s="641" t="str">
        <f>IF(D$5="Actuals",IF(ABS(D48-D49)&lt;1,"OK","ERROR"),"N/A")</f>
        <v>OK</v>
      </c>
      <c r="E50" s="642" t="str">
        <f t="shared" ref="E50:K50" si="5">IF(E$5="Actuals",IF(ABS(E48-E49)&lt;1,"OK","ERROR"),"N/A")</f>
        <v>OK</v>
      </c>
      <c r="F50" s="642" t="str">
        <f t="shared" si="5"/>
        <v>OK</v>
      </c>
      <c r="G50" s="642" t="str">
        <f t="shared" si="5"/>
        <v>OK</v>
      </c>
      <c r="H50" s="642" t="str">
        <f t="shared" si="5"/>
        <v>OK</v>
      </c>
      <c r="I50" s="642" t="str">
        <f t="shared" si="5"/>
        <v>OK</v>
      </c>
      <c r="J50" s="642" t="str">
        <f t="shared" si="5"/>
        <v>N/A</v>
      </c>
      <c r="K50" s="643" t="str">
        <f t="shared" si="5"/>
        <v>N/A</v>
      </c>
    </row>
    <row r="51" spans="1:11" s="2" customFormat="1">
      <c r="B51" s="2" t="s">
        <v>84</v>
      </c>
      <c r="C51" s="136"/>
      <c r="D51" s="53"/>
    </row>
    <row r="52" spans="1:11" s="2" customFormat="1">
      <c r="B52" s="12" t="s">
        <v>400</v>
      </c>
      <c r="C52" s="152"/>
      <c r="D52" s="53"/>
    </row>
    <row r="53" spans="1:11" s="2" customFormat="1">
      <c r="A53" s="3">
        <v>1</v>
      </c>
      <c r="B53" s="946" t="s">
        <v>613</v>
      </c>
      <c r="C53" s="152" t="s">
        <v>128</v>
      </c>
      <c r="D53" s="594">
        <v>25.5472</v>
      </c>
      <c r="E53" s="595">
        <v>25.741199999999999</v>
      </c>
      <c r="F53" s="595">
        <v>29.0656</v>
      </c>
      <c r="G53" s="595">
        <v>30.707578836799996</v>
      </c>
      <c r="H53" s="595">
        <v>30.939846588399995</v>
      </c>
      <c r="I53" s="595">
        <v>32.966476409999999</v>
      </c>
      <c r="J53" s="595"/>
      <c r="K53" s="605"/>
    </row>
    <row r="54" spans="1:11" s="2" customFormat="1">
      <c r="A54" s="3">
        <v>2</v>
      </c>
      <c r="B54" s="946" t="s">
        <v>614</v>
      </c>
      <c r="C54" s="152" t="s">
        <v>128</v>
      </c>
      <c r="D54" s="596">
        <v>39.034700000000001</v>
      </c>
      <c r="E54" s="597">
        <v>82.324065828947809</v>
      </c>
      <c r="F54" s="597">
        <v>-1.1018280300000001</v>
      </c>
      <c r="G54" s="597">
        <v>41.313564209999996</v>
      </c>
      <c r="H54" s="597">
        <v>41.273544179999995</v>
      </c>
      <c r="I54" s="597">
        <v>42.456242040000006</v>
      </c>
      <c r="J54" s="597"/>
      <c r="K54" s="606"/>
    </row>
    <row r="55" spans="1:11" s="2" customFormat="1">
      <c r="A55" s="3">
        <v>3</v>
      </c>
      <c r="B55" s="946" t="s">
        <v>615</v>
      </c>
      <c r="C55" s="152" t="s">
        <v>128</v>
      </c>
      <c r="D55" s="596">
        <v>10.561999999999999</v>
      </c>
      <c r="E55" s="597">
        <v>11.092699656368781</v>
      </c>
      <c r="F55" s="597">
        <v>14.251561383044811</v>
      </c>
      <c r="G55" s="597">
        <v>15.35345938257251</v>
      </c>
      <c r="H55" s="597">
        <v>27.808046530003715</v>
      </c>
      <c r="I55" s="597">
        <v>16.000719581970749</v>
      </c>
      <c r="J55" s="597"/>
      <c r="K55" s="606"/>
    </row>
    <row r="56" spans="1:11" s="2" customFormat="1">
      <c r="A56" s="3">
        <v>4</v>
      </c>
      <c r="B56" s="946" t="s">
        <v>616</v>
      </c>
      <c r="C56" s="152" t="s">
        <v>128</v>
      </c>
      <c r="D56" s="596">
        <v>6.4107000000000003</v>
      </c>
      <c r="E56" s="597">
        <v>5.6744999999999992</v>
      </c>
      <c r="F56" s="597">
        <v>5.5887677399999998</v>
      </c>
      <c r="G56" s="597">
        <v>5.4618687109872024</v>
      </c>
      <c r="H56" s="597">
        <v>4.4428696857685068</v>
      </c>
      <c r="I56" s="597">
        <v>4.6127120081612425</v>
      </c>
      <c r="J56" s="597"/>
      <c r="K56" s="606"/>
    </row>
    <row r="57" spans="1:11" s="2" customFormat="1">
      <c r="A57" s="3">
        <v>5</v>
      </c>
      <c r="B57" s="519" t="s">
        <v>243</v>
      </c>
      <c r="C57" s="152" t="s">
        <v>128</v>
      </c>
      <c r="D57" s="596">
        <v>0</v>
      </c>
      <c r="E57" s="597">
        <v>0</v>
      </c>
      <c r="F57" s="597">
        <v>0</v>
      </c>
      <c r="G57" s="597">
        <v>0</v>
      </c>
      <c r="H57" s="597">
        <v>0</v>
      </c>
      <c r="I57" s="597">
        <v>0</v>
      </c>
      <c r="J57" s="597"/>
      <c r="K57" s="606"/>
    </row>
    <row r="58" spans="1:11" s="2" customFormat="1">
      <c r="A58" s="3">
        <v>6</v>
      </c>
      <c r="B58" s="519" t="s">
        <v>243</v>
      </c>
      <c r="C58" s="152" t="s">
        <v>128</v>
      </c>
      <c r="D58" s="596">
        <v>0</v>
      </c>
      <c r="E58" s="597">
        <v>0</v>
      </c>
      <c r="F58" s="597">
        <v>0</v>
      </c>
      <c r="G58" s="597">
        <v>0</v>
      </c>
      <c r="H58" s="597">
        <v>0</v>
      </c>
      <c r="I58" s="597">
        <v>0</v>
      </c>
      <c r="J58" s="597"/>
      <c r="K58" s="606"/>
    </row>
    <row r="59" spans="1:11" s="2" customFormat="1">
      <c r="A59" s="3">
        <v>7</v>
      </c>
      <c r="B59" s="519" t="s">
        <v>243</v>
      </c>
      <c r="C59" s="152" t="s">
        <v>128</v>
      </c>
      <c r="D59" s="596">
        <v>0</v>
      </c>
      <c r="E59" s="597">
        <v>0</v>
      </c>
      <c r="F59" s="597">
        <v>0</v>
      </c>
      <c r="G59" s="597">
        <v>0</v>
      </c>
      <c r="H59" s="597">
        <v>0</v>
      </c>
      <c r="I59" s="597">
        <v>0</v>
      </c>
      <c r="J59" s="597"/>
      <c r="K59" s="606"/>
    </row>
    <row r="60" spans="1:11" s="2" customFormat="1">
      <c r="A60" s="3">
        <v>8</v>
      </c>
      <c r="B60" s="519" t="s">
        <v>243</v>
      </c>
      <c r="C60" s="152" t="s">
        <v>128</v>
      </c>
      <c r="D60" s="596">
        <v>0</v>
      </c>
      <c r="E60" s="597">
        <v>0</v>
      </c>
      <c r="F60" s="597">
        <v>0</v>
      </c>
      <c r="G60" s="597">
        <v>0</v>
      </c>
      <c r="H60" s="597">
        <v>0</v>
      </c>
      <c r="I60" s="597">
        <v>0</v>
      </c>
      <c r="J60" s="597"/>
      <c r="K60" s="606"/>
    </row>
    <row r="61" spans="1:11" s="2" customFormat="1">
      <c r="A61" s="3">
        <v>9</v>
      </c>
      <c r="B61" s="519" t="s">
        <v>243</v>
      </c>
      <c r="C61" s="152" t="s">
        <v>128</v>
      </c>
      <c r="D61" s="596">
        <v>0</v>
      </c>
      <c r="E61" s="597">
        <v>0</v>
      </c>
      <c r="F61" s="597">
        <v>0</v>
      </c>
      <c r="G61" s="597">
        <v>0</v>
      </c>
      <c r="H61" s="597">
        <v>0</v>
      </c>
      <c r="I61" s="597">
        <v>0</v>
      </c>
      <c r="J61" s="597"/>
      <c r="K61" s="606"/>
    </row>
    <row r="62" spans="1:11" s="2" customFormat="1">
      <c r="A62" s="3">
        <v>10</v>
      </c>
      <c r="B62" s="519" t="s">
        <v>243</v>
      </c>
      <c r="C62" s="152" t="s">
        <v>128</v>
      </c>
      <c r="D62" s="596">
        <v>0</v>
      </c>
      <c r="E62" s="597">
        <v>0</v>
      </c>
      <c r="F62" s="597">
        <v>0</v>
      </c>
      <c r="G62" s="597">
        <v>0</v>
      </c>
      <c r="H62" s="597">
        <v>0</v>
      </c>
      <c r="I62" s="597">
        <v>0</v>
      </c>
      <c r="J62" s="597"/>
      <c r="K62" s="606"/>
    </row>
    <row r="63" spans="1:11" s="2" customFormat="1">
      <c r="A63" s="3">
        <v>11</v>
      </c>
      <c r="B63" s="519" t="s">
        <v>243</v>
      </c>
      <c r="C63" s="152" t="s">
        <v>128</v>
      </c>
      <c r="D63" s="596">
        <v>0</v>
      </c>
      <c r="E63" s="597">
        <v>0</v>
      </c>
      <c r="F63" s="597">
        <v>0</v>
      </c>
      <c r="G63" s="597">
        <v>0</v>
      </c>
      <c r="H63" s="597">
        <v>0</v>
      </c>
      <c r="I63" s="597">
        <v>0</v>
      </c>
      <c r="J63" s="597"/>
      <c r="K63" s="606"/>
    </row>
    <row r="64" spans="1:11" s="2" customFormat="1">
      <c r="A64" s="3">
        <v>12</v>
      </c>
      <c r="B64" s="519" t="s">
        <v>243</v>
      </c>
      <c r="C64" s="152" t="s">
        <v>128</v>
      </c>
      <c r="D64" s="596">
        <v>0</v>
      </c>
      <c r="E64" s="597">
        <v>0</v>
      </c>
      <c r="F64" s="597">
        <v>0</v>
      </c>
      <c r="G64" s="597">
        <v>0</v>
      </c>
      <c r="H64" s="597">
        <v>0</v>
      </c>
      <c r="I64" s="597">
        <v>0</v>
      </c>
      <c r="J64" s="597"/>
      <c r="K64" s="606"/>
    </row>
    <row r="65" spans="1:11" s="2" customFormat="1">
      <c r="A65" s="3">
        <v>13</v>
      </c>
      <c r="B65" s="519" t="s">
        <v>243</v>
      </c>
      <c r="C65" s="152" t="s">
        <v>128</v>
      </c>
      <c r="D65" s="596">
        <v>0</v>
      </c>
      <c r="E65" s="597">
        <v>0</v>
      </c>
      <c r="F65" s="597">
        <v>0</v>
      </c>
      <c r="G65" s="597">
        <v>0</v>
      </c>
      <c r="H65" s="597">
        <v>0</v>
      </c>
      <c r="I65" s="597">
        <v>0</v>
      </c>
      <c r="J65" s="597"/>
      <c r="K65" s="606"/>
    </row>
    <row r="66" spans="1:11" s="2" customFormat="1">
      <c r="A66" s="3">
        <v>14</v>
      </c>
      <c r="B66" s="519" t="s">
        <v>243</v>
      </c>
      <c r="C66" s="152" t="s">
        <v>128</v>
      </c>
      <c r="D66" s="596">
        <v>0</v>
      </c>
      <c r="E66" s="597">
        <v>0</v>
      </c>
      <c r="F66" s="597">
        <v>0</v>
      </c>
      <c r="G66" s="597">
        <v>0</v>
      </c>
      <c r="H66" s="597">
        <v>0</v>
      </c>
      <c r="I66" s="597">
        <v>0</v>
      </c>
      <c r="J66" s="597"/>
      <c r="K66" s="606"/>
    </row>
    <row r="67" spans="1:11" s="2" customFormat="1">
      <c r="A67" s="3">
        <v>15</v>
      </c>
      <c r="B67" s="519" t="s">
        <v>243</v>
      </c>
      <c r="C67" s="152" t="s">
        <v>128</v>
      </c>
      <c r="D67" s="596">
        <v>0</v>
      </c>
      <c r="E67" s="597">
        <v>0</v>
      </c>
      <c r="F67" s="597">
        <v>0</v>
      </c>
      <c r="G67" s="597">
        <v>0</v>
      </c>
      <c r="H67" s="597">
        <v>0</v>
      </c>
      <c r="I67" s="597">
        <v>0</v>
      </c>
      <c r="J67" s="597"/>
      <c r="K67" s="606"/>
    </row>
    <row r="68" spans="1:11" s="2" customFormat="1">
      <c r="A68" s="3">
        <v>16</v>
      </c>
      <c r="B68" s="519" t="s">
        <v>243</v>
      </c>
      <c r="C68" s="152" t="s">
        <v>128</v>
      </c>
      <c r="D68" s="596">
        <v>0</v>
      </c>
      <c r="E68" s="597">
        <v>0</v>
      </c>
      <c r="F68" s="597">
        <v>0</v>
      </c>
      <c r="G68" s="597">
        <v>0</v>
      </c>
      <c r="H68" s="597">
        <v>0</v>
      </c>
      <c r="I68" s="597">
        <v>0</v>
      </c>
      <c r="J68" s="597"/>
      <c r="K68" s="606"/>
    </row>
    <row r="69" spans="1:11" s="2" customFormat="1">
      <c r="A69" s="3">
        <v>17</v>
      </c>
      <c r="B69" s="519" t="s">
        <v>243</v>
      </c>
      <c r="C69" s="152" t="s">
        <v>128</v>
      </c>
      <c r="D69" s="596">
        <v>0</v>
      </c>
      <c r="E69" s="597">
        <v>0</v>
      </c>
      <c r="F69" s="597">
        <v>0</v>
      </c>
      <c r="G69" s="597">
        <v>0</v>
      </c>
      <c r="H69" s="597">
        <v>0</v>
      </c>
      <c r="I69" s="597">
        <v>0</v>
      </c>
      <c r="J69" s="597"/>
      <c r="K69" s="606"/>
    </row>
    <row r="70" spans="1:11" s="2" customFormat="1">
      <c r="A70" s="3">
        <v>18</v>
      </c>
      <c r="B70" s="519" t="s">
        <v>243</v>
      </c>
      <c r="C70" s="152" t="s">
        <v>128</v>
      </c>
      <c r="D70" s="596">
        <v>0</v>
      </c>
      <c r="E70" s="597">
        <v>0</v>
      </c>
      <c r="F70" s="597">
        <v>0</v>
      </c>
      <c r="G70" s="597">
        <v>0</v>
      </c>
      <c r="H70" s="597">
        <v>0</v>
      </c>
      <c r="I70" s="597">
        <v>0</v>
      </c>
      <c r="J70" s="597"/>
      <c r="K70" s="606"/>
    </row>
    <row r="71" spans="1:11" s="2" customFormat="1">
      <c r="A71" s="3">
        <v>19</v>
      </c>
      <c r="B71" s="519" t="s">
        <v>243</v>
      </c>
      <c r="C71" s="152" t="s">
        <v>128</v>
      </c>
      <c r="D71" s="596">
        <v>0</v>
      </c>
      <c r="E71" s="597">
        <v>0</v>
      </c>
      <c r="F71" s="597">
        <v>0</v>
      </c>
      <c r="G71" s="597">
        <v>0</v>
      </c>
      <c r="H71" s="597">
        <v>0</v>
      </c>
      <c r="I71" s="597">
        <v>0</v>
      </c>
      <c r="J71" s="597"/>
      <c r="K71" s="606"/>
    </row>
    <row r="72" spans="1:11" s="2" customFormat="1">
      <c r="A72" s="3">
        <v>20</v>
      </c>
      <c r="B72" s="519" t="s">
        <v>243</v>
      </c>
      <c r="C72" s="152" t="s">
        <v>128</v>
      </c>
      <c r="D72" s="596">
        <v>0</v>
      </c>
      <c r="E72" s="597">
        <v>0</v>
      </c>
      <c r="F72" s="597">
        <v>0</v>
      </c>
      <c r="G72" s="597">
        <v>0</v>
      </c>
      <c r="H72" s="597">
        <v>0</v>
      </c>
      <c r="I72" s="597">
        <v>0</v>
      </c>
      <c r="J72" s="597"/>
      <c r="K72" s="606"/>
    </row>
    <row r="73" spans="1:11" s="2" customFormat="1">
      <c r="A73" s="3">
        <v>21</v>
      </c>
      <c r="B73" s="519" t="s">
        <v>243</v>
      </c>
      <c r="C73" s="152" t="s">
        <v>128</v>
      </c>
      <c r="D73" s="596">
        <v>0</v>
      </c>
      <c r="E73" s="597">
        <v>0</v>
      </c>
      <c r="F73" s="597">
        <v>0</v>
      </c>
      <c r="G73" s="597">
        <v>0</v>
      </c>
      <c r="H73" s="597">
        <v>0</v>
      </c>
      <c r="I73" s="597">
        <v>0</v>
      </c>
      <c r="J73" s="597"/>
      <c r="K73" s="606"/>
    </row>
    <row r="74" spans="1:11" s="2" customFormat="1">
      <c r="A74" s="3">
        <v>22</v>
      </c>
      <c r="B74" s="519" t="s">
        <v>243</v>
      </c>
      <c r="C74" s="152" t="s">
        <v>128</v>
      </c>
      <c r="D74" s="596">
        <v>0</v>
      </c>
      <c r="E74" s="597">
        <v>0</v>
      </c>
      <c r="F74" s="597">
        <v>0</v>
      </c>
      <c r="G74" s="597">
        <v>0</v>
      </c>
      <c r="H74" s="597">
        <v>0</v>
      </c>
      <c r="I74" s="597">
        <v>0</v>
      </c>
      <c r="J74" s="597"/>
      <c r="K74" s="606"/>
    </row>
    <row r="75" spans="1:11" s="2" customFormat="1">
      <c r="A75" s="3">
        <v>23</v>
      </c>
      <c r="B75" s="519" t="s">
        <v>243</v>
      </c>
      <c r="C75" s="152" t="s">
        <v>128</v>
      </c>
      <c r="D75" s="596">
        <v>0</v>
      </c>
      <c r="E75" s="597">
        <v>0</v>
      </c>
      <c r="F75" s="597">
        <v>0</v>
      </c>
      <c r="G75" s="597">
        <v>0</v>
      </c>
      <c r="H75" s="597">
        <v>0</v>
      </c>
      <c r="I75" s="597">
        <v>0</v>
      </c>
      <c r="J75" s="597"/>
      <c r="K75" s="606"/>
    </row>
    <row r="76" spans="1:11" s="2" customFormat="1">
      <c r="A76" s="3">
        <v>24</v>
      </c>
      <c r="B76" s="519" t="s">
        <v>243</v>
      </c>
      <c r="C76" s="152" t="s">
        <v>128</v>
      </c>
      <c r="D76" s="596">
        <v>0</v>
      </c>
      <c r="E76" s="597">
        <v>0</v>
      </c>
      <c r="F76" s="597">
        <v>0</v>
      </c>
      <c r="G76" s="597">
        <v>0</v>
      </c>
      <c r="H76" s="597">
        <v>0</v>
      </c>
      <c r="I76" s="597">
        <v>0</v>
      </c>
      <c r="J76" s="597"/>
      <c r="K76" s="606"/>
    </row>
    <row r="77" spans="1:11" s="2" customFormat="1">
      <c r="A77" s="3">
        <v>25</v>
      </c>
      <c r="B77" s="519" t="s">
        <v>243</v>
      </c>
      <c r="C77" s="152" t="s">
        <v>128</v>
      </c>
      <c r="D77" s="632">
        <v>0</v>
      </c>
      <c r="E77" s="633">
        <v>0</v>
      </c>
      <c r="F77" s="633">
        <v>0</v>
      </c>
      <c r="G77" s="633">
        <v>0</v>
      </c>
      <c r="H77" s="633">
        <v>0</v>
      </c>
      <c r="I77" s="633">
        <v>0</v>
      </c>
      <c r="J77" s="633"/>
      <c r="K77" s="634"/>
    </row>
    <row r="78" spans="1:11" s="2" customFormat="1">
      <c r="B78" s="12" t="s">
        <v>171</v>
      </c>
      <c r="C78" s="152" t="s">
        <v>128</v>
      </c>
      <c r="D78" s="610">
        <f>SUM(D53:D77)</f>
        <v>81.554600000000008</v>
      </c>
      <c r="E78" s="611">
        <f t="shared" ref="E78:K78" si="6">SUM(E53:E77)</f>
        <v>124.83246548531659</v>
      </c>
      <c r="F78" s="611">
        <f t="shared" si="6"/>
        <v>47.804101093044814</v>
      </c>
      <c r="G78" s="611">
        <f t="shared" si="6"/>
        <v>92.836471140359706</v>
      </c>
      <c r="H78" s="611">
        <f t="shared" si="6"/>
        <v>104.4643069841722</v>
      </c>
      <c r="I78" s="611">
        <f t="shared" si="6"/>
        <v>96.036150040132</v>
      </c>
      <c r="J78" s="611">
        <f t="shared" si="6"/>
        <v>0</v>
      </c>
      <c r="K78" s="612">
        <f t="shared" si="6"/>
        <v>0</v>
      </c>
    </row>
    <row r="79" spans="1:11" s="2" customFormat="1">
      <c r="C79" s="136"/>
      <c r="D79" s="52"/>
      <c r="E79" s="51"/>
      <c r="F79" s="51"/>
      <c r="G79" s="51"/>
      <c r="H79" s="51"/>
      <c r="I79" s="51"/>
      <c r="J79" s="51"/>
      <c r="K79" s="51"/>
    </row>
    <row r="80" spans="1:11" s="2" customFormat="1">
      <c r="B80" s="12" t="s">
        <v>401</v>
      </c>
      <c r="C80" s="152" t="s">
        <v>128</v>
      </c>
      <c r="D80" s="610">
        <f>D48-D78</f>
        <v>223.10355203652989</v>
      </c>
      <c r="E80" s="611">
        <f t="shared" ref="E80:K80" si="7">E48-E78</f>
        <v>261.04764060165826</v>
      </c>
      <c r="F80" s="611">
        <f t="shared" si="7"/>
        <v>233.62541393679376</v>
      </c>
      <c r="G80" s="611">
        <f t="shared" si="7"/>
        <v>222.06770461524587</v>
      </c>
      <c r="H80" s="611">
        <f t="shared" si="7"/>
        <v>242.66130243243049</v>
      </c>
      <c r="I80" s="611">
        <f t="shared" si="7"/>
        <v>236.18365719998803</v>
      </c>
      <c r="J80" s="611">
        <f t="shared" si="7"/>
        <v>0</v>
      </c>
      <c r="K80" s="612">
        <f t="shared" si="7"/>
        <v>0</v>
      </c>
    </row>
    <row r="81" spans="2:11" s="2" customFormat="1">
      <c r="B81" s="12" t="s">
        <v>489</v>
      </c>
      <c r="C81" s="152" t="s">
        <v>128</v>
      </c>
      <c r="D81" s="644">
        <f>'R4 - Totex'!D90+'R4 - Totex'!D118</f>
        <v>223.13980000000001</v>
      </c>
      <c r="E81" s="645">
        <f>'R4 - Totex'!E90+'R4 - Totex'!E118</f>
        <v>261.05695517544336</v>
      </c>
      <c r="F81" s="645">
        <f>'R4 - Totex'!F90+'R4 - Totex'!F118</f>
        <v>233.59972181202676</v>
      </c>
      <c r="G81" s="645">
        <f>'R4 - Totex'!G90+'R4 - Totex'!G118</f>
        <v>222.07291185999995</v>
      </c>
      <c r="H81" s="645">
        <f>'R4 - Totex'!H90+'R4 - Totex'!H118</f>
        <v>242.66102057520052</v>
      </c>
      <c r="I81" s="645">
        <f>'R4 - Totex'!I90+'R4 - Totex'!I118</f>
        <v>236.18413688486805</v>
      </c>
      <c r="J81" s="645">
        <f>'R4 - Totex'!J90+'R4 - Totex'!J118</f>
        <v>271.10622163202277</v>
      </c>
      <c r="K81" s="645">
        <f>'R4 - Totex'!K90+'R4 - Totex'!K118</f>
        <v>285.42716562426199</v>
      </c>
    </row>
    <row r="82" spans="2:11" s="2" customFormat="1">
      <c r="C82" s="136" t="s">
        <v>402</v>
      </c>
      <c r="D82" s="572" t="str">
        <f>IF(D$5="Actuals",IF(ABS(D80-('R4 - Totex'!D90+'R4 - Totex'!D118))&lt;'RFPR cover'!$F$14,"OK","Error"),"N/A")</f>
        <v>OK</v>
      </c>
      <c r="E82" s="572" t="str">
        <f>IF(E$5="Actuals",IF(ABS(E80-('R4 - Totex'!E90+'R4 - Totex'!E118))&lt;'RFPR cover'!$F$14,"OK","Error"),"N/A")</f>
        <v>OK</v>
      </c>
      <c r="F82" s="572" t="str">
        <f>IF(F$5="Actuals",IF(ABS(F80-('R4 - Totex'!F90+'R4 - Totex'!F118))&lt;'RFPR cover'!$F$14,"OK","Error"),"N/A")</f>
        <v>OK</v>
      </c>
      <c r="G82" s="572" t="str">
        <f>IF(G$5="Actuals",IF(ABS(G80-('R4 - Totex'!G90+'R4 - Totex'!G118))&lt;'RFPR cover'!$F$14,"OK","Error"),"N/A")</f>
        <v>OK</v>
      </c>
      <c r="H82" s="572" t="str">
        <f>IF(H$5="Actuals",IF(ABS(H80-('R4 - Totex'!H90+'R4 - Totex'!H118))&lt;'RFPR cover'!$F$14,"OK","Error"),"N/A")</f>
        <v>OK</v>
      </c>
      <c r="I82" s="572" t="str">
        <f>IF(I$5="Actuals",IF(ABS(I80-('R4 - Totex'!I90+'R4 - Totex'!I118))&lt;'RFPR cover'!$F$14,"OK","Error"),"N/A")</f>
        <v>OK</v>
      </c>
      <c r="J82" s="572" t="str">
        <f>IF(J$5="Actuals",IF(ABS(J80-('R4 - Totex'!J90+'R4 - Totex'!J118))&lt;'RFPR cover'!$F$14,"OK","Error"),"N/A")</f>
        <v>N/A</v>
      </c>
      <c r="K82" s="572" t="str">
        <f>IF(K$5="Actuals",IF(ABS(K80-('R4 - Totex'!K90+'R4 - Totex'!K118))&lt;'RFPR cover'!$F$14,"OK","Error"),"N/A")</f>
        <v>N/A</v>
      </c>
    </row>
    <row r="83" spans="2:11" s="2" customFormat="1">
      <c r="C83" s="136"/>
    </row>
    <row r="84" spans="2:11">
      <c r="D84" s="215"/>
      <c r="E84" s="215"/>
      <c r="F84" s="215"/>
      <c r="G84" s="215"/>
      <c r="H84" s="215"/>
      <c r="I84" s="215"/>
      <c r="J84" s="215"/>
      <c r="K84" s="215"/>
    </row>
    <row r="85" spans="2:11">
      <c r="D85" s="215"/>
      <c r="E85" s="215"/>
      <c r="F85" s="215"/>
      <c r="G85" s="215"/>
      <c r="H85" s="215"/>
      <c r="I85" s="215"/>
      <c r="J85" s="215"/>
      <c r="K85" s="215"/>
    </row>
    <row r="86" spans="2:11">
      <c r="D86" s="215"/>
      <c r="E86" s="215"/>
      <c r="F86" s="215"/>
      <c r="G86" s="215"/>
      <c r="H86" s="215"/>
      <c r="I86" s="215"/>
      <c r="J86" s="215"/>
      <c r="K86" s="215"/>
    </row>
  </sheetData>
  <conditionalFormatting sqref="D6:J6">
    <cfRule type="expression" dxfId="75" priority="26">
      <formula>AND(D$5="Actuals",E$5="N/A")</formula>
    </cfRule>
  </conditionalFormatting>
  <conditionalFormatting sqref="D5:K5">
    <cfRule type="expression" dxfId="74" priority="17">
      <formula>AND(D$5="Actuals",E$5="N/A")</formula>
    </cfRule>
  </conditionalFormatting>
  <conditionalFormatting sqref="D9:H14 D46:K46 D48:K48 D78:K78 D80:K80 D82:K82 D18:H19 D23:H23 D50:K50 J49:K49 D53:H77 J53:K77 J23:K23 J18:K19 D26:H45 J26:K45 J9:K14">
    <cfRule type="expression" dxfId="73" priority="12">
      <formula>D$5="N/A"</formula>
    </cfRule>
  </conditionalFormatting>
  <conditionalFormatting sqref="D15:H17 J15:K17">
    <cfRule type="expression" dxfId="72" priority="11">
      <formula>D$5="N/A"</formula>
    </cfRule>
  </conditionalFormatting>
  <conditionalFormatting sqref="D20:H22 J20:K22">
    <cfRule type="expression" dxfId="71" priority="10">
      <formula>D$5="N/A"</formula>
    </cfRule>
  </conditionalFormatting>
  <conditionalFormatting sqref="D49:I49">
    <cfRule type="expression" dxfId="70" priority="9">
      <formula>D$5="N/A"</formula>
    </cfRule>
  </conditionalFormatting>
  <conditionalFormatting sqref="I57:I77">
    <cfRule type="expression" dxfId="69" priority="8">
      <formula>I$5="N/A"</formula>
    </cfRule>
  </conditionalFormatting>
  <conditionalFormatting sqref="I53:I56">
    <cfRule type="expression" dxfId="68" priority="7">
      <formula>I$5="N/A"</formula>
    </cfRule>
  </conditionalFormatting>
  <conditionalFormatting sqref="I18 I23">
    <cfRule type="expression" dxfId="67" priority="6">
      <formula>I$5="N/A"</formula>
    </cfRule>
  </conditionalFormatting>
  <conditionalFormatting sqref="I26:I45">
    <cfRule type="expression" dxfId="66" priority="5">
      <formula>I$5="N/A"</formula>
    </cfRule>
  </conditionalFormatting>
  <conditionalFormatting sqref="I9:I14">
    <cfRule type="expression" dxfId="65" priority="4">
      <formula>I$5="N/A"</formula>
    </cfRule>
  </conditionalFormatting>
  <conditionalFormatting sqref="I15:I17">
    <cfRule type="expression" dxfId="64" priority="3">
      <formula>I$5="N/A"</formula>
    </cfRule>
  </conditionalFormatting>
  <conditionalFormatting sqref="I19">
    <cfRule type="expression" dxfId="63" priority="2">
      <formula>I$5="N/A"</formula>
    </cfRule>
  </conditionalFormatting>
  <conditionalFormatting sqref="I20:I22">
    <cfRule type="expression" dxfId="62" priority="1">
      <formula>I$5="N/A"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70" zoomScaleNormal="70" workbookViewId="0">
      <pane ySplit="6" topLeftCell="A7" activePane="bottomLeft" state="frozen"/>
      <selection activeCell="A3" sqref="A3"/>
      <selection pane="bottomLeft" activeCell="A3" sqref="A3"/>
    </sheetView>
  </sheetViews>
  <sheetFormatPr defaultColWidth="9.08984375" defaultRowHeight="12.6"/>
  <cols>
    <col min="1" max="1" width="8.36328125" style="2" customWidth="1"/>
    <col min="2" max="2" width="75.453125" style="129" customWidth="1"/>
    <col min="3" max="3" width="13.36328125" style="136" customWidth="1"/>
    <col min="4" max="11" width="11.08984375" style="2" customWidth="1"/>
    <col min="12" max="13" width="12.90625" style="2" customWidth="1"/>
    <col min="14" max="14" width="25.453125" style="2" customWidth="1"/>
    <col min="15" max="16384" width="9.08984375" style="2"/>
  </cols>
  <sheetData>
    <row r="1" spans="1:20" s="31" customFormat="1" ht="21">
      <c r="A1" s="909" t="s">
        <v>99</v>
      </c>
      <c r="B1" s="931"/>
      <c r="C1" s="278"/>
      <c r="D1" s="256"/>
      <c r="E1" s="256"/>
      <c r="F1" s="256"/>
      <c r="G1" s="256"/>
      <c r="H1" s="256"/>
      <c r="I1" s="257"/>
      <c r="J1" s="257"/>
      <c r="K1" s="258"/>
      <c r="L1" s="258"/>
      <c r="M1" s="258"/>
      <c r="N1" s="258"/>
      <c r="O1" s="363"/>
    </row>
    <row r="2" spans="1:20" s="31" customFormat="1" ht="21">
      <c r="A2" s="912" t="str">
        <f>'RFPR cover'!C5</f>
        <v>WPD-SWEST</v>
      </c>
      <c r="B2" s="925"/>
      <c r="C2" s="134"/>
      <c r="D2" s="29"/>
      <c r="E2" s="29"/>
      <c r="F2" s="29"/>
      <c r="G2" s="29"/>
      <c r="H2" s="29"/>
      <c r="I2" s="27"/>
      <c r="J2" s="27"/>
      <c r="K2" s="27"/>
      <c r="L2" s="27"/>
      <c r="M2" s="27"/>
      <c r="N2" s="27"/>
      <c r="O2" s="123"/>
    </row>
    <row r="3" spans="1:20" s="31" customFormat="1" ht="21">
      <c r="A3" s="915">
        <f>'RFPR cover'!C7</f>
        <v>2021</v>
      </c>
      <c r="B3" s="926"/>
      <c r="C3" s="277"/>
      <c r="D3" s="260"/>
      <c r="E3" s="260"/>
      <c r="F3" s="260"/>
      <c r="G3" s="260"/>
      <c r="H3" s="260"/>
      <c r="I3" s="255"/>
      <c r="J3" s="255"/>
      <c r="K3" s="255"/>
      <c r="L3" s="255"/>
      <c r="M3" s="255"/>
      <c r="N3" s="255"/>
      <c r="O3" s="261"/>
    </row>
    <row r="4" spans="1:20" ht="12.75" customHeight="1"/>
    <row r="5" spans="1:20" ht="12.75" customHeight="1">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20" ht="27.75" customHeight="1">
      <c r="B6" s="774"/>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2021</v>
      </c>
      <c r="M6" s="119" t="s">
        <v>109</v>
      </c>
      <c r="N6" s="119" t="s">
        <v>311</v>
      </c>
    </row>
    <row r="7" spans="1:20" s="35" customFormat="1">
      <c r="B7" s="775"/>
      <c r="C7" s="158"/>
      <c r="D7" s="57"/>
      <c r="E7" s="57"/>
      <c r="F7" s="57"/>
      <c r="G7" s="57"/>
      <c r="H7" s="57"/>
      <c r="I7" s="57"/>
      <c r="J7" s="57"/>
      <c r="K7" s="57"/>
      <c r="L7" s="57"/>
      <c r="M7" s="57"/>
      <c r="N7" s="57"/>
    </row>
    <row r="8" spans="1:20" s="35" customFormat="1">
      <c r="B8" s="776" t="s">
        <v>389</v>
      </c>
      <c r="C8" s="291"/>
      <c r="D8" s="321"/>
      <c r="E8" s="321"/>
      <c r="F8" s="321"/>
      <c r="G8" s="321"/>
      <c r="H8" s="321"/>
      <c r="I8" s="321"/>
      <c r="J8" s="321"/>
      <c r="K8" s="321"/>
      <c r="L8" s="321"/>
      <c r="M8" s="321"/>
      <c r="N8" s="321"/>
    </row>
    <row r="9" spans="1:20" s="35" customFormat="1">
      <c r="B9" s="775"/>
      <c r="C9" s="158"/>
      <c r="D9" s="57"/>
      <c r="E9" s="57"/>
      <c r="F9" s="57"/>
      <c r="G9" s="57"/>
      <c r="H9" s="57"/>
      <c r="I9" s="57"/>
      <c r="J9" s="57"/>
      <c r="K9" s="57"/>
      <c r="L9" s="57"/>
      <c r="M9" s="57"/>
      <c r="N9" s="57"/>
    </row>
    <row r="10" spans="1:20">
      <c r="A10" s="35"/>
      <c r="B10" s="777" t="str">
        <f>Data!B48</f>
        <v>Totex</v>
      </c>
      <c r="C10" s="150"/>
      <c r="D10" s="81"/>
      <c r="E10" s="81"/>
      <c r="F10" s="81"/>
      <c r="G10" s="81"/>
      <c r="H10" s="81"/>
      <c r="I10" s="81"/>
      <c r="J10" s="81"/>
      <c r="K10" s="81"/>
      <c r="L10" s="81"/>
      <c r="M10" s="81"/>
      <c r="N10" s="81"/>
    </row>
    <row r="11" spans="1:20" s="35" customFormat="1">
      <c r="B11" s="778"/>
      <c r="C11" s="138"/>
      <c r="D11" s="320"/>
      <c r="E11" s="320"/>
      <c r="F11" s="320"/>
      <c r="G11" s="320"/>
      <c r="H11" s="320"/>
      <c r="I11" s="320"/>
      <c r="J11" s="320"/>
      <c r="K11" s="320"/>
      <c r="L11" s="320"/>
      <c r="M11" s="320"/>
      <c r="N11" s="320"/>
    </row>
    <row r="12" spans="1:20">
      <c r="A12" s="35"/>
      <c r="B12" s="305" t="s">
        <v>34</v>
      </c>
      <c r="C12" s="155" t="str">
        <f>'RFPR cover'!$C$14</f>
        <v>£m 12/13</v>
      </c>
      <c r="D12" s="482">
        <v>210.44636019704512</v>
      </c>
      <c r="E12" s="483">
        <v>241.04165600301744</v>
      </c>
      <c r="F12" s="483">
        <v>207.90959860883513</v>
      </c>
      <c r="G12" s="483">
        <v>191.79017080119689</v>
      </c>
      <c r="H12" s="483">
        <v>204.28253731132179</v>
      </c>
      <c r="I12" s="483">
        <v>196.44743867362789</v>
      </c>
      <c r="J12" s="483">
        <v>219.67274460714381</v>
      </c>
      <c r="K12" s="483">
        <v>224.37716334558985</v>
      </c>
      <c r="L12" s="107">
        <f>SUM(D12:INDEX(D12:K12,0,MATCH('RFPR cover'!$C$7,$D$6:$K$6,0)))</f>
        <v>1251.9177615950443</v>
      </c>
      <c r="M12" s="108">
        <f>SUM(D12:K12)</f>
        <v>1695.9676695477781</v>
      </c>
      <c r="N12" s="62"/>
      <c r="O12" s="62"/>
    </row>
    <row r="13" spans="1:20" ht="25.2">
      <c r="A13" s="35"/>
      <c r="B13" s="779" t="s">
        <v>501</v>
      </c>
      <c r="C13" s="155" t="str">
        <f>'RFPR cover'!$C$14</f>
        <v>£m 12/13</v>
      </c>
      <c r="D13" s="484">
        <v>214.67063708067678</v>
      </c>
      <c r="E13" s="485">
        <v>215.30321808555479</v>
      </c>
      <c r="F13" s="485">
        <v>211.3236296511833</v>
      </c>
      <c r="G13" s="485">
        <v>214.30205202796378</v>
      </c>
      <c r="H13" s="485">
        <v>210.13972989293933</v>
      </c>
      <c r="I13" s="485">
        <v>210.0047161211412</v>
      </c>
      <c r="J13" s="485">
        <v>209.8131760264047</v>
      </c>
      <c r="K13" s="485">
        <v>219.71952298508899</v>
      </c>
      <c r="L13" s="105">
        <f>SUM(D13:INDEX(D13:K13,0,MATCH('RFPR cover'!$C$7,$D$6:$K$6,0)))</f>
        <v>1275.7439828594593</v>
      </c>
      <c r="M13" s="106">
        <f>SUM(D13:K13)</f>
        <v>1705.2766818709531</v>
      </c>
      <c r="N13" s="62"/>
      <c r="O13" s="62"/>
    </row>
    <row r="14" spans="1:20">
      <c r="A14" s="35"/>
      <c r="B14" s="780" t="s">
        <v>195</v>
      </c>
      <c r="C14" s="155" t="str">
        <f>'RFPR cover'!$C$14</f>
        <v>£m 12/13</v>
      </c>
      <c r="D14" s="102">
        <f>D13-D12</f>
        <v>4.22427688363166</v>
      </c>
      <c r="E14" s="103">
        <f t="shared" ref="E14:M14" si="1">E13-E12</f>
        <v>-25.738437917462647</v>
      </c>
      <c r="F14" s="103">
        <f t="shared" si="1"/>
        <v>3.4140310423481708</v>
      </c>
      <c r="G14" s="103">
        <f t="shared" si="1"/>
        <v>22.511881226766889</v>
      </c>
      <c r="H14" s="103">
        <f t="shared" si="1"/>
        <v>5.8571925816175394</v>
      </c>
      <c r="I14" s="103">
        <f t="shared" si="1"/>
        <v>13.557277447513314</v>
      </c>
      <c r="J14" s="103">
        <f t="shared" si="1"/>
        <v>-9.8595685807391078</v>
      </c>
      <c r="K14" s="103">
        <f t="shared" si="1"/>
        <v>-4.6576403605008636</v>
      </c>
      <c r="L14" s="102">
        <f t="shared" si="1"/>
        <v>23.826221264414926</v>
      </c>
      <c r="M14" s="104">
        <f t="shared" si="1"/>
        <v>9.3090123231750113</v>
      </c>
      <c r="N14" s="62"/>
      <c r="O14" s="996"/>
      <c r="P14" s="996"/>
      <c r="Q14" s="996"/>
      <c r="R14"/>
      <c r="S14"/>
      <c r="T14"/>
    </row>
    <row r="15" spans="1:20" ht="13.2">
      <c r="A15" s="35"/>
      <c r="B15" s="780"/>
      <c r="C15" s="155"/>
      <c r="D15" s="58"/>
      <c r="E15" s="58"/>
      <c r="F15" s="58"/>
      <c r="G15" s="58"/>
      <c r="H15" s="58"/>
      <c r="I15" s="58"/>
      <c r="J15" s="58"/>
      <c r="K15" s="58"/>
      <c r="L15" s="58"/>
      <c r="M15" s="58"/>
      <c r="O15" s="63"/>
      <c r="P15" s="63"/>
      <c r="Q15" s="63"/>
      <c r="R15"/>
      <c r="S15"/>
      <c r="T15"/>
    </row>
    <row r="16" spans="1:20">
      <c r="A16" s="35"/>
      <c r="B16" s="774" t="s">
        <v>178</v>
      </c>
      <c r="C16" s="136" t="s">
        <v>7</v>
      </c>
      <c r="D16" s="109">
        <f>1-INDEX(Data!$D$73:$D$100,MATCH('RFPR cover'!$C$5,Data!$B$73:$B$100,0),0)</f>
        <v>0.30000000000000004</v>
      </c>
      <c r="E16" s="110">
        <f>1-INDEX(Data!$D$73:$D$100,MATCH('RFPR cover'!$C$5,Data!$B$73:$B$100,0),0)</f>
        <v>0.30000000000000004</v>
      </c>
      <c r="F16" s="110">
        <f>1-INDEX(Data!$D$73:$D$100,MATCH('RFPR cover'!$C$5,Data!$B$73:$B$100,0),0)</f>
        <v>0.30000000000000004</v>
      </c>
      <c r="G16" s="110">
        <f>1-INDEX(Data!$D$73:$D$100,MATCH('RFPR cover'!$C$5,Data!$B$73:$B$100,0),0)</f>
        <v>0.30000000000000004</v>
      </c>
      <c r="H16" s="110">
        <f>1-INDEX(Data!$D$73:$D$100,MATCH('RFPR cover'!$C$5,Data!$B$73:$B$100,0),0)</f>
        <v>0.30000000000000004</v>
      </c>
      <c r="I16" s="110">
        <f>1-INDEX(Data!$D$73:$D$100,MATCH('RFPR cover'!$C$5,Data!$B$73:$B$100,0),0)</f>
        <v>0.30000000000000004</v>
      </c>
      <c r="J16" s="110">
        <f>1-INDEX(Data!$D$73:$D$100,MATCH('RFPR cover'!$C$5,Data!$B$73:$B$100,0),0)</f>
        <v>0.30000000000000004</v>
      </c>
      <c r="K16" s="111">
        <f>1-INDEX(Data!$D$73:$D$100,MATCH('RFPR cover'!$C$5,Data!$B$73:$B$100,0),0)</f>
        <v>0.30000000000000004</v>
      </c>
      <c r="L16" s="61"/>
      <c r="M16" s="61"/>
      <c r="O16"/>
      <c r="P16"/>
      <c r="Q16"/>
      <c r="R16"/>
      <c r="S16"/>
      <c r="T16"/>
    </row>
    <row r="17" spans="1:20">
      <c r="A17" s="35"/>
      <c r="B17" s="774"/>
      <c r="O17"/>
      <c r="P17"/>
      <c r="Q17"/>
      <c r="R17"/>
      <c r="S17"/>
      <c r="T17"/>
    </row>
    <row r="18" spans="1:20">
      <c r="A18" s="35"/>
      <c r="B18" s="781" t="s">
        <v>183</v>
      </c>
      <c r="C18" s="159" t="str">
        <f>'RFPR cover'!$C$14</f>
        <v>£m 12/13</v>
      </c>
      <c r="D18" s="95">
        <f>D14*D16</f>
        <v>1.2672830650894982</v>
      </c>
      <c r="E18" s="96">
        <f t="shared" ref="E18:K18" si="2">E14*E16</f>
        <v>-7.7215313752387953</v>
      </c>
      <c r="F18" s="96">
        <f t="shared" si="2"/>
        <v>1.0242093127044514</v>
      </c>
      <c r="G18" s="96">
        <f t="shared" si="2"/>
        <v>6.7535643680300677</v>
      </c>
      <c r="H18" s="96">
        <f t="shared" si="2"/>
        <v>1.757157774485262</v>
      </c>
      <c r="I18" s="96">
        <f t="shared" si="2"/>
        <v>4.0671832342539949</v>
      </c>
      <c r="J18" s="96">
        <f t="shared" si="2"/>
        <v>-2.9578705742217326</v>
      </c>
      <c r="K18" s="96">
        <f t="shared" si="2"/>
        <v>-1.3972921081502594</v>
      </c>
      <c r="L18" s="95">
        <f>SUM(D18:INDEX(D18:K18,0,MATCH('RFPR cover'!$C$7,$D$6:$K$6,0)))</f>
        <v>7.147866379324479</v>
      </c>
      <c r="M18" s="97">
        <f>SUM(D18:K18)</f>
        <v>2.7927036969524872</v>
      </c>
      <c r="O18"/>
      <c r="P18"/>
      <c r="Q18"/>
      <c r="R18"/>
      <c r="S18"/>
      <c r="T18"/>
    </row>
    <row r="19" spans="1:20">
      <c r="A19" s="35"/>
      <c r="B19" s="781" t="s">
        <v>280</v>
      </c>
      <c r="C19" s="159" t="str">
        <f>'RFPR cover'!$C$14</f>
        <v>£m 12/13</v>
      </c>
      <c r="D19" s="92">
        <f>D14*(1-D16)</f>
        <v>2.9569938185421618</v>
      </c>
      <c r="E19" s="93">
        <f t="shared" ref="E19:K19" si="3">E14*(1-E16)</f>
        <v>-18.01690654222385</v>
      </c>
      <c r="F19" s="93">
        <f t="shared" si="3"/>
        <v>2.3898217296437192</v>
      </c>
      <c r="G19" s="93">
        <f t="shared" si="3"/>
        <v>15.758316858736821</v>
      </c>
      <c r="H19" s="93">
        <f t="shared" si="3"/>
        <v>4.1000348071322774</v>
      </c>
      <c r="I19" s="93">
        <f t="shared" si="3"/>
        <v>9.4900942132593187</v>
      </c>
      <c r="J19" s="93">
        <f t="shared" si="3"/>
        <v>-6.9016980065173748</v>
      </c>
      <c r="K19" s="93">
        <f t="shared" si="3"/>
        <v>-3.2603482523506044</v>
      </c>
      <c r="L19" s="92">
        <f>SUM(D19:INDEX(D19:K19,0,MATCH('RFPR cover'!$C$7,$D$6:$K$6,0)))</f>
        <v>16.678354885090449</v>
      </c>
      <c r="M19" s="94">
        <f>SUM(D19:K19)</f>
        <v>6.5163086262224699</v>
      </c>
      <c r="O19"/>
      <c r="P19"/>
      <c r="Q19"/>
      <c r="R19"/>
      <c r="S19"/>
      <c r="T19"/>
    </row>
    <row r="20" spans="1:20">
      <c r="A20" s="35"/>
      <c r="B20" s="774"/>
      <c r="O20"/>
      <c r="P20"/>
      <c r="Q20"/>
      <c r="R20"/>
      <c r="S20"/>
      <c r="T20"/>
    </row>
    <row r="21" spans="1:20">
      <c r="A21" s="35"/>
      <c r="B21" s="782" t="s">
        <v>182</v>
      </c>
      <c r="N21" s="62"/>
      <c r="O21"/>
      <c r="P21"/>
      <c r="Q21"/>
      <c r="R21"/>
      <c r="S21"/>
      <c r="T21"/>
    </row>
    <row r="22" spans="1:20">
      <c r="A22" s="269" t="s">
        <v>151</v>
      </c>
      <c r="B22" s="772" t="s">
        <v>617</v>
      </c>
      <c r="C22" s="155" t="str">
        <f>'RFPR cover'!$C$14</f>
        <v>£m 12/13</v>
      </c>
      <c r="D22" s="582">
        <v>0</v>
      </c>
      <c r="E22" s="583">
        <v>14.716242447047392</v>
      </c>
      <c r="F22" s="583">
        <v>-13.702979070466785</v>
      </c>
      <c r="G22" s="583">
        <v>-0.46814049805900287</v>
      </c>
      <c r="H22" s="583">
        <v>0</v>
      </c>
      <c r="I22" s="583">
        <v>0</v>
      </c>
      <c r="J22" s="583">
        <v>0</v>
      </c>
      <c r="K22" s="583">
        <v>0</v>
      </c>
      <c r="L22" s="584">
        <f>SUM(D22:INDEX(D22:K22,0,MATCH('RFPR cover'!$C$7,$D$6:$K$6,0)))</f>
        <v>0.54512287852160402</v>
      </c>
      <c r="M22" s="585">
        <f t="shared" ref="M22:M27" si="4">SUM(D22:K22)</f>
        <v>0.54512287852160402</v>
      </c>
      <c r="N22" s="573" t="s">
        <v>620</v>
      </c>
      <c r="O22"/>
      <c r="P22"/>
      <c r="Q22"/>
      <c r="R22"/>
      <c r="S22"/>
      <c r="T22"/>
    </row>
    <row r="23" spans="1:20">
      <c r="A23" s="269" t="s">
        <v>152</v>
      </c>
      <c r="B23" s="772" t="s">
        <v>618</v>
      </c>
      <c r="C23" s="155" t="str">
        <f>'RFPR cover'!$C$14</f>
        <v>£m 12/13</v>
      </c>
      <c r="D23" s="586">
        <v>0</v>
      </c>
      <c r="E23" s="587">
        <v>0</v>
      </c>
      <c r="F23" s="587">
        <v>-8.7508843455148817</v>
      </c>
      <c r="G23" s="587">
        <v>3.2316541631445479</v>
      </c>
      <c r="H23" s="587">
        <v>3.2316541631445479</v>
      </c>
      <c r="I23" s="587">
        <v>3.0799999999999996</v>
      </c>
      <c r="J23" s="587">
        <v>2.2931761401242232</v>
      </c>
      <c r="K23" s="587">
        <v>-3.0856001208984365</v>
      </c>
      <c r="L23" s="588">
        <f>SUM(D23:INDEX(D23:K23,0,MATCH('RFPR cover'!$C$7,$D$6:$K$6,0)))</f>
        <v>0.79242398077421328</v>
      </c>
      <c r="M23" s="589">
        <f t="shared" si="4"/>
        <v>0</v>
      </c>
      <c r="N23" s="574" t="s">
        <v>620</v>
      </c>
      <c r="O23"/>
      <c r="P23"/>
      <c r="Q23"/>
      <c r="R23"/>
      <c r="S23"/>
      <c r="T23"/>
    </row>
    <row r="24" spans="1:20">
      <c r="A24" s="269" t="s">
        <v>153</v>
      </c>
      <c r="B24" s="772" t="s">
        <v>619</v>
      </c>
      <c r="C24" s="155" t="str">
        <f>'RFPR cover'!$C$14</f>
        <v>£m 12/13</v>
      </c>
      <c r="D24" s="586">
        <v>0</v>
      </c>
      <c r="E24" s="587">
        <v>0</v>
      </c>
      <c r="F24" s="587">
        <v>0</v>
      </c>
      <c r="G24" s="587">
        <v>0</v>
      </c>
      <c r="H24" s="587">
        <v>0</v>
      </c>
      <c r="I24" s="587">
        <v>-0.31643655020499584</v>
      </c>
      <c r="J24" s="587">
        <v>2.2525613847891397</v>
      </c>
      <c r="K24" s="587">
        <v>2.2525613847891397</v>
      </c>
      <c r="L24" s="588">
        <f>SUM(D24:INDEX(D24:K24,0,MATCH('RFPR cover'!$C$7,$D$6:$K$6,0)))</f>
        <v>-0.31643655020499584</v>
      </c>
      <c r="M24" s="589">
        <f t="shared" si="4"/>
        <v>4.1886862193732837</v>
      </c>
      <c r="N24" s="574" t="s">
        <v>620</v>
      </c>
      <c r="O24"/>
      <c r="P24"/>
      <c r="Q24"/>
      <c r="R24"/>
      <c r="S24" s="64"/>
      <c r="T24"/>
    </row>
    <row r="25" spans="1:20">
      <c r="A25" s="269" t="s">
        <v>168</v>
      </c>
      <c r="B25" s="772" t="s">
        <v>242</v>
      </c>
      <c r="C25" s="155" t="str">
        <f>'RFPR cover'!$C$14</f>
        <v>£m 12/13</v>
      </c>
      <c r="D25" s="586">
        <v>0</v>
      </c>
      <c r="E25" s="587">
        <v>0</v>
      </c>
      <c r="F25" s="587">
        <v>0</v>
      </c>
      <c r="G25" s="587">
        <v>0</v>
      </c>
      <c r="H25" s="587">
        <v>0</v>
      </c>
      <c r="I25" s="587">
        <v>0</v>
      </c>
      <c r="J25" s="587">
        <v>0</v>
      </c>
      <c r="K25" s="587">
        <v>0</v>
      </c>
      <c r="L25" s="588">
        <f>SUM(D25:INDEX(D25:K25,0,MATCH('RFPR cover'!$C$7,$D$6:$K$6,0)))</f>
        <v>0</v>
      </c>
      <c r="M25" s="589">
        <f t="shared" si="4"/>
        <v>0</v>
      </c>
      <c r="N25" s="574"/>
      <c r="O25"/>
      <c r="P25"/>
      <c r="Q25"/>
      <c r="R25"/>
      <c r="S25"/>
      <c r="T25"/>
    </row>
    <row r="26" spans="1:20">
      <c r="A26" s="269" t="s">
        <v>169</v>
      </c>
      <c r="B26" s="772" t="s">
        <v>242</v>
      </c>
      <c r="C26" s="155" t="str">
        <f>'RFPR cover'!$C$14</f>
        <v>£m 12/13</v>
      </c>
      <c r="D26" s="586">
        <v>0</v>
      </c>
      <c r="E26" s="587">
        <v>0</v>
      </c>
      <c r="F26" s="587">
        <v>0</v>
      </c>
      <c r="G26" s="587">
        <v>0</v>
      </c>
      <c r="H26" s="587">
        <v>0</v>
      </c>
      <c r="I26" s="587">
        <v>0</v>
      </c>
      <c r="J26" s="587">
        <v>0</v>
      </c>
      <c r="K26" s="587">
        <v>0</v>
      </c>
      <c r="L26" s="588">
        <f>SUM(D26:INDEX(D26:K26,0,MATCH('RFPR cover'!$C$7,$D$6:$K$6,0)))</f>
        <v>0</v>
      </c>
      <c r="M26" s="589">
        <f t="shared" si="4"/>
        <v>0</v>
      </c>
      <c r="N26" s="574"/>
      <c r="O26"/>
      <c r="P26"/>
      <c r="Q26"/>
      <c r="R26"/>
      <c r="S26"/>
      <c r="T26"/>
    </row>
    <row r="27" spans="1:20">
      <c r="A27" s="269" t="s">
        <v>170</v>
      </c>
      <c r="B27" s="772" t="s">
        <v>242</v>
      </c>
      <c r="C27" s="155" t="str">
        <f>'RFPR cover'!$C$14</f>
        <v>£m 12/13</v>
      </c>
      <c r="D27" s="590">
        <v>0</v>
      </c>
      <c r="E27" s="591">
        <v>0</v>
      </c>
      <c r="F27" s="591">
        <v>0</v>
      </c>
      <c r="G27" s="591">
        <v>0</v>
      </c>
      <c r="H27" s="591">
        <v>0</v>
      </c>
      <c r="I27" s="591">
        <v>0</v>
      </c>
      <c r="J27" s="591">
        <v>0</v>
      </c>
      <c r="K27" s="591">
        <v>0</v>
      </c>
      <c r="L27" s="592">
        <f>SUM(D27:INDEX(D27:K27,0,MATCH('RFPR cover'!$C$7,$D$6:$K$6,0)))</f>
        <v>0</v>
      </c>
      <c r="M27" s="593">
        <f t="shared" si="4"/>
        <v>0</v>
      </c>
      <c r="N27" s="575"/>
      <c r="O27"/>
      <c r="P27"/>
      <c r="Q27"/>
      <c r="R27"/>
      <c r="S27"/>
      <c r="T27"/>
    </row>
    <row r="28" spans="1:20">
      <c r="A28" s="35"/>
      <c r="B28" s="782" t="s">
        <v>190</v>
      </c>
      <c r="C28" s="155" t="str">
        <f>'RFPR cover'!$C$14</f>
        <v>£m 12/13</v>
      </c>
      <c r="D28" s="102">
        <f>SUM(D22:D27)</f>
        <v>0</v>
      </c>
      <c r="E28" s="103">
        <f t="shared" ref="E28:K28" si="5">SUM(E22:E27)</f>
        <v>14.716242447047392</v>
      </c>
      <c r="F28" s="103">
        <f t="shared" si="5"/>
        <v>-22.453863415981665</v>
      </c>
      <c r="G28" s="103">
        <f t="shared" si="5"/>
        <v>2.763513665085545</v>
      </c>
      <c r="H28" s="103">
        <f t="shared" si="5"/>
        <v>3.2316541631445479</v>
      </c>
      <c r="I28" s="103">
        <f t="shared" si="5"/>
        <v>2.7635634497950039</v>
      </c>
      <c r="J28" s="103">
        <f t="shared" si="5"/>
        <v>4.5457375249133634</v>
      </c>
      <c r="K28" s="103">
        <f t="shared" si="5"/>
        <v>-0.8330387361092968</v>
      </c>
      <c r="L28" s="102">
        <f>SUM(D28:INDEX(D28:K28,0,MATCH('RFPR cover'!$C$7,$D$6:$K$6,0)))</f>
        <v>1.0211103090908242</v>
      </c>
      <c r="M28" s="104">
        <f>SUM(D28:K28)</f>
        <v>4.7338090978948912</v>
      </c>
      <c r="N28" s="62"/>
    </row>
    <row r="29" spans="1:20">
      <c r="A29" s="35"/>
      <c r="B29" s="774"/>
    </row>
    <row r="30" spans="1:20">
      <c r="A30" s="35"/>
      <c r="B30" s="781" t="s">
        <v>198</v>
      </c>
      <c r="C30" s="159" t="str">
        <f>'RFPR cover'!$C$14</f>
        <v>£m 12/13</v>
      </c>
      <c r="D30" s="95">
        <f t="shared" ref="D30:K30" si="6">D28*D16</f>
        <v>0</v>
      </c>
      <c r="E30" s="96">
        <f t="shared" si="6"/>
        <v>4.4148727341142182</v>
      </c>
      <c r="F30" s="96">
        <f t="shared" si="6"/>
        <v>-6.7361590247945005</v>
      </c>
      <c r="G30" s="96">
        <f t="shared" si="6"/>
        <v>0.82905409952566367</v>
      </c>
      <c r="H30" s="96">
        <f t="shared" si="6"/>
        <v>0.9694962489433645</v>
      </c>
      <c r="I30" s="96">
        <f t="shared" si="6"/>
        <v>0.82906903493850126</v>
      </c>
      <c r="J30" s="96">
        <f t="shared" si="6"/>
        <v>1.3637212574740092</v>
      </c>
      <c r="K30" s="96">
        <f t="shared" si="6"/>
        <v>-0.24991162083278909</v>
      </c>
      <c r="L30" s="95">
        <f>SUM(D30:INDEX(D30:K30,0,MATCH('RFPR cover'!$C$7,$D$6:$K$6,0)))</f>
        <v>0.30633309272724718</v>
      </c>
      <c r="M30" s="97">
        <f>SUM(D30:K30)</f>
        <v>1.4201427293684672</v>
      </c>
    </row>
    <row r="31" spans="1:20">
      <c r="A31" s="35"/>
      <c r="B31" s="781" t="s">
        <v>309</v>
      </c>
      <c r="C31" s="159" t="str">
        <f>'RFPR cover'!$C$14</f>
        <v>£m 12/13</v>
      </c>
      <c r="D31" s="92">
        <f t="shared" ref="D31:K31" si="7">D28*(1-D16)</f>
        <v>0</v>
      </c>
      <c r="E31" s="93">
        <f t="shared" si="7"/>
        <v>10.301369712933173</v>
      </c>
      <c r="F31" s="93">
        <f t="shared" si="7"/>
        <v>-15.717704391187164</v>
      </c>
      <c r="G31" s="93">
        <f t="shared" si="7"/>
        <v>1.9344595655598813</v>
      </c>
      <c r="H31" s="93">
        <f t="shared" si="7"/>
        <v>2.2621579142011834</v>
      </c>
      <c r="I31" s="93">
        <f t="shared" si="7"/>
        <v>1.9344944148565026</v>
      </c>
      <c r="J31" s="93">
        <f t="shared" si="7"/>
        <v>3.1820162674393542</v>
      </c>
      <c r="K31" s="93">
        <f t="shared" si="7"/>
        <v>-0.58312711527650773</v>
      </c>
      <c r="L31" s="92">
        <f>SUM(D31:INDEX(D31:K31,0,MATCH('RFPR cover'!$C$7,$D$6:$K$6,0)))</f>
        <v>0.71477721636357638</v>
      </c>
      <c r="M31" s="94">
        <f>SUM(D31:K31)</f>
        <v>3.3136663685264232</v>
      </c>
    </row>
    <row r="32" spans="1:20">
      <c r="A32" s="35"/>
      <c r="B32" s="774"/>
    </row>
    <row r="33" spans="1:20">
      <c r="A33" s="35"/>
      <c r="B33" s="782" t="s">
        <v>181</v>
      </c>
    </row>
    <row r="34" spans="1:20">
      <c r="A34" s="35"/>
      <c r="B34" s="774" t="s">
        <v>180</v>
      </c>
      <c r="C34" s="155" t="str">
        <f>'RFPR cover'!$C$14</f>
        <v>£m 12/13</v>
      </c>
      <c r="D34" s="95">
        <f>D18+D30</f>
        <v>1.2672830650894982</v>
      </c>
      <c r="E34" s="96">
        <f t="shared" ref="E34:K34" si="8">E18+E30</f>
        <v>-3.3066586411245771</v>
      </c>
      <c r="F34" s="96">
        <f t="shared" si="8"/>
        <v>-5.7119497120900489</v>
      </c>
      <c r="G34" s="96">
        <f t="shared" si="8"/>
        <v>7.5826184675557311</v>
      </c>
      <c r="H34" s="96">
        <f t="shared" si="8"/>
        <v>2.7266540234286265</v>
      </c>
      <c r="I34" s="96">
        <f t="shared" si="8"/>
        <v>4.8962522691924963</v>
      </c>
      <c r="J34" s="96">
        <f t="shared" si="8"/>
        <v>-1.5941493167477234</v>
      </c>
      <c r="K34" s="96">
        <f t="shared" si="8"/>
        <v>-1.6472037289830486</v>
      </c>
      <c r="L34" s="95">
        <f>SUM(D34:INDEX(D34:K34,0,MATCH('RFPR cover'!$C$7,$D$6:$K$6,0)))</f>
        <v>7.4541994720517266</v>
      </c>
      <c r="M34" s="97">
        <f>SUM(D34:K34)</f>
        <v>4.2128464263209553</v>
      </c>
    </row>
    <row r="35" spans="1:20">
      <c r="A35" s="35"/>
      <c r="B35" s="774" t="s">
        <v>280</v>
      </c>
      <c r="C35" s="155" t="str">
        <f>'RFPR cover'!$C$14</f>
        <v>£m 12/13</v>
      </c>
      <c r="D35" s="98">
        <f>D19+D31</f>
        <v>2.9569938185421618</v>
      </c>
      <c r="E35" s="99">
        <f t="shared" ref="E35:K35" si="9">E19+E31</f>
        <v>-7.7155368292906772</v>
      </c>
      <c r="F35" s="99">
        <f t="shared" si="9"/>
        <v>-13.327882661543445</v>
      </c>
      <c r="G35" s="99">
        <f t="shared" si="9"/>
        <v>17.692776424296703</v>
      </c>
      <c r="H35" s="99">
        <f t="shared" si="9"/>
        <v>6.3621927213334608</v>
      </c>
      <c r="I35" s="99">
        <f t="shared" si="9"/>
        <v>11.424588628115821</v>
      </c>
      <c r="J35" s="99">
        <f t="shared" si="9"/>
        <v>-3.7196817390780206</v>
      </c>
      <c r="K35" s="99">
        <f t="shared" si="9"/>
        <v>-3.8434753676271121</v>
      </c>
      <c r="L35" s="98">
        <f>SUM(D35:INDEX(D35:K35,0,MATCH('RFPR cover'!$C$7,$D$6:$K$6,0)))</f>
        <v>17.393132101454025</v>
      </c>
      <c r="M35" s="100">
        <f>SUM(D35:K35)</f>
        <v>9.829974994748893</v>
      </c>
    </row>
    <row r="36" spans="1:20">
      <c r="A36" s="35"/>
      <c r="B36" s="782" t="s">
        <v>11</v>
      </c>
      <c r="C36" s="156" t="str">
        <f>'RFPR cover'!$C$14</f>
        <v>£m 12/13</v>
      </c>
      <c r="D36" s="139">
        <f>SUM(D34:D35)</f>
        <v>4.22427688363166</v>
      </c>
      <c r="E36" s="140">
        <f t="shared" ref="E36:K36" si="10">SUM(E34:E35)</f>
        <v>-11.022195470415255</v>
      </c>
      <c r="F36" s="140">
        <f t="shared" si="10"/>
        <v>-19.039832373633494</v>
      </c>
      <c r="G36" s="140">
        <f t="shared" si="10"/>
        <v>25.275394891852436</v>
      </c>
      <c r="H36" s="140">
        <f t="shared" si="10"/>
        <v>9.0888467447620869</v>
      </c>
      <c r="I36" s="140">
        <f t="shared" si="10"/>
        <v>16.320840897308315</v>
      </c>
      <c r="J36" s="140">
        <f t="shared" si="10"/>
        <v>-5.3138310558257444</v>
      </c>
      <c r="K36" s="140">
        <f t="shared" si="10"/>
        <v>-5.4906790966101608</v>
      </c>
      <c r="L36" s="139">
        <f>SUM(D36:INDEX(D36:K36,0,MATCH('RFPR cover'!$C$7,$D$6:$K$6,0)))</f>
        <v>24.847331573505748</v>
      </c>
      <c r="M36" s="141">
        <f>SUM(D36:K36)</f>
        <v>14.042821421069842</v>
      </c>
    </row>
    <row r="37" spans="1:20">
      <c r="A37" s="35"/>
      <c r="B37" s="774"/>
    </row>
    <row r="38" spans="1:20">
      <c r="A38" s="35"/>
      <c r="B38" s="777" t="str">
        <f>Data!B51</f>
        <v>n/a</v>
      </c>
      <c r="C38" s="150"/>
      <c r="D38" s="81"/>
      <c r="E38" s="81"/>
      <c r="F38" s="81"/>
      <c r="G38" s="81"/>
      <c r="H38" s="81"/>
      <c r="I38" s="81"/>
      <c r="J38" s="81"/>
      <c r="K38" s="81"/>
      <c r="L38" s="81"/>
      <c r="M38" s="81"/>
      <c r="N38" s="81"/>
    </row>
    <row r="39" spans="1:20" s="35" customFormat="1">
      <c r="B39" s="775"/>
      <c r="C39" s="138"/>
      <c r="D39" s="320"/>
      <c r="E39" s="320"/>
      <c r="F39" s="320"/>
      <c r="G39" s="320"/>
      <c r="H39" s="320"/>
      <c r="I39" s="320"/>
      <c r="J39" s="320"/>
      <c r="K39" s="320"/>
      <c r="L39" s="320"/>
      <c r="M39" s="320"/>
      <c r="N39" s="320"/>
    </row>
    <row r="40" spans="1:20">
      <c r="A40" s="35"/>
      <c r="B40" s="305" t="s">
        <v>34</v>
      </c>
      <c r="C40" s="155" t="str">
        <f>'RFPR cover'!$C$14</f>
        <v>£m 12/13</v>
      </c>
      <c r="D40" s="649"/>
      <c r="E40" s="650"/>
      <c r="F40" s="650"/>
      <c r="G40" s="650"/>
      <c r="H40" s="650"/>
      <c r="I40" s="650"/>
      <c r="J40" s="650"/>
      <c r="K40" s="650"/>
      <c r="L40" s="651">
        <f>SUM(D40:INDEX(D40:K40,0,MATCH('RFPR cover'!$C$7,$D$6:$K$6,0)))</f>
        <v>0</v>
      </c>
      <c r="M40" s="652">
        <f>SUM(D40:K40)</f>
        <v>0</v>
      </c>
      <c r="N40" s="352"/>
      <c r="O40" s="62"/>
    </row>
    <row r="41" spans="1:20" ht="25.2">
      <c r="A41" s="35"/>
      <c r="B41" s="779" t="s">
        <v>501</v>
      </c>
      <c r="C41" s="155" t="str">
        <f>'RFPR cover'!$C$14</f>
        <v>£m 12/13</v>
      </c>
      <c r="D41" s="653"/>
      <c r="E41" s="654"/>
      <c r="F41" s="654"/>
      <c r="G41" s="654"/>
      <c r="H41" s="654"/>
      <c r="I41" s="654"/>
      <c r="J41" s="654"/>
      <c r="K41" s="654"/>
      <c r="L41" s="655">
        <f>SUM(D41:INDEX(D41:K41,0,MATCH('RFPR cover'!$C$7,$D$6:$K$6,0)))</f>
        <v>0</v>
      </c>
      <c r="M41" s="656">
        <f>SUM(D41:K41)</f>
        <v>0</v>
      </c>
      <c r="N41" s="352"/>
      <c r="O41" s="62"/>
    </row>
    <row r="42" spans="1:20">
      <c r="A42" s="35"/>
      <c r="B42" s="780" t="s">
        <v>195</v>
      </c>
      <c r="C42" s="155" t="str">
        <f>'RFPR cover'!$C$14</f>
        <v>£m 12/13</v>
      </c>
      <c r="D42" s="102">
        <f>D41-D40</f>
        <v>0</v>
      </c>
      <c r="E42" s="103">
        <f t="shared" ref="E42:M42" si="11">E41-E40</f>
        <v>0</v>
      </c>
      <c r="F42" s="103">
        <f t="shared" si="11"/>
        <v>0</v>
      </c>
      <c r="G42" s="103">
        <f t="shared" si="11"/>
        <v>0</v>
      </c>
      <c r="H42" s="103">
        <f t="shared" si="11"/>
        <v>0</v>
      </c>
      <c r="I42" s="103">
        <f t="shared" si="11"/>
        <v>0</v>
      </c>
      <c r="J42" s="103">
        <f t="shared" si="11"/>
        <v>0</v>
      </c>
      <c r="K42" s="103">
        <f t="shared" si="11"/>
        <v>0</v>
      </c>
      <c r="L42" s="355">
        <f t="shared" si="11"/>
        <v>0</v>
      </c>
      <c r="M42" s="356">
        <f t="shared" si="11"/>
        <v>0</v>
      </c>
      <c r="N42" s="353"/>
      <c r="O42" s="996"/>
      <c r="P42" s="996"/>
      <c r="Q42" s="996"/>
      <c r="R42"/>
      <c r="S42"/>
      <c r="T42"/>
    </row>
    <row r="43" spans="1:20" ht="13.2">
      <c r="A43" s="35"/>
      <c r="B43" s="780"/>
      <c r="C43" s="155"/>
      <c r="D43" s="58"/>
      <c r="E43" s="58"/>
      <c r="F43" s="58"/>
      <c r="G43" s="58"/>
      <c r="H43" s="58"/>
      <c r="I43" s="58"/>
      <c r="J43" s="58"/>
      <c r="K43" s="58"/>
      <c r="L43" s="58"/>
      <c r="M43" s="58"/>
      <c r="N43" s="349"/>
      <c r="O43" s="63"/>
      <c r="P43" s="63"/>
      <c r="Q43" s="63"/>
      <c r="R43"/>
      <c r="S43"/>
      <c r="T43"/>
    </row>
    <row r="44" spans="1:20">
      <c r="A44" s="35"/>
      <c r="B44" s="774" t="s">
        <v>178</v>
      </c>
      <c r="C44" s="136" t="s">
        <v>7</v>
      </c>
      <c r="D44" s="109">
        <f>1-INDEX(Data!$D$73:$D$100,MATCH('RFPR cover'!$C$5,Data!$B$73:$B$100,0),0)</f>
        <v>0.30000000000000004</v>
      </c>
      <c r="E44" s="110">
        <f>1-INDEX(Data!$D$73:$D$100,MATCH('RFPR cover'!$C$5,Data!$B$73:$B$100,0),0)</f>
        <v>0.30000000000000004</v>
      </c>
      <c r="F44" s="110">
        <f>1-INDEX(Data!$D$73:$D$100,MATCH('RFPR cover'!$C$5,Data!$B$73:$B$100,0),0)</f>
        <v>0.30000000000000004</v>
      </c>
      <c r="G44" s="110">
        <f>1-INDEX(Data!$D$73:$D$100,MATCH('RFPR cover'!$C$5,Data!$B$73:$B$100,0),0)</f>
        <v>0.30000000000000004</v>
      </c>
      <c r="H44" s="110">
        <f>1-INDEX(Data!$D$73:$D$100,MATCH('RFPR cover'!$C$5,Data!$B$73:$B$100,0),0)</f>
        <v>0.30000000000000004</v>
      </c>
      <c r="I44" s="110">
        <f>1-INDEX(Data!$D$73:$D$100,MATCH('RFPR cover'!$C$5,Data!$B$73:$B$100,0),0)</f>
        <v>0.30000000000000004</v>
      </c>
      <c r="J44" s="110">
        <f>1-INDEX(Data!$D$73:$D$100,MATCH('RFPR cover'!$C$5,Data!$B$73:$B$100,0),0)</f>
        <v>0.30000000000000004</v>
      </c>
      <c r="K44" s="111">
        <f>1-INDEX(Data!$D$73:$D$100,MATCH('RFPR cover'!$C$5,Data!$B$73:$B$100,0),0)</f>
        <v>0.30000000000000004</v>
      </c>
      <c r="L44" s="61"/>
      <c r="M44" s="61"/>
      <c r="N44" s="350"/>
      <c r="O44"/>
      <c r="P44"/>
      <c r="Q44"/>
      <c r="R44"/>
      <c r="S44"/>
      <c r="T44"/>
    </row>
    <row r="45" spans="1:20">
      <c r="A45" s="35"/>
      <c r="B45" s="774"/>
      <c r="N45" s="351"/>
      <c r="O45"/>
      <c r="P45"/>
      <c r="Q45"/>
      <c r="R45"/>
      <c r="S45"/>
      <c r="T45"/>
    </row>
    <row r="46" spans="1:20">
      <c r="A46" s="35"/>
      <c r="B46" s="781" t="s">
        <v>183</v>
      </c>
      <c r="C46" s="159" t="str">
        <f>'RFPR cover'!$C$14</f>
        <v>£m 12/13</v>
      </c>
      <c r="D46" s="95">
        <f>D42*D44</f>
        <v>0</v>
      </c>
      <c r="E46" s="96">
        <f t="shared" ref="E46:K46" si="12">E42*E44</f>
        <v>0</v>
      </c>
      <c r="F46" s="96">
        <f t="shared" si="12"/>
        <v>0</v>
      </c>
      <c r="G46" s="96">
        <f t="shared" si="12"/>
        <v>0</v>
      </c>
      <c r="H46" s="96">
        <f t="shared" si="12"/>
        <v>0</v>
      </c>
      <c r="I46" s="96">
        <f t="shared" si="12"/>
        <v>0</v>
      </c>
      <c r="J46" s="96">
        <f t="shared" si="12"/>
        <v>0</v>
      </c>
      <c r="K46" s="96">
        <f t="shared" si="12"/>
        <v>0</v>
      </c>
      <c r="L46" s="357">
        <f>SUM(D46:INDEX(D46:K46,0,MATCH('RFPR cover'!$C$7,$D$6:$K$6,0)))</f>
        <v>0</v>
      </c>
      <c r="M46" s="576">
        <f>SUM(D46:K46)</f>
        <v>0</v>
      </c>
      <c r="N46" s="353"/>
      <c r="O46"/>
      <c r="P46"/>
      <c r="Q46"/>
      <c r="R46"/>
      <c r="S46"/>
      <c r="T46"/>
    </row>
    <row r="47" spans="1:20">
      <c r="A47" s="35"/>
      <c r="B47" s="781" t="s">
        <v>280</v>
      </c>
      <c r="C47" s="159" t="str">
        <f>'RFPR cover'!$C$14</f>
        <v>£m 12/13</v>
      </c>
      <c r="D47" s="578">
        <f>D42*(1-D44)</f>
        <v>0</v>
      </c>
      <c r="E47" s="579">
        <f t="shared" ref="E47:K47" si="13">E42*(1-E44)</f>
        <v>0</v>
      </c>
      <c r="F47" s="579">
        <f t="shared" si="13"/>
        <v>0</v>
      </c>
      <c r="G47" s="579">
        <f t="shared" si="13"/>
        <v>0</v>
      </c>
      <c r="H47" s="579">
        <f t="shared" si="13"/>
        <v>0</v>
      </c>
      <c r="I47" s="579">
        <f t="shared" si="13"/>
        <v>0</v>
      </c>
      <c r="J47" s="579">
        <f t="shared" si="13"/>
        <v>0</v>
      </c>
      <c r="K47" s="579">
        <f t="shared" si="13"/>
        <v>0</v>
      </c>
      <c r="L47" s="580">
        <f>SUM(D47:INDEX(D47:K47,0,MATCH('RFPR cover'!$C$7,$D$6:$K$6,0)))</f>
        <v>0</v>
      </c>
      <c r="M47" s="581">
        <f>SUM(D47:K47)</f>
        <v>0</v>
      </c>
      <c r="N47" s="353"/>
      <c r="O47"/>
      <c r="P47"/>
      <c r="Q47"/>
      <c r="R47"/>
      <c r="S47"/>
      <c r="T47"/>
    </row>
    <row r="48" spans="1:20">
      <c r="A48" s="35"/>
      <c r="B48" s="774"/>
      <c r="N48" s="351"/>
      <c r="O48"/>
      <c r="P48"/>
      <c r="Q48"/>
      <c r="R48"/>
      <c r="S48"/>
      <c r="T48"/>
    </row>
    <row r="49" spans="1:20">
      <c r="A49" s="35"/>
      <c r="B49" s="782" t="s">
        <v>182</v>
      </c>
      <c r="N49" s="351"/>
      <c r="O49"/>
      <c r="P49"/>
      <c r="Q49"/>
      <c r="R49"/>
      <c r="S49"/>
      <c r="T49"/>
    </row>
    <row r="50" spans="1:20">
      <c r="A50" s="269" t="s">
        <v>151</v>
      </c>
      <c r="B50" s="772" t="s">
        <v>242</v>
      </c>
      <c r="C50" s="155" t="str">
        <f>'RFPR cover'!$C$14</f>
        <v>£m 12/13</v>
      </c>
      <c r="D50" s="582"/>
      <c r="E50" s="583"/>
      <c r="F50" s="583"/>
      <c r="G50" s="583"/>
      <c r="H50" s="583"/>
      <c r="I50" s="583"/>
      <c r="J50" s="583"/>
      <c r="K50" s="583"/>
      <c r="L50" s="657">
        <f>SUM(D50:INDEX(D50:K50,0,MATCH('RFPR cover'!$C$7,$D$6:$K$6,0)))</f>
        <v>0</v>
      </c>
      <c r="M50" s="658">
        <f t="shared" ref="M50:M56" si="14">SUM(D50:K50)</f>
        <v>0</v>
      </c>
      <c r="N50" s="573"/>
      <c r="O50"/>
      <c r="P50"/>
      <c r="Q50"/>
      <c r="R50"/>
      <c r="S50"/>
      <c r="T50"/>
    </row>
    <row r="51" spans="1:20">
      <c r="A51" s="269" t="s">
        <v>152</v>
      </c>
      <c r="B51" s="772" t="s">
        <v>242</v>
      </c>
      <c r="C51" s="155" t="str">
        <f>'RFPR cover'!$C$14</f>
        <v>£m 12/13</v>
      </c>
      <c r="D51" s="586"/>
      <c r="E51" s="587"/>
      <c r="F51" s="587"/>
      <c r="G51" s="587"/>
      <c r="H51" s="587"/>
      <c r="I51" s="587"/>
      <c r="J51" s="587"/>
      <c r="K51" s="587"/>
      <c r="L51" s="659">
        <f>SUM(D51:INDEX(D51:K51,0,MATCH('RFPR cover'!$C$7,$D$6:$K$6,0)))</f>
        <v>0</v>
      </c>
      <c r="M51" s="660">
        <f t="shared" si="14"/>
        <v>0</v>
      </c>
      <c r="N51" s="574"/>
      <c r="O51"/>
      <c r="P51"/>
      <c r="Q51"/>
      <c r="R51"/>
      <c r="S51"/>
      <c r="T51"/>
    </row>
    <row r="52" spans="1:20">
      <c r="A52" s="269" t="s">
        <v>153</v>
      </c>
      <c r="B52" s="772" t="s">
        <v>242</v>
      </c>
      <c r="C52" s="155" t="str">
        <f>'RFPR cover'!$C$14</f>
        <v>£m 12/13</v>
      </c>
      <c r="D52" s="586"/>
      <c r="E52" s="587"/>
      <c r="F52" s="587"/>
      <c r="G52" s="587"/>
      <c r="H52" s="587"/>
      <c r="I52" s="587"/>
      <c r="J52" s="587"/>
      <c r="K52" s="587"/>
      <c r="L52" s="659">
        <f>SUM(D52:INDEX(D52:K52,0,MATCH('RFPR cover'!$C$7,$D$6:$K$6,0)))</f>
        <v>0</v>
      </c>
      <c r="M52" s="660">
        <f t="shared" si="14"/>
        <v>0</v>
      </c>
      <c r="N52" s="574"/>
      <c r="O52"/>
      <c r="P52"/>
      <c r="Q52"/>
      <c r="R52"/>
      <c r="S52" s="64"/>
      <c r="T52"/>
    </row>
    <row r="53" spans="1:20">
      <c r="A53" s="269" t="s">
        <v>168</v>
      </c>
      <c r="B53" s="772" t="s">
        <v>242</v>
      </c>
      <c r="C53" s="155" t="str">
        <f>'RFPR cover'!$C$14</f>
        <v>£m 12/13</v>
      </c>
      <c r="D53" s="586"/>
      <c r="E53" s="587"/>
      <c r="F53" s="587"/>
      <c r="G53" s="587"/>
      <c r="H53" s="587"/>
      <c r="I53" s="587"/>
      <c r="J53" s="587"/>
      <c r="K53" s="587"/>
      <c r="L53" s="659">
        <f>SUM(D53:INDEX(D53:K53,0,MATCH('RFPR cover'!$C$7,$D$6:$K$6,0)))</f>
        <v>0</v>
      </c>
      <c r="M53" s="660">
        <f t="shared" si="14"/>
        <v>0</v>
      </c>
      <c r="N53" s="574"/>
      <c r="O53"/>
      <c r="P53"/>
      <c r="Q53"/>
      <c r="R53"/>
      <c r="S53"/>
      <c r="T53"/>
    </row>
    <row r="54" spans="1:20">
      <c r="A54" s="269" t="s">
        <v>169</v>
      </c>
      <c r="B54" s="772" t="s">
        <v>242</v>
      </c>
      <c r="C54" s="155" t="str">
        <f>'RFPR cover'!$C$14</f>
        <v>£m 12/13</v>
      </c>
      <c r="D54" s="586"/>
      <c r="E54" s="587"/>
      <c r="F54" s="587"/>
      <c r="G54" s="587"/>
      <c r="H54" s="587"/>
      <c r="I54" s="587"/>
      <c r="J54" s="587"/>
      <c r="K54" s="587"/>
      <c r="L54" s="659">
        <f>SUM(D54:INDEX(D54:K54,0,MATCH('RFPR cover'!$C$7,$D$6:$K$6,0)))</f>
        <v>0</v>
      </c>
      <c r="M54" s="660">
        <f t="shared" si="14"/>
        <v>0</v>
      </c>
      <c r="N54" s="574"/>
      <c r="O54"/>
      <c r="P54"/>
      <c r="Q54"/>
      <c r="R54"/>
      <c r="S54"/>
      <c r="T54"/>
    </row>
    <row r="55" spans="1:20">
      <c r="A55" s="269" t="s">
        <v>170</v>
      </c>
      <c r="B55" s="772" t="s">
        <v>242</v>
      </c>
      <c r="C55" s="155" t="str">
        <f>'RFPR cover'!$C$14</f>
        <v>£m 12/13</v>
      </c>
      <c r="D55" s="590"/>
      <c r="E55" s="591"/>
      <c r="F55" s="591"/>
      <c r="G55" s="591"/>
      <c r="H55" s="591"/>
      <c r="I55" s="591"/>
      <c r="J55" s="591"/>
      <c r="K55" s="591"/>
      <c r="L55" s="661">
        <f>SUM(D55:INDEX(D55:K55,0,MATCH('RFPR cover'!$C$7,$D$6:$K$6,0)))</f>
        <v>0</v>
      </c>
      <c r="M55" s="662">
        <f t="shared" si="14"/>
        <v>0</v>
      </c>
      <c r="N55" s="575"/>
      <c r="O55"/>
      <c r="P55"/>
      <c r="Q55"/>
      <c r="R55"/>
      <c r="S55"/>
      <c r="T55"/>
    </row>
    <row r="56" spans="1:20">
      <c r="A56" s="35"/>
      <c r="B56" s="782" t="s">
        <v>190</v>
      </c>
      <c r="C56" s="155" t="str">
        <f>'RFPR cover'!$C$14</f>
        <v>£m 12/13</v>
      </c>
      <c r="D56" s="102">
        <f>SUM(D50:D55)</f>
        <v>0</v>
      </c>
      <c r="E56" s="103">
        <f t="shared" ref="E56:K56" si="15">SUM(E50:E55)</f>
        <v>0</v>
      </c>
      <c r="F56" s="103">
        <f t="shared" si="15"/>
        <v>0</v>
      </c>
      <c r="G56" s="103">
        <f t="shared" si="15"/>
        <v>0</v>
      </c>
      <c r="H56" s="103">
        <f t="shared" si="15"/>
        <v>0</v>
      </c>
      <c r="I56" s="103">
        <f t="shared" si="15"/>
        <v>0</v>
      </c>
      <c r="J56" s="103">
        <f t="shared" si="15"/>
        <v>0</v>
      </c>
      <c r="K56" s="103">
        <f t="shared" si="15"/>
        <v>0</v>
      </c>
      <c r="L56" s="355">
        <f>SUM(D56:INDEX(D56:K56,0,MATCH('RFPR cover'!$C$7,$D$6:$K$6,0)))</f>
        <v>0</v>
      </c>
      <c r="M56" s="356">
        <f t="shared" si="14"/>
        <v>0</v>
      </c>
      <c r="N56" s="353"/>
    </row>
    <row r="57" spans="1:20">
      <c r="A57" s="35"/>
      <c r="B57" s="774"/>
      <c r="N57" s="351"/>
    </row>
    <row r="58" spans="1:20">
      <c r="A58" s="35"/>
      <c r="B58" s="781" t="s">
        <v>198</v>
      </c>
      <c r="C58" s="159" t="str">
        <f>'RFPR cover'!$C$14</f>
        <v>£m 12/13</v>
      </c>
      <c r="D58" s="95">
        <f t="shared" ref="D58:K58" si="16">D56*D44</f>
        <v>0</v>
      </c>
      <c r="E58" s="96">
        <f t="shared" si="16"/>
        <v>0</v>
      </c>
      <c r="F58" s="96">
        <f t="shared" si="16"/>
        <v>0</v>
      </c>
      <c r="G58" s="96">
        <f t="shared" si="16"/>
        <v>0</v>
      </c>
      <c r="H58" s="96">
        <f t="shared" si="16"/>
        <v>0</v>
      </c>
      <c r="I58" s="96">
        <f t="shared" si="16"/>
        <v>0</v>
      </c>
      <c r="J58" s="96">
        <f t="shared" si="16"/>
        <v>0</v>
      </c>
      <c r="K58" s="96">
        <f t="shared" si="16"/>
        <v>0</v>
      </c>
      <c r="L58" s="357">
        <f>SUM(D58:INDEX(D58:K58,0,MATCH('RFPR cover'!$C$7,$D$6:$K$6,0)))</f>
        <v>0</v>
      </c>
      <c r="M58" s="576">
        <f>SUM(D58:K58)</f>
        <v>0</v>
      </c>
      <c r="N58" s="353"/>
    </row>
    <row r="59" spans="1:20">
      <c r="A59" s="35"/>
      <c r="B59" s="781" t="s">
        <v>309</v>
      </c>
      <c r="C59" s="159" t="str">
        <f>'RFPR cover'!$C$14</f>
        <v>£m 12/13</v>
      </c>
      <c r="D59" s="92">
        <f t="shared" ref="D59:K59" si="17">D56*(1-D44)</f>
        <v>0</v>
      </c>
      <c r="E59" s="93">
        <f t="shared" si="17"/>
        <v>0</v>
      </c>
      <c r="F59" s="93">
        <f t="shared" si="17"/>
        <v>0</v>
      </c>
      <c r="G59" s="93">
        <f t="shared" si="17"/>
        <v>0</v>
      </c>
      <c r="H59" s="93">
        <f t="shared" si="17"/>
        <v>0</v>
      </c>
      <c r="I59" s="93">
        <f t="shared" si="17"/>
        <v>0</v>
      </c>
      <c r="J59" s="93">
        <f t="shared" si="17"/>
        <v>0</v>
      </c>
      <c r="K59" s="93">
        <f t="shared" si="17"/>
        <v>0</v>
      </c>
      <c r="L59" s="358">
        <f>SUM(D59:INDEX(D59:K59,0,MATCH('RFPR cover'!$C$7,$D$6:$K$6,0)))</f>
        <v>0</v>
      </c>
      <c r="M59" s="577">
        <f>SUM(D59:K59)</f>
        <v>0</v>
      </c>
      <c r="N59" s="353"/>
    </row>
    <row r="60" spans="1:20">
      <c r="A60" s="35"/>
      <c r="B60" s="774"/>
      <c r="N60" s="351"/>
    </row>
    <row r="61" spans="1:20">
      <c r="A61" s="35"/>
      <c r="B61" s="782" t="s">
        <v>181</v>
      </c>
      <c r="N61" s="351"/>
    </row>
    <row r="62" spans="1:20">
      <c r="A62" s="35"/>
      <c r="B62" s="774" t="s">
        <v>180</v>
      </c>
      <c r="C62" s="155" t="str">
        <f>'RFPR cover'!$C$14</f>
        <v>£m 12/13</v>
      </c>
      <c r="D62" s="95">
        <f>D46+D58</f>
        <v>0</v>
      </c>
      <c r="E62" s="96">
        <f t="shared" ref="E62:K62" si="18">E46+E58</f>
        <v>0</v>
      </c>
      <c r="F62" s="96">
        <f t="shared" si="18"/>
        <v>0</v>
      </c>
      <c r="G62" s="96">
        <f t="shared" si="18"/>
        <v>0</v>
      </c>
      <c r="H62" s="96">
        <f t="shared" si="18"/>
        <v>0</v>
      </c>
      <c r="I62" s="96">
        <f t="shared" si="18"/>
        <v>0</v>
      </c>
      <c r="J62" s="96">
        <f t="shared" si="18"/>
        <v>0</v>
      </c>
      <c r="K62" s="96">
        <f t="shared" si="18"/>
        <v>0</v>
      </c>
      <c r="L62" s="357">
        <f>SUM(D62:INDEX(D62:K62,0,MATCH('RFPR cover'!$C$7,$D$6:$K$6,0)))</f>
        <v>0</v>
      </c>
      <c r="M62" s="576">
        <f>SUM(D62:K62)</f>
        <v>0</v>
      </c>
      <c r="N62" s="353"/>
    </row>
    <row r="63" spans="1:20">
      <c r="A63" s="35"/>
      <c r="B63" s="774" t="s">
        <v>280</v>
      </c>
      <c r="C63" s="155" t="str">
        <f>'RFPR cover'!$C$14</f>
        <v>£m 12/13</v>
      </c>
      <c r="D63" s="98">
        <f>D47+D59</f>
        <v>0</v>
      </c>
      <c r="E63" s="99">
        <f t="shared" ref="E63:K63" si="19">E47+E59</f>
        <v>0</v>
      </c>
      <c r="F63" s="99">
        <f t="shared" si="19"/>
        <v>0</v>
      </c>
      <c r="G63" s="99">
        <f t="shared" si="19"/>
        <v>0</v>
      </c>
      <c r="H63" s="99">
        <f t="shared" si="19"/>
        <v>0</v>
      </c>
      <c r="I63" s="99">
        <f t="shared" si="19"/>
        <v>0</v>
      </c>
      <c r="J63" s="99">
        <f t="shared" si="19"/>
        <v>0</v>
      </c>
      <c r="K63" s="99">
        <f t="shared" si="19"/>
        <v>0</v>
      </c>
      <c r="L63" s="359">
        <f>SUM(D63:INDEX(D63:K63,0,MATCH('RFPR cover'!$C$7,$D$6:$K$6,0)))</f>
        <v>0</v>
      </c>
      <c r="M63" s="577">
        <f>SUM(D63:K63)</f>
        <v>0</v>
      </c>
      <c r="N63" s="353"/>
    </row>
    <row r="64" spans="1:20">
      <c r="A64" s="35"/>
      <c r="B64" s="782" t="s">
        <v>11</v>
      </c>
      <c r="C64" s="156" t="str">
        <f>'RFPR cover'!$C$14</f>
        <v>£m 12/13</v>
      </c>
      <c r="D64" s="139">
        <f>SUM(D62:D63)</f>
        <v>0</v>
      </c>
      <c r="E64" s="140">
        <f t="shared" ref="E64:K64" si="20">SUM(E62:E63)</f>
        <v>0</v>
      </c>
      <c r="F64" s="140">
        <f t="shared" si="20"/>
        <v>0</v>
      </c>
      <c r="G64" s="140">
        <f t="shared" si="20"/>
        <v>0</v>
      </c>
      <c r="H64" s="140">
        <f t="shared" si="20"/>
        <v>0</v>
      </c>
      <c r="I64" s="140">
        <f t="shared" si="20"/>
        <v>0</v>
      </c>
      <c r="J64" s="140">
        <f t="shared" si="20"/>
        <v>0</v>
      </c>
      <c r="K64" s="140">
        <f t="shared" si="20"/>
        <v>0</v>
      </c>
      <c r="L64" s="360">
        <f>SUM(D64:INDEX(D64:K64,0,MATCH('RFPR cover'!$C$7,$D$6:$K$6,0)))</f>
        <v>0</v>
      </c>
      <c r="M64" s="361">
        <f>SUM(D64:K64)</f>
        <v>0</v>
      </c>
      <c r="N64" s="354"/>
    </row>
    <row r="65" spans="1:20">
      <c r="A65" s="35"/>
      <c r="B65" s="782"/>
      <c r="C65" s="156"/>
      <c r="D65" s="156"/>
      <c r="E65" s="156"/>
      <c r="F65" s="156"/>
      <c r="G65" s="156"/>
      <c r="H65" s="156"/>
      <c r="I65" s="156"/>
      <c r="J65" s="156"/>
      <c r="K65" s="156"/>
      <c r="L65" s="156"/>
      <c r="M65" s="156"/>
    </row>
    <row r="66" spans="1:20">
      <c r="A66" s="35"/>
      <c r="B66" s="777" t="s">
        <v>257</v>
      </c>
      <c r="C66" s="150"/>
      <c r="D66" s="81"/>
      <c r="E66" s="81"/>
      <c r="F66" s="81"/>
      <c r="G66" s="81"/>
      <c r="H66" s="81"/>
      <c r="I66" s="81"/>
      <c r="J66" s="81"/>
      <c r="K66" s="81"/>
      <c r="L66" s="81"/>
      <c r="M66" s="81"/>
      <c r="N66" s="81"/>
    </row>
    <row r="67" spans="1:20">
      <c r="A67" s="35"/>
      <c r="B67" s="774"/>
      <c r="O67"/>
      <c r="P67"/>
      <c r="Q67"/>
      <c r="R67"/>
      <c r="S67"/>
      <c r="T67"/>
    </row>
    <row r="68" spans="1:20">
      <c r="A68" s="35"/>
      <c r="B68" s="782" t="s">
        <v>181</v>
      </c>
    </row>
    <row r="69" spans="1:20">
      <c r="A69" s="35"/>
      <c r="B69" s="774" t="s">
        <v>180</v>
      </c>
      <c r="C69" s="155" t="str">
        <f>'RFPR cover'!$C$14</f>
        <v>£m 12/13</v>
      </c>
      <c r="D69" s="95">
        <f>D34+D62</f>
        <v>1.2672830650894982</v>
      </c>
      <c r="E69" s="96">
        <f t="shared" ref="E69:K69" si="21">E34+E62</f>
        <v>-3.3066586411245771</v>
      </c>
      <c r="F69" s="96">
        <f t="shared" si="21"/>
        <v>-5.7119497120900489</v>
      </c>
      <c r="G69" s="96">
        <f t="shared" si="21"/>
        <v>7.5826184675557311</v>
      </c>
      <c r="H69" s="96">
        <f t="shared" si="21"/>
        <v>2.7266540234286265</v>
      </c>
      <c r="I69" s="96">
        <f t="shared" si="21"/>
        <v>4.8962522691924963</v>
      </c>
      <c r="J69" s="96">
        <f t="shared" si="21"/>
        <v>-1.5941493167477234</v>
      </c>
      <c r="K69" s="96">
        <f t="shared" si="21"/>
        <v>-1.6472037289830486</v>
      </c>
      <c r="L69" s="95">
        <f>SUM(D69:INDEX(D69:K69,0,MATCH('RFPR cover'!$C$7,$D$6:$K$6,0)))</f>
        <v>7.4541994720517266</v>
      </c>
      <c r="M69" s="97">
        <f>SUM(D69:K69)</f>
        <v>4.2128464263209553</v>
      </c>
    </row>
    <row r="70" spans="1:20">
      <c r="A70" s="35"/>
      <c r="B70" s="774" t="s">
        <v>280</v>
      </c>
      <c r="C70" s="155" t="str">
        <f>'RFPR cover'!$C$14</f>
        <v>£m 12/13</v>
      </c>
      <c r="D70" s="521">
        <f t="shared" ref="D70:K70" si="22">D35+D63</f>
        <v>2.9569938185421618</v>
      </c>
      <c r="E70" s="522">
        <f t="shared" si="22"/>
        <v>-7.7155368292906772</v>
      </c>
      <c r="F70" s="522">
        <f t="shared" si="22"/>
        <v>-13.327882661543445</v>
      </c>
      <c r="G70" s="522">
        <f t="shared" si="22"/>
        <v>17.692776424296703</v>
      </c>
      <c r="H70" s="522">
        <f t="shared" si="22"/>
        <v>6.3621927213334608</v>
      </c>
      <c r="I70" s="522">
        <f t="shared" si="22"/>
        <v>11.424588628115821</v>
      </c>
      <c r="J70" s="522">
        <f t="shared" si="22"/>
        <v>-3.7196817390780206</v>
      </c>
      <c r="K70" s="522">
        <f t="shared" si="22"/>
        <v>-3.8434753676271121</v>
      </c>
      <c r="L70" s="521">
        <f>SUM(D70:INDEX(D70:K70,0,MATCH('RFPR cover'!$C$7,$D$6:$K$6,0)))</f>
        <v>17.393132101454025</v>
      </c>
      <c r="M70" s="523">
        <f>SUM(D70:K70)</f>
        <v>9.829974994748893</v>
      </c>
    </row>
    <row r="71" spans="1:20">
      <c r="A71" s="35"/>
      <c r="B71" s="782" t="s">
        <v>11</v>
      </c>
      <c r="C71" s="156" t="str">
        <f>'RFPR cover'!$C$14</f>
        <v>£m 12/13</v>
      </c>
      <c r="D71" s="145">
        <f>SUM(D69:D70)</f>
        <v>4.22427688363166</v>
      </c>
      <c r="E71" s="146">
        <f t="shared" ref="E71:K71" si="23">SUM(E69:E70)</f>
        <v>-11.022195470415255</v>
      </c>
      <c r="F71" s="146">
        <f t="shared" si="23"/>
        <v>-19.039832373633494</v>
      </c>
      <c r="G71" s="146">
        <f t="shared" si="23"/>
        <v>25.275394891852436</v>
      </c>
      <c r="H71" s="146">
        <f t="shared" si="23"/>
        <v>9.0888467447620869</v>
      </c>
      <c r="I71" s="146">
        <f t="shared" si="23"/>
        <v>16.320840897308315</v>
      </c>
      <c r="J71" s="146">
        <f t="shared" si="23"/>
        <v>-5.3138310558257444</v>
      </c>
      <c r="K71" s="146">
        <f t="shared" si="23"/>
        <v>-5.4906790966101608</v>
      </c>
      <c r="L71" s="145">
        <f>SUM(D71:INDEX(D71:K71,0,MATCH('RFPR cover'!$C$7,$D$6:$K$6,0)))</f>
        <v>24.847331573505748</v>
      </c>
      <c r="M71" s="147">
        <f>SUM(D71:K71)</f>
        <v>14.042821421069842</v>
      </c>
    </row>
    <row r="72" spans="1:20">
      <c r="A72" s="35"/>
      <c r="B72" s="782"/>
      <c r="C72" s="156"/>
      <c r="D72" s="156"/>
      <c r="E72" s="156"/>
      <c r="F72" s="156"/>
      <c r="G72" s="156"/>
      <c r="H72" s="156"/>
      <c r="I72" s="156"/>
      <c r="J72" s="156"/>
      <c r="K72" s="156"/>
      <c r="L72" s="156"/>
      <c r="M72" s="156"/>
    </row>
    <row r="73" spans="1:20">
      <c r="A73" s="35"/>
      <c r="B73" s="774"/>
    </row>
    <row r="74" spans="1:20">
      <c r="A74" s="35"/>
      <c r="B74" s="777" t="s">
        <v>214</v>
      </c>
      <c r="C74" s="150"/>
      <c r="D74" s="80"/>
      <c r="E74" s="80"/>
      <c r="F74" s="80"/>
      <c r="G74" s="80"/>
      <c r="H74" s="80"/>
      <c r="I74" s="80"/>
      <c r="J74" s="80"/>
      <c r="K74" s="80"/>
      <c r="L74" s="80"/>
      <c r="M74" s="80"/>
      <c r="N74" s="80"/>
    </row>
    <row r="75" spans="1:20">
      <c r="A75" s="35"/>
      <c r="B75" s="368" t="s">
        <v>213</v>
      </c>
      <c r="C75" s="367"/>
      <c r="D75" s="367"/>
      <c r="E75" s="367"/>
      <c r="F75" s="367"/>
      <c r="G75" s="367"/>
      <c r="H75" s="367"/>
      <c r="I75" s="367"/>
      <c r="J75" s="367"/>
      <c r="K75" s="367"/>
      <c r="L75" s="367"/>
      <c r="M75" s="367"/>
      <c r="N75" s="367"/>
    </row>
    <row r="76" spans="1:20" s="35" customFormat="1">
      <c r="B76" s="428"/>
      <c r="C76" s="372"/>
      <c r="D76" s="372"/>
      <c r="E76" s="372"/>
      <c r="F76" s="372"/>
      <c r="G76" s="372"/>
      <c r="H76" s="372"/>
      <c r="I76" s="372"/>
      <c r="J76" s="372"/>
      <c r="K76" s="372"/>
      <c r="L76" s="372"/>
      <c r="M76" s="372"/>
      <c r="N76" s="372"/>
    </row>
    <row r="77" spans="1:20">
      <c r="A77" s="35"/>
      <c r="B77" s="781" t="s">
        <v>217</v>
      </c>
      <c r="C77" s="155" t="str">
        <f>'RFPR cover'!$C$14</f>
        <v>£m 12/13</v>
      </c>
      <c r="D77" s="663">
        <f>INDEX(Data!$C$119:$L$146,MATCH('RFPR cover'!$C$5,Data!$B$119:$B$146,0),MATCH('R4 - Totex'!D$6,Data!$C$118:$L$118,0))</f>
        <v>5.3762701961708466</v>
      </c>
      <c r="E77" s="664">
        <f>INDEX(Data!$C$119:$L$146,MATCH('RFPR cover'!$C$5,Data!$B$119:$B$146,0),MATCH('R4 - Totex'!E$6,Data!$C$118:$L$118,0))</f>
        <v>5.3775969760840585</v>
      </c>
      <c r="F77" s="664">
        <f>INDEX(Data!$C$119:$L$146,MATCH('RFPR cover'!$C$5,Data!$B$119:$B$146,0),MATCH('R4 - Totex'!F$6,Data!$C$118:$L$118,0))</f>
        <v>5.2618102801807671</v>
      </c>
      <c r="G77" s="664">
        <f>INDEX(Data!$C$119:$L$146,MATCH('RFPR cover'!$C$5,Data!$B$119:$B$146,0),MATCH('R4 - Totex'!G$6,Data!$C$118:$L$118,0))</f>
        <v>5.360849180672294</v>
      </c>
      <c r="H77" s="664">
        <f>INDEX(Data!$C$119:$L$146,MATCH('RFPR cover'!$C$5,Data!$B$119:$B$146,0),MATCH('R4 - Totex'!H$6,Data!$C$118:$L$118,0))</f>
        <v>5.2665238228731912</v>
      </c>
      <c r="I77" s="664">
        <f>INDEX(Data!$C$119:$L$146,MATCH('RFPR cover'!$C$5,Data!$B$119:$B$146,0),MATCH('R4 - Totex'!I$6,Data!$C$118:$L$118,0))</f>
        <v>5.3271179030285305</v>
      </c>
      <c r="J77" s="664">
        <f>INDEX(Data!$C$119:$L$146,MATCH('RFPR cover'!$C$5,Data!$B$119:$B$146,0),MATCH('R4 - Totex'!J$6,Data!$C$118:$L$118,0))</f>
        <v>5.3223294006601192</v>
      </c>
      <c r="K77" s="665">
        <f>INDEX(Data!$C$119:$L$146,MATCH('RFPR cover'!$C$5,Data!$B$119:$B$146,0),MATCH('R4 - Totex'!K$6,Data!$C$118:$L$118,0))</f>
        <v>5.5699880746272257</v>
      </c>
      <c r="L77" s="98">
        <f>SUM(D77:INDEX(D77:K77,0,MATCH('RFPR cover'!$C$7,$D$6:$K$6,0)))</f>
        <v>31.970168359009683</v>
      </c>
      <c r="M77" s="100">
        <f>SUM(D77:K77)</f>
        <v>42.862485834297026</v>
      </c>
    </row>
    <row r="78" spans="1:20">
      <c r="A78" s="35"/>
      <c r="B78" s="225" t="s">
        <v>201</v>
      </c>
      <c r="C78" s="155" t="s">
        <v>7</v>
      </c>
      <c r="D78" s="886">
        <f>IF(INDEX(Data!$J$73:$J$100,MATCH('RFPR cover'!$C$5,Data!$B$73:$B$100,0),0)="Pre",INDEX(Data!$G$18:$G$27,MATCH('R4 - Totex'!D$6,Data!$C$18:$C$27,0),0),"n/a")</f>
        <v>0.2</v>
      </c>
      <c r="E78" s="886">
        <f>IF(INDEX(Data!$J$73:$J$100,MATCH('RFPR cover'!$C$5,Data!$B$73:$B$100,0),0)="Pre",INDEX(Data!$G$18:$G$27,MATCH('R4 - Totex'!E$6,Data!$C$18:$C$27,0),0),"n/a")</f>
        <v>0.2</v>
      </c>
      <c r="F78" s="886">
        <f>IF(INDEX(Data!$J$73:$J$100,MATCH('RFPR cover'!$C$5,Data!$B$73:$B$100,0),0)="Pre",INDEX(Data!$G$18:$G$27,MATCH('R4 - Totex'!F$6,Data!$C$18:$C$27,0),0),"n/a")</f>
        <v>0.19</v>
      </c>
      <c r="G78" s="886">
        <f>IF(INDEX(Data!$J$73:$J$100,MATCH('RFPR cover'!$C$5,Data!$B$73:$B$100,0),0)="Pre",INDEX(Data!$G$18:$G$27,MATCH('R4 - Totex'!G$6,Data!$C$18:$C$27,0),0),"n/a")</f>
        <v>0.19</v>
      </c>
      <c r="H78" s="886">
        <f>IF(INDEX(Data!$J$73:$J$100,MATCH('RFPR cover'!$C$5,Data!$B$73:$B$100,0),0)="Pre",INDEX(Data!$G$18:$G$27,MATCH('R4 - Totex'!H$6,Data!$C$18:$C$27,0),0),"n/a")</f>
        <v>0.19</v>
      </c>
      <c r="I78" s="886">
        <f>IF(INDEX(Data!$J$73:$J$100,MATCH('RFPR cover'!$C$5,Data!$B$73:$B$100,0),0)="Pre",INDEX(Data!$G$18:$G$27,MATCH('R4 - Totex'!I$6,Data!$C$18:$C$27,0),0),"n/a")</f>
        <v>0.19</v>
      </c>
      <c r="J78" s="886">
        <f>IF(INDEX(Data!$J$73:$J$100,MATCH('RFPR cover'!$C$5,Data!$B$73:$B$100,0),0)="Pre",INDEX(Data!$G$18:$G$27,MATCH('R4 - Totex'!J$6,Data!$C$18:$C$27,0),0),"n/a")</f>
        <v>0.19</v>
      </c>
      <c r="K78" s="886">
        <f>IF(INDEX(Data!$J$73:$J$100,MATCH('RFPR cover'!$C$5,Data!$B$73:$B$100,0),0)="Pre",INDEX(Data!$G$18:$G$27,MATCH('R4 - Totex'!K$6,Data!$C$18:$C$27,0),0),"n/a")</f>
        <v>0.19</v>
      </c>
      <c r="L78" s="884"/>
      <c r="M78" s="885"/>
    </row>
    <row r="79" spans="1:20">
      <c r="A79" s="35"/>
      <c r="B79" s="225" t="s">
        <v>210</v>
      </c>
      <c r="C79" s="155" t="str">
        <f>'RFPR cover'!$C$14</f>
        <v>£m 12/13</v>
      </c>
      <c r="D79" s="610">
        <f>IF(ISNUMBER(D78),D77*(1-D78),D77)</f>
        <v>4.3010161569366776</v>
      </c>
      <c r="E79" s="611">
        <f t="shared" ref="E79:K79" si="24">IF(ISNUMBER(E78),E77*(1-E78),E77)</f>
        <v>4.3020775808672473</v>
      </c>
      <c r="F79" s="611">
        <f t="shared" si="24"/>
        <v>4.2620663269464218</v>
      </c>
      <c r="G79" s="611">
        <f t="shared" si="24"/>
        <v>4.3422878363445587</v>
      </c>
      <c r="H79" s="611">
        <f t="shared" si="24"/>
        <v>4.2658842965272852</v>
      </c>
      <c r="I79" s="611">
        <f t="shared" si="24"/>
        <v>4.3149655014531101</v>
      </c>
      <c r="J79" s="611">
        <f t="shared" si="24"/>
        <v>4.311086814534697</v>
      </c>
      <c r="K79" s="612">
        <f t="shared" si="24"/>
        <v>4.5116903404480535</v>
      </c>
      <c r="L79" s="669">
        <f>SUM(D79:INDEX(D79:K79,0,MATCH('RFPR cover'!$C$7,$D$6:$K$6,0)))</f>
        <v>25.788297699075297</v>
      </c>
      <c r="M79" s="670">
        <f>SUM(D79:K79)</f>
        <v>34.611074854058046</v>
      </c>
    </row>
    <row r="80" spans="1:20">
      <c r="A80" s="35"/>
      <c r="B80" s="225"/>
      <c r="C80" s="65"/>
      <c r="D80" s="282"/>
      <c r="E80" s="282"/>
      <c r="F80" s="282"/>
      <c r="G80" s="282"/>
      <c r="H80" s="282"/>
      <c r="I80" s="282"/>
      <c r="J80" s="282"/>
      <c r="K80" s="282"/>
      <c r="L80" s="283"/>
      <c r="M80" s="283"/>
    </row>
    <row r="81" spans="1:20">
      <c r="A81" s="35"/>
      <c r="B81" s="225"/>
      <c r="C81" s="65"/>
      <c r="D81" s="282"/>
      <c r="E81" s="282"/>
      <c r="F81" s="282"/>
      <c r="G81" s="282"/>
      <c r="H81" s="282"/>
      <c r="I81" s="282"/>
      <c r="J81" s="282"/>
      <c r="K81" s="282"/>
      <c r="L81" s="283"/>
      <c r="M81" s="283"/>
    </row>
    <row r="82" spans="1:20">
      <c r="A82" s="35"/>
      <c r="B82" s="225"/>
      <c r="C82" s="65"/>
      <c r="D82" s="282"/>
      <c r="E82" s="282"/>
      <c r="F82" s="282"/>
      <c r="G82" s="282"/>
      <c r="H82" s="282"/>
      <c r="I82" s="282"/>
      <c r="J82" s="282"/>
      <c r="K82" s="282"/>
      <c r="L82" s="283"/>
      <c r="M82" s="283"/>
    </row>
    <row r="83" spans="1:20">
      <c r="A83" s="35"/>
      <c r="B83" s="774"/>
    </row>
    <row r="84" spans="1:20">
      <c r="A84" s="35"/>
      <c r="B84" s="776" t="s">
        <v>187</v>
      </c>
      <c r="C84" s="291"/>
      <c r="D84" s="293"/>
      <c r="E84" s="293"/>
      <c r="F84" s="293"/>
      <c r="G84" s="293"/>
      <c r="H84" s="293"/>
      <c r="I84" s="293"/>
      <c r="J84" s="293"/>
      <c r="K84" s="293"/>
      <c r="L84" s="293"/>
      <c r="M84" s="293"/>
      <c r="N84" s="293"/>
    </row>
    <row r="85" spans="1:20">
      <c r="A85" s="35"/>
      <c r="B85" s="782"/>
    </row>
    <row r="86" spans="1:20">
      <c r="A86" s="35"/>
      <c r="B86" s="781" t="str">
        <f>Data!B34</f>
        <v>Financial Year Average RPI (RPIt)</v>
      </c>
      <c r="C86" s="136" t="s">
        <v>127</v>
      </c>
      <c r="D86" s="112">
        <f>Data!C$34</f>
        <v>1.0603167467048125</v>
      </c>
      <c r="E86" s="113">
        <f>Data!D$34</f>
        <v>1.0830366813119445</v>
      </c>
      <c r="F86" s="113">
        <f>Data!E$34</f>
        <v>1.1235639113109226</v>
      </c>
      <c r="G86" s="113">
        <f>Data!F$34</f>
        <v>1.1578951670583426</v>
      </c>
      <c r="H86" s="113">
        <f>Data!G$34</f>
        <v>1.1878696229692449</v>
      </c>
      <c r="I86" s="113">
        <f>Data!H$34</f>
        <v>1.2022764892203943</v>
      </c>
      <c r="J86" s="113">
        <f>Data!I$34</f>
        <v>1.2341368161847346</v>
      </c>
      <c r="K86" s="114">
        <f>Data!J$34</f>
        <v>1.2720865232824152</v>
      </c>
    </row>
    <row r="87" spans="1:20">
      <c r="A87" s="35"/>
      <c r="B87" s="781"/>
      <c r="D87" s="136"/>
      <c r="E87" s="136"/>
      <c r="F87" s="136"/>
      <c r="G87" s="136"/>
      <c r="H87" s="136"/>
      <c r="I87" s="136"/>
      <c r="J87" s="136"/>
      <c r="K87" s="136"/>
    </row>
    <row r="88" spans="1:20">
      <c r="A88" s="35"/>
      <c r="B88" s="777" t="str">
        <f>B10</f>
        <v>Totex</v>
      </c>
      <c r="C88" s="150"/>
      <c r="D88" s="81"/>
      <c r="E88" s="81"/>
      <c r="F88" s="81"/>
      <c r="G88" s="81"/>
      <c r="H88" s="81"/>
      <c r="I88" s="81"/>
      <c r="J88" s="81"/>
      <c r="K88" s="81"/>
      <c r="L88" s="81"/>
      <c r="M88" s="81"/>
      <c r="N88" s="81"/>
    </row>
    <row r="89" spans="1:20" s="35" customFormat="1">
      <c r="B89" s="778"/>
      <c r="C89" s="138"/>
      <c r="D89" s="320"/>
      <c r="E89" s="320"/>
      <c r="F89" s="320"/>
      <c r="G89" s="320"/>
      <c r="H89" s="320"/>
      <c r="I89" s="320"/>
      <c r="J89" s="320"/>
      <c r="K89" s="320"/>
      <c r="L89" s="320"/>
      <c r="M89" s="320"/>
      <c r="N89" s="320"/>
    </row>
    <row r="90" spans="1:20">
      <c r="A90" s="35"/>
      <c r="B90" s="305" t="s">
        <v>34</v>
      </c>
      <c r="C90" s="155" t="s">
        <v>128</v>
      </c>
      <c r="D90" s="672">
        <f t="shared" ref="D90:K91" si="25">D12*D$86</f>
        <v>223.13980000000001</v>
      </c>
      <c r="E90" s="672">
        <f t="shared" si="25"/>
        <v>261.05695517544336</v>
      </c>
      <c r="F90" s="672">
        <f t="shared" si="25"/>
        <v>233.59972181202676</v>
      </c>
      <c r="G90" s="672">
        <f t="shared" si="25"/>
        <v>222.07291185999995</v>
      </c>
      <c r="H90" s="672">
        <f t="shared" si="25"/>
        <v>242.66102057520052</v>
      </c>
      <c r="I90" s="672">
        <f t="shared" si="25"/>
        <v>236.18413688486805</v>
      </c>
      <c r="J90" s="672">
        <f t="shared" si="25"/>
        <v>271.10622163202277</v>
      </c>
      <c r="K90" s="672">
        <f t="shared" si="25"/>
        <v>285.42716562426199</v>
      </c>
      <c r="L90" s="671">
        <f>SUM(D90:INDEX(D90:K90,0,MATCH('RFPR cover'!$C$7,$D$6:$K$6,0)))</f>
        <v>1418.714546307539</v>
      </c>
      <c r="M90" s="672">
        <f>SUM(D90:K90)</f>
        <v>1975.2479335638238</v>
      </c>
      <c r="N90" s="62"/>
      <c r="O90" s="62"/>
    </row>
    <row r="91" spans="1:20" ht="25.2">
      <c r="A91" s="35"/>
      <c r="B91" s="779" t="s">
        <v>197</v>
      </c>
      <c r="C91" s="155" t="s">
        <v>128</v>
      </c>
      <c r="D91" s="672">
        <f t="shared" si="25"/>
        <v>227.6188715224327</v>
      </c>
      <c r="E91" s="672">
        <f t="shared" si="25"/>
        <v>233.1812827911611</v>
      </c>
      <c r="F91" s="672">
        <f t="shared" si="25"/>
        <v>237.43560388330437</v>
      </c>
      <c r="G91" s="672">
        <f t="shared" si="25"/>
        <v>248.13931033386476</v>
      </c>
      <c r="H91" s="672">
        <f t="shared" si="25"/>
        <v>249.61860171878482</v>
      </c>
      <c r="I91" s="672">
        <f t="shared" si="25"/>
        <v>252.48373281785118</v>
      </c>
      <c r="J91" s="672">
        <f t="shared" si="25"/>
        <v>258.93816505483437</v>
      </c>
      <c r="K91" s="672">
        <f t="shared" si="25"/>
        <v>279.50224409137257</v>
      </c>
      <c r="L91" s="673">
        <f>SUM(D91:INDEX(D91:K91,0,MATCH('RFPR cover'!$C$7,$D$6:$K$6,0)))</f>
        <v>1448.4774030673989</v>
      </c>
      <c r="M91" s="674">
        <f>SUM(D91:K91)</f>
        <v>1986.9178122136059</v>
      </c>
      <c r="N91" s="62"/>
      <c r="O91" s="62"/>
    </row>
    <row r="92" spans="1:20">
      <c r="A92" s="35"/>
      <c r="B92" s="780" t="s">
        <v>195</v>
      </c>
      <c r="C92" s="155" t="s">
        <v>128</v>
      </c>
      <c r="D92" s="102">
        <f>D91-D90</f>
        <v>4.4790715224326902</v>
      </c>
      <c r="E92" s="103">
        <f t="shared" ref="E92:M92" si="26">E91-E90</f>
        <v>-27.875672384282268</v>
      </c>
      <c r="F92" s="103">
        <f t="shared" si="26"/>
        <v>3.8358820712776094</v>
      </c>
      <c r="G92" s="103">
        <f t="shared" si="26"/>
        <v>26.066398473864808</v>
      </c>
      <c r="H92" s="103">
        <f t="shared" si="26"/>
        <v>6.9575811435842922</v>
      </c>
      <c r="I92" s="103">
        <f t="shared" si="26"/>
        <v>16.299595932983124</v>
      </c>
      <c r="J92" s="103">
        <f t="shared" si="26"/>
        <v>-12.168056577188395</v>
      </c>
      <c r="K92" s="104">
        <f t="shared" si="26"/>
        <v>-5.9249215328894138</v>
      </c>
      <c r="L92" s="102">
        <f t="shared" si="26"/>
        <v>29.762856759859915</v>
      </c>
      <c r="M92" s="104">
        <f t="shared" si="26"/>
        <v>11.669878649782049</v>
      </c>
      <c r="N92" s="62"/>
      <c r="O92" s="996"/>
      <c r="P92" s="996"/>
      <c r="Q92" s="996"/>
      <c r="R92"/>
      <c r="S92"/>
      <c r="T92"/>
    </row>
    <row r="93" spans="1:20" ht="13.2">
      <c r="A93" s="35"/>
      <c r="B93" s="780"/>
      <c r="C93" s="155"/>
      <c r="D93" s="58"/>
      <c r="E93" s="58"/>
      <c r="F93" s="58"/>
      <c r="G93" s="58"/>
      <c r="H93" s="58"/>
      <c r="I93" s="58"/>
      <c r="J93" s="58"/>
      <c r="K93" s="58"/>
      <c r="L93" s="58"/>
      <c r="M93" s="58"/>
      <c r="O93" s="63"/>
      <c r="P93" s="63"/>
      <c r="Q93" s="63"/>
      <c r="R93"/>
      <c r="S93"/>
      <c r="T93"/>
    </row>
    <row r="94" spans="1:20">
      <c r="A94" s="35"/>
      <c r="B94" s="774" t="s">
        <v>178</v>
      </c>
      <c r="C94" s="136" t="s">
        <v>7</v>
      </c>
      <c r="D94" s="109">
        <f>1-INDEX(Data!$D$73:$D$100,MATCH('RFPR cover'!$C$5,Data!$B$73:$B$100,0),0)</f>
        <v>0.30000000000000004</v>
      </c>
      <c r="E94" s="110">
        <f>1-INDEX(Data!$D$73:$D$100,MATCH('RFPR cover'!$C$5,Data!$B$73:$B$100,0),0)</f>
        <v>0.30000000000000004</v>
      </c>
      <c r="F94" s="110">
        <f>1-INDEX(Data!$D$73:$D$100,MATCH('RFPR cover'!$C$5,Data!$B$73:$B$100,0),0)</f>
        <v>0.30000000000000004</v>
      </c>
      <c r="G94" s="110">
        <f>1-INDEX(Data!$D$73:$D$100,MATCH('RFPR cover'!$C$5,Data!$B$73:$B$100,0),0)</f>
        <v>0.30000000000000004</v>
      </c>
      <c r="H94" s="110">
        <f>1-INDEX(Data!$D$73:$D$100,MATCH('RFPR cover'!$C$5,Data!$B$73:$B$100,0),0)</f>
        <v>0.30000000000000004</v>
      </c>
      <c r="I94" s="110">
        <f>1-INDEX(Data!$D$73:$D$100,MATCH('RFPR cover'!$C$5,Data!$B$73:$B$100,0),0)</f>
        <v>0.30000000000000004</v>
      </c>
      <c r="J94" s="110">
        <f>1-INDEX(Data!$D$73:$D$100,MATCH('RFPR cover'!$C$5,Data!$B$73:$B$100,0),0)</f>
        <v>0.30000000000000004</v>
      </c>
      <c r="K94" s="111">
        <f>1-INDEX(Data!$D$73:$D$100,MATCH('RFPR cover'!$C$5,Data!$B$73:$B$100,0),0)</f>
        <v>0.30000000000000004</v>
      </c>
      <c r="L94" s="61"/>
      <c r="M94" s="61"/>
      <c r="O94"/>
      <c r="P94"/>
      <c r="Q94"/>
      <c r="R94"/>
      <c r="S94"/>
      <c r="T94"/>
    </row>
    <row r="95" spans="1:20">
      <c r="A95" s="35"/>
      <c r="B95" s="774"/>
      <c r="O95"/>
      <c r="P95"/>
      <c r="Q95"/>
      <c r="R95"/>
      <c r="S95"/>
      <c r="T95"/>
    </row>
    <row r="96" spans="1:20">
      <c r="A96" s="35"/>
      <c r="B96" s="781" t="s">
        <v>183</v>
      </c>
      <c r="C96" s="155" t="s">
        <v>128</v>
      </c>
      <c r="D96" s="95">
        <f>D92*D94</f>
        <v>1.3437214567298073</v>
      </c>
      <c r="E96" s="96">
        <f t="shared" ref="E96:K96" si="27">E92*E94</f>
        <v>-8.3627017152846808</v>
      </c>
      <c r="F96" s="96">
        <f t="shared" si="27"/>
        <v>1.1507646213832829</v>
      </c>
      <c r="G96" s="96">
        <f t="shared" si="27"/>
        <v>7.8199195421594441</v>
      </c>
      <c r="H96" s="96">
        <f t="shared" si="27"/>
        <v>2.087274343075288</v>
      </c>
      <c r="I96" s="96">
        <f t="shared" si="27"/>
        <v>4.8898787798949375</v>
      </c>
      <c r="J96" s="96">
        <f t="shared" si="27"/>
        <v>-3.6504169731565188</v>
      </c>
      <c r="K96" s="96">
        <f t="shared" si="27"/>
        <v>-1.7774764598668245</v>
      </c>
      <c r="L96" s="95">
        <f>SUM(D96:INDEX(D96:K96,0,MATCH('RFPR cover'!$C$7,$D$6:$K$6,0)))</f>
        <v>8.9288570279580792</v>
      </c>
      <c r="M96" s="97">
        <f>SUM(D96:K96)</f>
        <v>3.5009635949347357</v>
      </c>
      <c r="O96"/>
      <c r="P96"/>
      <c r="Q96"/>
      <c r="R96"/>
      <c r="S96"/>
      <c r="T96"/>
    </row>
    <row r="97" spans="1:20">
      <c r="A97" s="35"/>
      <c r="B97" s="781" t="s">
        <v>280</v>
      </c>
      <c r="C97" s="155" t="s">
        <v>128</v>
      </c>
      <c r="D97" s="92">
        <f>D92*(1-D94)</f>
        <v>3.135350065702883</v>
      </c>
      <c r="E97" s="93">
        <f t="shared" ref="E97:K97" si="28">E92*(1-E94)</f>
        <v>-19.512970668997585</v>
      </c>
      <c r="F97" s="93">
        <f t="shared" si="28"/>
        <v>2.6851174498943262</v>
      </c>
      <c r="G97" s="93">
        <f t="shared" si="28"/>
        <v>18.246478931705365</v>
      </c>
      <c r="H97" s="93">
        <f t="shared" si="28"/>
        <v>4.8703068005090042</v>
      </c>
      <c r="I97" s="93">
        <f t="shared" si="28"/>
        <v>11.409717153088186</v>
      </c>
      <c r="J97" s="93">
        <f t="shared" si="28"/>
        <v>-8.517639604031876</v>
      </c>
      <c r="K97" s="93">
        <f t="shared" si="28"/>
        <v>-4.1474450730225891</v>
      </c>
      <c r="L97" s="92">
        <f>SUM(D97:INDEX(D97:K97,0,MATCH('RFPR cover'!$C$7,$D$6:$K$6,0)))</f>
        <v>20.833999731902182</v>
      </c>
      <c r="M97" s="94">
        <f>SUM(D97:K97)</f>
        <v>8.1689150548477159</v>
      </c>
      <c r="O97"/>
      <c r="P97"/>
      <c r="Q97"/>
      <c r="R97"/>
      <c r="S97"/>
      <c r="T97"/>
    </row>
    <row r="98" spans="1:20">
      <c r="A98" s="35"/>
      <c r="B98" s="774"/>
      <c r="O98"/>
      <c r="P98"/>
      <c r="Q98"/>
      <c r="R98"/>
      <c r="S98"/>
      <c r="T98"/>
    </row>
    <row r="99" spans="1:20">
      <c r="A99" s="35"/>
      <c r="B99" s="782" t="s">
        <v>182</v>
      </c>
      <c r="N99" s="62"/>
      <c r="O99"/>
      <c r="P99"/>
      <c r="Q99"/>
      <c r="R99"/>
      <c r="S99"/>
      <c r="T99"/>
    </row>
    <row r="100" spans="1:20">
      <c r="A100" s="269" t="s">
        <v>151</v>
      </c>
      <c r="B100" s="225" t="str">
        <f t="shared" ref="B100:B105" si="29">B22</f>
        <v>Pensions prepayment (See Appendices within RFPR commentary documentation)</v>
      </c>
      <c r="C100" s="155" t="s">
        <v>128</v>
      </c>
      <c r="D100" s="592">
        <f t="shared" ref="D100:K105" si="30">D22*D$86</f>
        <v>0</v>
      </c>
      <c r="E100" s="592">
        <f t="shared" si="30"/>
        <v>15.938230381232177</v>
      </c>
      <c r="F100" s="592">
        <f t="shared" si="30"/>
        <v>-15.396172761025372</v>
      </c>
      <c r="G100" s="592">
        <f t="shared" si="30"/>
        <v>-0.54205762020680481</v>
      </c>
      <c r="H100" s="592">
        <f t="shared" si="30"/>
        <v>0</v>
      </c>
      <c r="I100" s="592">
        <f t="shared" si="30"/>
        <v>0</v>
      </c>
      <c r="J100" s="592">
        <f t="shared" si="30"/>
        <v>0</v>
      </c>
      <c r="K100" s="592">
        <f t="shared" si="30"/>
        <v>0</v>
      </c>
      <c r="L100" s="584">
        <f>SUM(D100:INDEX(D100:K100,0,MATCH('RFPR cover'!$C$7,$D$6:$K$6,0)))</f>
        <v>0</v>
      </c>
      <c r="M100" s="585">
        <f t="shared" ref="M100:M106" si="31">SUM(D100:K100)</f>
        <v>0</v>
      </c>
      <c r="N100" s="62"/>
      <c r="O100"/>
      <c r="P100"/>
      <c r="Q100"/>
      <c r="R100"/>
      <c r="S100"/>
      <c r="T100"/>
    </row>
    <row r="101" spans="1:20">
      <c r="A101" s="269" t="s">
        <v>152</v>
      </c>
      <c r="B101" s="225" t="str">
        <f t="shared" si="29"/>
        <v>Rail Electrification (See Appendices within RFRS commentary documentation)</v>
      </c>
      <c r="C101" s="155" t="s">
        <v>128</v>
      </c>
      <c r="D101" s="592">
        <f t="shared" si="30"/>
        <v>0</v>
      </c>
      <c r="E101" s="592">
        <f t="shared" si="30"/>
        <v>0</v>
      </c>
      <c r="F101" s="592">
        <f t="shared" si="30"/>
        <v>-9.8321778426762236</v>
      </c>
      <c r="G101" s="592">
        <f t="shared" si="30"/>
        <v>3.7419167371090447</v>
      </c>
      <c r="H101" s="592">
        <f t="shared" si="30"/>
        <v>3.838783812341505</v>
      </c>
      <c r="I101" s="592">
        <f t="shared" si="30"/>
        <v>3.703011586798814</v>
      </c>
      <c r="J101" s="592">
        <f t="shared" si="30"/>
        <v>2.8300931005237078</v>
      </c>
      <c r="K101" s="592">
        <f t="shared" si="30"/>
        <v>-3.925150330033492</v>
      </c>
      <c r="L101" s="588">
        <f>SUM(D101:INDEX(D101:K101,0,MATCH('RFPR cover'!$C$7,$D$6:$K$6,0)))</f>
        <v>1.4515342935731401</v>
      </c>
      <c r="M101" s="589">
        <f t="shared" si="31"/>
        <v>0.35647706406335589</v>
      </c>
      <c r="N101" s="62"/>
      <c r="O101"/>
      <c r="P101"/>
      <c r="Q101"/>
      <c r="R101"/>
      <c r="S101"/>
      <c r="T101"/>
    </row>
    <row r="102" spans="1:20">
      <c r="A102" s="269" t="s">
        <v>153</v>
      </c>
      <c r="B102" s="225" t="str">
        <f t="shared" si="29"/>
        <v>TIM neutral and Smart meter adjustments to Totex allowance</v>
      </c>
      <c r="C102" s="155" t="s">
        <v>128</v>
      </c>
      <c r="D102" s="592">
        <f t="shared" si="30"/>
        <v>0</v>
      </c>
      <c r="E102" s="592">
        <f t="shared" si="30"/>
        <v>0</v>
      </c>
      <c r="F102" s="592">
        <f t="shared" si="30"/>
        <v>0</v>
      </c>
      <c r="G102" s="592">
        <f t="shared" si="30"/>
        <v>0</v>
      </c>
      <c r="H102" s="592">
        <f t="shared" si="30"/>
        <v>0</v>
      </c>
      <c r="I102" s="592">
        <f t="shared" si="30"/>
        <v>-0.38044422464147543</v>
      </c>
      <c r="J102" s="592">
        <f t="shared" si="30"/>
        <v>2.7799689356843458</v>
      </c>
      <c r="K102" s="592">
        <f t="shared" si="30"/>
        <v>2.8654529804566393</v>
      </c>
      <c r="L102" s="588">
        <f>SUM(D102:INDEX(D102:K102,0,MATCH('RFPR cover'!$C$7,$D$6:$K$6,0)))</f>
        <v>-0.38044422464147543</v>
      </c>
      <c r="M102" s="589">
        <f t="shared" si="31"/>
        <v>5.2649776914995101</v>
      </c>
      <c r="N102" s="62"/>
      <c r="O102"/>
      <c r="P102"/>
      <c r="Q102"/>
      <c r="R102"/>
      <c r="S102" s="64"/>
      <c r="T102"/>
    </row>
    <row r="103" spans="1:20">
      <c r="A103" s="269" t="s">
        <v>168</v>
      </c>
      <c r="B103" s="225" t="str">
        <f t="shared" si="29"/>
        <v>[Enduring Value adjustment]</v>
      </c>
      <c r="C103" s="155" t="s">
        <v>128</v>
      </c>
      <c r="D103" s="592">
        <f t="shared" si="30"/>
        <v>0</v>
      </c>
      <c r="E103" s="592">
        <f t="shared" si="30"/>
        <v>0</v>
      </c>
      <c r="F103" s="592">
        <f t="shared" si="30"/>
        <v>0</v>
      </c>
      <c r="G103" s="592">
        <f t="shared" si="30"/>
        <v>0</v>
      </c>
      <c r="H103" s="592">
        <f t="shared" si="30"/>
        <v>0</v>
      </c>
      <c r="I103" s="592">
        <f t="shared" si="30"/>
        <v>0</v>
      </c>
      <c r="J103" s="592">
        <f t="shared" si="30"/>
        <v>0</v>
      </c>
      <c r="K103" s="592">
        <f t="shared" si="30"/>
        <v>0</v>
      </c>
      <c r="L103" s="588">
        <f>SUM(D103:INDEX(D103:K103,0,MATCH('RFPR cover'!$C$7,$D$6:$K$6,0)))</f>
        <v>0</v>
      </c>
      <c r="M103" s="589">
        <f t="shared" si="31"/>
        <v>0</v>
      </c>
      <c r="N103" s="62"/>
      <c r="O103"/>
      <c r="P103"/>
      <c r="Q103"/>
      <c r="R103"/>
      <c r="S103"/>
      <c r="T103"/>
    </row>
    <row r="104" spans="1:20">
      <c r="A104" s="269" t="s">
        <v>169</v>
      </c>
      <c r="B104" s="225" t="str">
        <f t="shared" si="29"/>
        <v>[Enduring Value adjustment]</v>
      </c>
      <c r="C104" s="155" t="s">
        <v>128</v>
      </c>
      <c r="D104" s="592">
        <f t="shared" si="30"/>
        <v>0</v>
      </c>
      <c r="E104" s="592">
        <f t="shared" si="30"/>
        <v>0</v>
      </c>
      <c r="F104" s="592">
        <f t="shared" si="30"/>
        <v>0</v>
      </c>
      <c r="G104" s="592">
        <f t="shared" si="30"/>
        <v>0</v>
      </c>
      <c r="H104" s="592">
        <f t="shared" si="30"/>
        <v>0</v>
      </c>
      <c r="I104" s="592">
        <f t="shared" si="30"/>
        <v>0</v>
      </c>
      <c r="J104" s="592">
        <f t="shared" si="30"/>
        <v>0</v>
      </c>
      <c r="K104" s="592">
        <f t="shared" si="30"/>
        <v>0</v>
      </c>
      <c r="L104" s="588">
        <f>SUM(D104:INDEX(D104:K104,0,MATCH('RFPR cover'!$C$7,$D$6:$K$6,0)))</f>
        <v>0</v>
      </c>
      <c r="M104" s="589">
        <f t="shared" si="31"/>
        <v>0</v>
      </c>
      <c r="N104" s="62"/>
      <c r="O104"/>
      <c r="P104"/>
      <c r="Q104"/>
      <c r="R104"/>
      <c r="S104"/>
      <c r="T104"/>
    </row>
    <row r="105" spans="1:20">
      <c r="A105" s="269" t="s">
        <v>170</v>
      </c>
      <c r="B105" s="225" t="str">
        <f t="shared" si="29"/>
        <v>[Enduring Value adjustment]</v>
      </c>
      <c r="C105" s="155" t="s">
        <v>128</v>
      </c>
      <c r="D105" s="592">
        <f t="shared" si="30"/>
        <v>0</v>
      </c>
      <c r="E105" s="592">
        <f t="shared" si="30"/>
        <v>0</v>
      </c>
      <c r="F105" s="592">
        <f t="shared" si="30"/>
        <v>0</v>
      </c>
      <c r="G105" s="592">
        <f t="shared" si="30"/>
        <v>0</v>
      </c>
      <c r="H105" s="592">
        <f t="shared" si="30"/>
        <v>0</v>
      </c>
      <c r="I105" s="592">
        <f t="shared" si="30"/>
        <v>0</v>
      </c>
      <c r="J105" s="592">
        <f t="shared" si="30"/>
        <v>0</v>
      </c>
      <c r="K105" s="592">
        <f t="shared" si="30"/>
        <v>0</v>
      </c>
      <c r="L105" s="592">
        <f>SUM(D105:INDEX(D105:K105,0,MATCH('RFPR cover'!$C$7,$D$6:$K$6,0)))</f>
        <v>0</v>
      </c>
      <c r="M105" s="593">
        <f t="shared" si="31"/>
        <v>0</v>
      </c>
      <c r="N105" s="62"/>
      <c r="O105"/>
      <c r="P105"/>
      <c r="Q105"/>
      <c r="R105"/>
      <c r="S105"/>
      <c r="T105"/>
    </row>
    <row r="106" spans="1:20">
      <c r="A106" s="35"/>
      <c r="B106" s="782" t="s">
        <v>190</v>
      </c>
      <c r="C106" s="155" t="s">
        <v>128</v>
      </c>
      <c r="D106" s="102">
        <f>SUM(D100:D105)</f>
        <v>0</v>
      </c>
      <c r="E106" s="103">
        <f t="shared" ref="E106:K106" si="32">SUM(E100:E105)</f>
        <v>15.938230381232177</v>
      </c>
      <c r="F106" s="103">
        <f t="shared" si="32"/>
        <v>-25.228350603701596</v>
      </c>
      <c r="G106" s="103">
        <f t="shared" si="32"/>
        <v>3.1998591169022399</v>
      </c>
      <c r="H106" s="103">
        <f t="shared" si="32"/>
        <v>3.838783812341505</v>
      </c>
      <c r="I106" s="103">
        <f t="shared" si="32"/>
        <v>3.3225673621573386</v>
      </c>
      <c r="J106" s="103">
        <f t="shared" si="32"/>
        <v>5.6100620362080535</v>
      </c>
      <c r="K106" s="104">
        <f t="shared" si="32"/>
        <v>-1.0596973495768527</v>
      </c>
      <c r="L106" s="102">
        <f>SUM(D106:INDEX(D106:K106,0,MATCH('RFPR cover'!$C$7,$D$6:$K$6,0)))</f>
        <v>1.0710900689316647</v>
      </c>
      <c r="M106" s="104">
        <f t="shared" si="31"/>
        <v>5.6214547555628656</v>
      </c>
      <c r="N106" s="62"/>
    </row>
    <row r="107" spans="1:20">
      <c r="A107" s="35"/>
      <c r="B107" s="774"/>
    </row>
    <row r="108" spans="1:20">
      <c r="A108" s="35"/>
      <c r="B108" s="781" t="s">
        <v>198</v>
      </c>
      <c r="C108" s="155" t="s">
        <v>128</v>
      </c>
      <c r="D108" s="95">
        <f t="shared" ref="D108:K108" si="33">D106*D94</f>
        <v>0</v>
      </c>
      <c r="E108" s="96">
        <f t="shared" si="33"/>
        <v>4.7814691143696537</v>
      </c>
      <c r="F108" s="96">
        <f t="shared" si="33"/>
        <v>-7.5685051811104795</v>
      </c>
      <c r="G108" s="96">
        <f t="shared" si="33"/>
        <v>0.95995773507067206</v>
      </c>
      <c r="H108" s="96">
        <f t="shared" si="33"/>
        <v>1.1516351437024517</v>
      </c>
      <c r="I108" s="96">
        <f t="shared" si="33"/>
        <v>0.99677020864720178</v>
      </c>
      <c r="J108" s="96">
        <f t="shared" si="33"/>
        <v>1.6830186108624163</v>
      </c>
      <c r="K108" s="96">
        <f t="shared" si="33"/>
        <v>-0.31790920487305585</v>
      </c>
      <c r="L108" s="95">
        <f>SUM(D108:INDEX(D108:K108,0,MATCH('RFPR cover'!$C$7,$D$6:$K$6,0)))</f>
        <v>0.3213270206794997</v>
      </c>
      <c r="M108" s="97">
        <f>SUM(D108:K108)</f>
        <v>1.6864364266688601</v>
      </c>
    </row>
    <row r="109" spans="1:20">
      <c r="A109" s="35"/>
      <c r="B109" s="781" t="s">
        <v>309</v>
      </c>
      <c r="C109" s="155" t="s">
        <v>128</v>
      </c>
      <c r="D109" s="92">
        <f t="shared" ref="D109:K109" si="34">D106*(1-D94)</f>
        <v>0</v>
      </c>
      <c r="E109" s="93">
        <f t="shared" si="34"/>
        <v>11.156761266862523</v>
      </c>
      <c r="F109" s="93">
        <f t="shared" si="34"/>
        <v>-17.659845422591115</v>
      </c>
      <c r="G109" s="93">
        <f t="shared" si="34"/>
        <v>2.2399013818315678</v>
      </c>
      <c r="H109" s="93">
        <f t="shared" si="34"/>
        <v>2.6871486686390536</v>
      </c>
      <c r="I109" s="93">
        <f t="shared" si="34"/>
        <v>2.3257971535101367</v>
      </c>
      <c r="J109" s="93">
        <f t="shared" si="34"/>
        <v>3.9270434253456372</v>
      </c>
      <c r="K109" s="93">
        <f t="shared" si="34"/>
        <v>-0.74178814470379684</v>
      </c>
      <c r="L109" s="92">
        <f>SUM(D109:INDEX(D109:K109,0,MATCH('RFPR cover'!$C$7,$D$6:$K$6,0)))</f>
        <v>0.749763048252166</v>
      </c>
      <c r="M109" s="94">
        <f>SUM(D109:K109)</f>
        <v>3.9350183288940066</v>
      </c>
    </row>
    <row r="110" spans="1:20">
      <c r="A110" s="35"/>
      <c r="B110" s="774"/>
    </row>
    <row r="111" spans="1:20">
      <c r="A111" s="35"/>
      <c r="B111" s="782" t="s">
        <v>181</v>
      </c>
    </row>
    <row r="112" spans="1:20">
      <c r="A112" s="35"/>
      <c r="B112" s="774" t="s">
        <v>180</v>
      </c>
      <c r="C112" s="155" t="s">
        <v>128</v>
      </c>
      <c r="D112" s="95">
        <f>D96+D108</f>
        <v>1.3437214567298073</v>
      </c>
      <c r="E112" s="96">
        <f t="shared" ref="E112:K112" si="35">E96+E108</f>
        <v>-3.581232600915027</v>
      </c>
      <c r="F112" s="96">
        <f t="shared" si="35"/>
        <v>-6.4177405597271964</v>
      </c>
      <c r="G112" s="96">
        <f t="shared" si="35"/>
        <v>8.779877277230117</v>
      </c>
      <c r="H112" s="96">
        <f t="shared" si="35"/>
        <v>3.2389094867777395</v>
      </c>
      <c r="I112" s="96">
        <f t="shared" si="35"/>
        <v>5.8866489885421389</v>
      </c>
      <c r="J112" s="96">
        <f t="shared" si="35"/>
        <v>-1.9673983622941025</v>
      </c>
      <c r="K112" s="96">
        <f t="shared" si="35"/>
        <v>-2.0953856647398803</v>
      </c>
      <c r="L112" s="95">
        <f>SUM(D112:INDEX(D112:K112,0,MATCH('RFPR cover'!$C$7,$D$6:$K$6,0)))</f>
        <v>9.2501840486375784</v>
      </c>
      <c r="M112" s="97">
        <f>SUM(D112:K112)</f>
        <v>5.1874000216035956</v>
      </c>
    </row>
    <row r="113" spans="1:20">
      <c r="A113" s="35"/>
      <c r="B113" s="774" t="s">
        <v>280</v>
      </c>
      <c r="C113" s="155" t="s">
        <v>128</v>
      </c>
      <c r="D113" s="521">
        <f>D97+D109</f>
        <v>3.135350065702883</v>
      </c>
      <c r="E113" s="522">
        <f t="shared" ref="E113:K113" si="36">E97+E109</f>
        <v>-8.3562094021350628</v>
      </c>
      <c r="F113" s="522">
        <f t="shared" si="36"/>
        <v>-14.974727972696789</v>
      </c>
      <c r="G113" s="522">
        <f t="shared" si="36"/>
        <v>20.486380313536934</v>
      </c>
      <c r="H113" s="522">
        <f t="shared" si="36"/>
        <v>7.5574554691480582</v>
      </c>
      <c r="I113" s="522">
        <f t="shared" si="36"/>
        <v>13.735514306598322</v>
      </c>
      <c r="J113" s="522">
        <f t="shared" si="36"/>
        <v>-4.5905961786862388</v>
      </c>
      <c r="K113" s="522">
        <f t="shared" si="36"/>
        <v>-4.8892332177263862</v>
      </c>
      <c r="L113" s="521">
        <f>SUM(D113:INDEX(D113:K113,0,MATCH('RFPR cover'!$C$7,$D$6:$K$6,0)))</f>
        <v>21.583762780154345</v>
      </c>
      <c r="M113" s="523">
        <f>SUM(D113:K113)</f>
        <v>12.103933383741719</v>
      </c>
    </row>
    <row r="114" spans="1:20">
      <c r="A114" s="35"/>
      <c r="B114" s="782" t="s">
        <v>11</v>
      </c>
      <c r="C114" s="156" t="s">
        <v>128</v>
      </c>
      <c r="D114" s="145">
        <f>SUM(D112:D113)</f>
        <v>4.4790715224326902</v>
      </c>
      <c r="E114" s="146">
        <f t="shared" ref="E114:K114" si="37">SUM(E112:E113)</f>
        <v>-11.937442003050091</v>
      </c>
      <c r="F114" s="146">
        <f t="shared" si="37"/>
        <v>-21.392468532423983</v>
      </c>
      <c r="G114" s="146">
        <f t="shared" si="37"/>
        <v>29.266257590767051</v>
      </c>
      <c r="H114" s="146">
        <f t="shared" si="37"/>
        <v>10.796364955925798</v>
      </c>
      <c r="I114" s="146">
        <f t="shared" si="37"/>
        <v>19.62216329514046</v>
      </c>
      <c r="J114" s="146">
        <f t="shared" si="37"/>
        <v>-6.5579945409803413</v>
      </c>
      <c r="K114" s="146">
        <f t="shared" si="37"/>
        <v>-6.9846188824662665</v>
      </c>
      <c r="L114" s="145">
        <f>SUM(D114:INDEX(D114:K114,0,MATCH('RFPR cover'!$C$7,$D$6:$K$6,0)))</f>
        <v>30.833946828791923</v>
      </c>
      <c r="M114" s="147">
        <f>SUM(D114:K114)</f>
        <v>17.291333405345313</v>
      </c>
    </row>
    <row r="115" spans="1:20">
      <c r="A115" s="35"/>
      <c r="B115" s="774"/>
    </row>
    <row r="116" spans="1:20">
      <c r="A116" s="35"/>
      <c r="B116" s="777" t="str">
        <f>B38</f>
        <v>n/a</v>
      </c>
      <c r="C116" s="150"/>
      <c r="D116" s="81"/>
      <c r="E116" s="81"/>
      <c r="F116" s="81"/>
      <c r="G116" s="81"/>
      <c r="H116" s="81"/>
      <c r="I116" s="81"/>
      <c r="J116" s="81"/>
      <c r="K116" s="81"/>
      <c r="L116" s="81"/>
      <c r="M116" s="81"/>
      <c r="N116" s="81"/>
    </row>
    <row r="117" spans="1:20" s="35" customFormat="1">
      <c r="B117" s="775"/>
      <c r="C117" s="138"/>
      <c r="D117" s="320"/>
      <c r="E117" s="320"/>
      <c r="F117" s="320"/>
      <c r="G117" s="320"/>
      <c r="H117" s="320"/>
      <c r="I117" s="320"/>
      <c r="J117" s="320"/>
      <c r="K117" s="320"/>
      <c r="L117" s="320"/>
      <c r="M117" s="320"/>
      <c r="N117" s="320"/>
    </row>
    <row r="118" spans="1:20">
      <c r="A118" s="35"/>
      <c r="B118" s="305" t="s">
        <v>34</v>
      </c>
      <c r="C118" s="155" t="s">
        <v>128</v>
      </c>
      <c r="D118" s="671">
        <f t="shared" ref="D118:K119" si="38">D40*D$86</f>
        <v>0</v>
      </c>
      <c r="E118" s="671">
        <f t="shared" si="38"/>
        <v>0</v>
      </c>
      <c r="F118" s="671">
        <f t="shared" si="38"/>
        <v>0</v>
      </c>
      <c r="G118" s="671">
        <f t="shared" si="38"/>
        <v>0</v>
      </c>
      <c r="H118" s="671">
        <f t="shared" si="38"/>
        <v>0</v>
      </c>
      <c r="I118" s="671">
        <f t="shared" si="38"/>
        <v>0</v>
      </c>
      <c r="J118" s="671">
        <f t="shared" si="38"/>
        <v>0</v>
      </c>
      <c r="K118" s="671">
        <f t="shared" si="38"/>
        <v>0</v>
      </c>
      <c r="L118" s="671">
        <f>SUM(D118:INDEX(D118:K118,0,MATCH('RFPR cover'!$C$7,$D$6:$K$6,0)))</f>
        <v>0</v>
      </c>
      <c r="M118" s="672">
        <f>SUM(D118:K118)</f>
        <v>0</v>
      </c>
      <c r="N118" s="62"/>
      <c r="O118" s="62"/>
    </row>
    <row r="119" spans="1:20" ht="25.2">
      <c r="A119" s="35"/>
      <c r="B119" s="779" t="s">
        <v>197</v>
      </c>
      <c r="C119" s="155" t="s">
        <v>128</v>
      </c>
      <c r="D119" s="671">
        <f t="shared" si="38"/>
        <v>0</v>
      </c>
      <c r="E119" s="671">
        <f t="shared" si="38"/>
        <v>0</v>
      </c>
      <c r="F119" s="671">
        <f t="shared" si="38"/>
        <v>0</v>
      </c>
      <c r="G119" s="671">
        <f t="shared" si="38"/>
        <v>0</v>
      </c>
      <c r="H119" s="671">
        <f t="shared" si="38"/>
        <v>0</v>
      </c>
      <c r="I119" s="671">
        <f t="shared" si="38"/>
        <v>0</v>
      </c>
      <c r="J119" s="671">
        <f t="shared" si="38"/>
        <v>0</v>
      </c>
      <c r="K119" s="671">
        <f t="shared" si="38"/>
        <v>0</v>
      </c>
      <c r="L119" s="673">
        <f>SUM(D119:INDEX(D119:K119,0,MATCH('RFPR cover'!$C$7,$D$6:$K$6,0)))</f>
        <v>0</v>
      </c>
      <c r="M119" s="674">
        <f>SUM(D119:K119)</f>
        <v>0</v>
      </c>
      <c r="N119" s="62"/>
      <c r="O119" s="62"/>
    </row>
    <row r="120" spans="1:20">
      <c r="A120" s="35"/>
      <c r="B120" s="780" t="s">
        <v>195</v>
      </c>
      <c r="C120" s="155" t="s">
        <v>128</v>
      </c>
      <c r="D120" s="102">
        <f>D119-D118</f>
        <v>0</v>
      </c>
      <c r="E120" s="103">
        <f t="shared" ref="E120:M120" si="39">E119-E118</f>
        <v>0</v>
      </c>
      <c r="F120" s="103">
        <f t="shared" si="39"/>
        <v>0</v>
      </c>
      <c r="G120" s="103">
        <f t="shared" si="39"/>
        <v>0</v>
      </c>
      <c r="H120" s="103">
        <f t="shared" si="39"/>
        <v>0</v>
      </c>
      <c r="I120" s="103">
        <f t="shared" si="39"/>
        <v>0</v>
      </c>
      <c r="J120" s="103">
        <f t="shared" si="39"/>
        <v>0</v>
      </c>
      <c r="K120" s="103">
        <f t="shared" si="39"/>
        <v>0</v>
      </c>
      <c r="L120" s="102">
        <f t="shared" si="39"/>
        <v>0</v>
      </c>
      <c r="M120" s="104">
        <f t="shared" si="39"/>
        <v>0</v>
      </c>
      <c r="N120" s="62"/>
      <c r="O120" s="996"/>
      <c r="P120" s="996"/>
      <c r="Q120" s="996"/>
      <c r="R120"/>
      <c r="S120"/>
      <c r="T120"/>
    </row>
    <row r="121" spans="1:20" ht="13.2">
      <c r="A121" s="35"/>
      <c r="B121" s="780"/>
      <c r="C121" s="155"/>
      <c r="D121" s="58"/>
      <c r="E121" s="58"/>
      <c r="F121" s="58"/>
      <c r="G121" s="58"/>
      <c r="H121" s="58"/>
      <c r="I121" s="58"/>
      <c r="J121" s="58"/>
      <c r="K121" s="58"/>
      <c r="L121" s="58"/>
      <c r="M121" s="58"/>
      <c r="O121" s="63"/>
      <c r="P121" s="63"/>
      <c r="Q121" s="63"/>
      <c r="R121"/>
      <c r="S121"/>
      <c r="T121"/>
    </row>
    <row r="122" spans="1:20">
      <c r="A122" s="35"/>
      <c r="B122" s="774" t="s">
        <v>178</v>
      </c>
      <c r="C122" s="136" t="s">
        <v>7</v>
      </c>
      <c r="D122" s="109">
        <f>1-INDEX(Data!$D$73:$D$100,MATCH('RFPR cover'!$C$5,Data!$B$73:$B$100,0),0)</f>
        <v>0.30000000000000004</v>
      </c>
      <c r="E122" s="110">
        <f>1-INDEX(Data!$D$73:$D$100,MATCH('RFPR cover'!$C$5,Data!$B$73:$B$100,0),0)</f>
        <v>0.30000000000000004</v>
      </c>
      <c r="F122" s="110">
        <f>1-INDEX(Data!$D$73:$D$100,MATCH('RFPR cover'!$C$5,Data!$B$73:$B$100,0),0)</f>
        <v>0.30000000000000004</v>
      </c>
      <c r="G122" s="110">
        <f>1-INDEX(Data!$D$73:$D$100,MATCH('RFPR cover'!$C$5,Data!$B$73:$B$100,0),0)</f>
        <v>0.30000000000000004</v>
      </c>
      <c r="H122" s="110">
        <f>1-INDEX(Data!$D$73:$D$100,MATCH('RFPR cover'!$C$5,Data!$B$73:$B$100,0),0)</f>
        <v>0.30000000000000004</v>
      </c>
      <c r="I122" s="110">
        <f>1-INDEX(Data!$D$73:$D$100,MATCH('RFPR cover'!$C$5,Data!$B$73:$B$100,0),0)</f>
        <v>0.30000000000000004</v>
      </c>
      <c r="J122" s="110">
        <f>1-INDEX(Data!$D$73:$D$100,MATCH('RFPR cover'!$C$5,Data!$B$73:$B$100,0),0)</f>
        <v>0.30000000000000004</v>
      </c>
      <c r="K122" s="111">
        <f>1-INDEX(Data!$D$73:$D$100,MATCH('RFPR cover'!$C$5,Data!$B$73:$B$100,0),0)</f>
        <v>0.30000000000000004</v>
      </c>
      <c r="L122" s="61"/>
      <c r="M122" s="61"/>
      <c r="O122"/>
      <c r="P122"/>
      <c r="Q122"/>
      <c r="R122"/>
      <c r="S122"/>
      <c r="T122"/>
    </row>
    <row r="123" spans="1:20">
      <c r="A123" s="35"/>
      <c r="B123" s="774"/>
      <c r="O123"/>
      <c r="P123"/>
      <c r="Q123"/>
      <c r="R123"/>
      <c r="S123"/>
      <c r="T123"/>
    </row>
    <row r="124" spans="1:20">
      <c r="A124" s="35"/>
      <c r="B124" s="781" t="s">
        <v>183</v>
      </c>
      <c r="C124" s="159" t="s">
        <v>128</v>
      </c>
      <c r="D124" s="95">
        <f>D120*D122</f>
        <v>0</v>
      </c>
      <c r="E124" s="96">
        <f t="shared" ref="E124:K124" si="40">E120*E122</f>
        <v>0</v>
      </c>
      <c r="F124" s="96">
        <f t="shared" si="40"/>
        <v>0</v>
      </c>
      <c r="G124" s="96">
        <f t="shared" si="40"/>
        <v>0</v>
      </c>
      <c r="H124" s="96">
        <f t="shared" si="40"/>
        <v>0</v>
      </c>
      <c r="I124" s="96">
        <f t="shared" si="40"/>
        <v>0</v>
      </c>
      <c r="J124" s="96">
        <f t="shared" si="40"/>
        <v>0</v>
      </c>
      <c r="K124" s="96">
        <f t="shared" si="40"/>
        <v>0</v>
      </c>
      <c r="L124" s="95">
        <f>SUM(D124:INDEX(D124:K124,0,MATCH('RFPR cover'!$C$7,$D$6:$K$6,0)))</f>
        <v>0</v>
      </c>
      <c r="M124" s="97">
        <f>SUM(D124:K124)</f>
        <v>0</v>
      </c>
      <c r="O124"/>
      <c r="P124"/>
      <c r="Q124"/>
      <c r="R124"/>
      <c r="S124"/>
      <c r="T124"/>
    </row>
    <row r="125" spans="1:20">
      <c r="A125" s="35"/>
      <c r="B125" s="781" t="s">
        <v>179</v>
      </c>
      <c r="C125" s="159" t="s">
        <v>128</v>
      </c>
      <c r="D125" s="92">
        <f>D120*(1-D122)</f>
        <v>0</v>
      </c>
      <c r="E125" s="93">
        <f t="shared" ref="E125:K125" si="41">E120*(1-E122)</f>
        <v>0</v>
      </c>
      <c r="F125" s="93">
        <f t="shared" si="41"/>
        <v>0</v>
      </c>
      <c r="G125" s="93">
        <f t="shared" si="41"/>
        <v>0</v>
      </c>
      <c r="H125" s="93">
        <f t="shared" si="41"/>
        <v>0</v>
      </c>
      <c r="I125" s="93">
        <f t="shared" si="41"/>
        <v>0</v>
      </c>
      <c r="J125" s="93">
        <f t="shared" si="41"/>
        <v>0</v>
      </c>
      <c r="K125" s="93">
        <f t="shared" si="41"/>
        <v>0</v>
      </c>
      <c r="L125" s="92">
        <f>SUM(D125:INDEX(D125:K125,0,MATCH('RFPR cover'!$C$7,$D$6:$K$6,0)))</f>
        <v>0</v>
      </c>
      <c r="M125" s="94">
        <f>SUM(D125:K125)</f>
        <v>0</v>
      </c>
      <c r="O125"/>
      <c r="P125"/>
      <c r="Q125"/>
      <c r="R125"/>
      <c r="S125"/>
      <c r="T125"/>
    </row>
    <row r="126" spans="1:20">
      <c r="A126" s="35"/>
      <c r="B126" s="774"/>
      <c r="O126"/>
      <c r="P126"/>
      <c r="Q126"/>
      <c r="R126"/>
      <c r="S126"/>
      <c r="T126"/>
    </row>
    <row r="127" spans="1:20">
      <c r="A127" s="35"/>
      <c r="B127" s="782" t="s">
        <v>182</v>
      </c>
      <c r="N127" s="62"/>
      <c r="O127"/>
      <c r="P127"/>
      <c r="Q127"/>
      <c r="R127"/>
      <c r="S127"/>
      <c r="T127"/>
    </row>
    <row r="128" spans="1:20">
      <c r="A128" s="269" t="s">
        <v>151</v>
      </c>
      <c r="B128" s="225" t="str">
        <f t="shared" ref="B128:B133" si="42">B50</f>
        <v>[Enduring Value adjustment]</v>
      </c>
      <c r="C128" s="155" t="s">
        <v>128</v>
      </c>
      <c r="D128" s="584">
        <f t="shared" ref="D128:K133" si="43">D50*D$86</f>
        <v>0</v>
      </c>
      <c r="E128" s="584">
        <f t="shared" si="43"/>
        <v>0</v>
      </c>
      <c r="F128" s="584">
        <f t="shared" si="43"/>
        <v>0</v>
      </c>
      <c r="G128" s="584">
        <f t="shared" si="43"/>
        <v>0</v>
      </c>
      <c r="H128" s="584">
        <f t="shared" si="43"/>
        <v>0</v>
      </c>
      <c r="I128" s="584">
        <f t="shared" si="43"/>
        <v>0</v>
      </c>
      <c r="J128" s="584">
        <f t="shared" si="43"/>
        <v>0</v>
      </c>
      <c r="K128" s="584">
        <f t="shared" si="43"/>
        <v>0</v>
      </c>
      <c r="L128" s="584">
        <f>SUM(D128:INDEX(D128:K128,0,MATCH('RFPR cover'!$C$7,$D$6:$K$6,0)))</f>
        <v>0</v>
      </c>
      <c r="M128" s="585">
        <f t="shared" ref="M128:M134" si="44">SUM(D128:K128)</f>
        <v>0</v>
      </c>
      <c r="N128" s="62"/>
      <c r="O128"/>
      <c r="P128"/>
      <c r="Q128"/>
      <c r="R128"/>
      <c r="S128"/>
      <c r="T128"/>
    </row>
    <row r="129" spans="1:20">
      <c r="A129" s="269" t="s">
        <v>152</v>
      </c>
      <c r="B129" s="225" t="str">
        <f t="shared" si="42"/>
        <v>[Enduring Value adjustment]</v>
      </c>
      <c r="C129" s="155" t="s">
        <v>128</v>
      </c>
      <c r="D129" s="584">
        <f t="shared" si="43"/>
        <v>0</v>
      </c>
      <c r="E129" s="584">
        <f t="shared" si="43"/>
        <v>0</v>
      </c>
      <c r="F129" s="584">
        <f t="shared" si="43"/>
        <v>0</v>
      </c>
      <c r="G129" s="584">
        <f t="shared" si="43"/>
        <v>0</v>
      </c>
      <c r="H129" s="584">
        <f t="shared" si="43"/>
        <v>0</v>
      </c>
      <c r="I129" s="584">
        <f t="shared" si="43"/>
        <v>0</v>
      </c>
      <c r="J129" s="584">
        <f t="shared" si="43"/>
        <v>0</v>
      </c>
      <c r="K129" s="584">
        <f t="shared" si="43"/>
        <v>0</v>
      </c>
      <c r="L129" s="588">
        <f>SUM(D129:INDEX(D129:K129,0,MATCH('RFPR cover'!$C$7,$D$6:$K$6,0)))</f>
        <v>0</v>
      </c>
      <c r="M129" s="589">
        <f t="shared" si="44"/>
        <v>0</v>
      </c>
      <c r="N129" s="62"/>
      <c r="O129"/>
      <c r="P129"/>
      <c r="Q129"/>
      <c r="R129"/>
      <c r="S129"/>
      <c r="T129"/>
    </row>
    <row r="130" spans="1:20">
      <c r="A130" s="269" t="s">
        <v>153</v>
      </c>
      <c r="B130" s="225" t="str">
        <f t="shared" si="42"/>
        <v>[Enduring Value adjustment]</v>
      </c>
      <c r="C130" s="155" t="s">
        <v>128</v>
      </c>
      <c r="D130" s="584">
        <f t="shared" si="43"/>
        <v>0</v>
      </c>
      <c r="E130" s="584">
        <f t="shared" si="43"/>
        <v>0</v>
      </c>
      <c r="F130" s="584">
        <f t="shared" si="43"/>
        <v>0</v>
      </c>
      <c r="G130" s="584">
        <f t="shared" si="43"/>
        <v>0</v>
      </c>
      <c r="H130" s="584">
        <f t="shared" si="43"/>
        <v>0</v>
      </c>
      <c r="I130" s="584">
        <f t="shared" si="43"/>
        <v>0</v>
      </c>
      <c r="J130" s="584">
        <f t="shared" si="43"/>
        <v>0</v>
      </c>
      <c r="K130" s="584">
        <f t="shared" si="43"/>
        <v>0</v>
      </c>
      <c r="L130" s="588">
        <f>SUM(D130:INDEX(D130:K130,0,MATCH('RFPR cover'!$C$7,$D$6:$K$6,0)))</f>
        <v>0</v>
      </c>
      <c r="M130" s="589">
        <f t="shared" si="44"/>
        <v>0</v>
      </c>
      <c r="N130" s="62"/>
      <c r="O130"/>
      <c r="P130"/>
      <c r="Q130"/>
      <c r="R130"/>
      <c r="S130" s="64"/>
      <c r="T130"/>
    </row>
    <row r="131" spans="1:20">
      <c r="A131" s="269" t="s">
        <v>168</v>
      </c>
      <c r="B131" s="225" t="str">
        <f t="shared" si="42"/>
        <v>[Enduring Value adjustment]</v>
      </c>
      <c r="C131" s="155" t="s">
        <v>128</v>
      </c>
      <c r="D131" s="584">
        <f t="shared" si="43"/>
        <v>0</v>
      </c>
      <c r="E131" s="584">
        <f t="shared" si="43"/>
        <v>0</v>
      </c>
      <c r="F131" s="584">
        <f t="shared" si="43"/>
        <v>0</v>
      </c>
      <c r="G131" s="584">
        <f t="shared" si="43"/>
        <v>0</v>
      </c>
      <c r="H131" s="584">
        <f t="shared" si="43"/>
        <v>0</v>
      </c>
      <c r="I131" s="584">
        <f t="shared" si="43"/>
        <v>0</v>
      </c>
      <c r="J131" s="584">
        <f t="shared" si="43"/>
        <v>0</v>
      </c>
      <c r="K131" s="584">
        <f t="shared" si="43"/>
        <v>0</v>
      </c>
      <c r="L131" s="588">
        <f>SUM(D131:INDEX(D131:K131,0,MATCH('RFPR cover'!$C$7,$D$6:$K$6,0)))</f>
        <v>0</v>
      </c>
      <c r="M131" s="589">
        <f t="shared" si="44"/>
        <v>0</v>
      </c>
      <c r="N131" s="62"/>
      <c r="O131"/>
      <c r="P131"/>
      <c r="Q131"/>
      <c r="R131"/>
      <c r="S131"/>
      <c r="T131"/>
    </row>
    <row r="132" spans="1:20">
      <c r="A132" s="269" t="s">
        <v>169</v>
      </c>
      <c r="B132" s="225" t="str">
        <f t="shared" si="42"/>
        <v>[Enduring Value adjustment]</v>
      </c>
      <c r="C132" s="155" t="s">
        <v>128</v>
      </c>
      <c r="D132" s="584">
        <f t="shared" si="43"/>
        <v>0</v>
      </c>
      <c r="E132" s="584">
        <f t="shared" si="43"/>
        <v>0</v>
      </c>
      <c r="F132" s="584">
        <f t="shared" si="43"/>
        <v>0</v>
      </c>
      <c r="G132" s="584">
        <f t="shared" si="43"/>
        <v>0</v>
      </c>
      <c r="H132" s="584">
        <f t="shared" si="43"/>
        <v>0</v>
      </c>
      <c r="I132" s="584">
        <f t="shared" si="43"/>
        <v>0</v>
      </c>
      <c r="J132" s="584">
        <f t="shared" si="43"/>
        <v>0</v>
      </c>
      <c r="K132" s="584">
        <f t="shared" si="43"/>
        <v>0</v>
      </c>
      <c r="L132" s="588">
        <f>SUM(D132:INDEX(D132:K132,0,MATCH('RFPR cover'!$C$7,$D$6:$K$6,0)))</f>
        <v>0</v>
      </c>
      <c r="M132" s="589">
        <f t="shared" si="44"/>
        <v>0</v>
      </c>
      <c r="N132" s="62"/>
      <c r="O132"/>
      <c r="P132"/>
      <c r="Q132"/>
      <c r="R132"/>
      <c r="S132"/>
      <c r="T132"/>
    </row>
    <row r="133" spans="1:20">
      <c r="A133" s="269" t="s">
        <v>170</v>
      </c>
      <c r="B133" s="225" t="str">
        <f t="shared" si="42"/>
        <v>[Enduring Value adjustment]</v>
      </c>
      <c r="C133" s="155" t="s">
        <v>128</v>
      </c>
      <c r="D133" s="584">
        <f t="shared" si="43"/>
        <v>0</v>
      </c>
      <c r="E133" s="584">
        <f t="shared" si="43"/>
        <v>0</v>
      </c>
      <c r="F133" s="584">
        <f t="shared" si="43"/>
        <v>0</v>
      </c>
      <c r="G133" s="584">
        <f t="shared" si="43"/>
        <v>0</v>
      </c>
      <c r="H133" s="584">
        <f t="shared" si="43"/>
        <v>0</v>
      </c>
      <c r="I133" s="584">
        <f t="shared" si="43"/>
        <v>0</v>
      </c>
      <c r="J133" s="584">
        <f t="shared" si="43"/>
        <v>0</v>
      </c>
      <c r="K133" s="584">
        <f t="shared" si="43"/>
        <v>0</v>
      </c>
      <c r="L133" s="592">
        <f>SUM(D133:INDEX(D133:K133,0,MATCH('RFPR cover'!$C$7,$D$6:$K$6,0)))</f>
        <v>0</v>
      </c>
      <c r="M133" s="593">
        <f t="shared" si="44"/>
        <v>0</v>
      </c>
      <c r="N133" s="62"/>
      <c r="O133"/>
      <c r="P133"/>
      <c r="Q133"/>
      <c r="R133"/>
      <c r="S133"/>
      <c r="T133"/>
    </row>
    <row r="134" spans="1:20">
      <c r="A134" s="35"/>
      <c r="B134" s="782" t="s">
        <v>190</v>
      </c>
      <c r="C134" s="155" t="s">
        <v>128</v>
      </c>
      <c r="D134" s="102">
        <f>SUM(D128:D133)</f>
        <v>0</v>
      </c>
      <c r="E134" s="103">
        <f t="shared" ref="E134:K134" si="45">SUM(E128:E133)</f>
        <v>0</v>
      </c>
      <c r="F134" s="103">
        <f t="shared" si="45"/>
        <v>0</v>
      </c>
      <c r="G134" s="103">
        <f t="shared" si="45"/>
        <v>0</v>
      </c>
      <c r="H134" s="103">
        <f t="shared" si="45"/>
        <v>0</v>
      </c>
      <c r="I134" s="103">
        <f t="shared" si="45"/>
        <v>0</v>
      </c>
      <c r="J134" s="103">
        <f t="shared" si="45"/>
        <v>0</v>
      </c>
      <c r="K134" s="103">
        <f t="shared" si="45"/>
        <v>0</v>
      </c>
      <c r="L134" s="102">
        <f>SUM(D134:INDEX(D134:K134,0,MATCH('RFPR cover'!$C$7,$D$6:$K$6,0)))</f>
        <v>0</v>
      </c>
      <c r="M134" s="104">
        <f t="shared" si="44"/>
        <v>0</v>
      </c>
      <c r="N134" s="62"/>
    </row>
    <row r="135" spans="1:20">
      <c r="A135" s="35"/>
      <c r="B135" s="774"/>
    </row>
    <row r="136" spans="1:20">
      <c r="A136" s="35"/>
      <c r="B136" s="781" t="s">
        <v>198</v>
      </c>
      <c r="C136" s="159" t="s">
        <v>128</v>
      </c>
      <c r="D136" s="95">
        <f t="shared" ref="D136:K136" si="46">D134*D122</f>
        <v>0</v>
      </c>
      <c r="E136" s="96">
        <f t="shared" si="46"/>
        <v>0</v>
      </c>
      <c r="F136" s="96">
        <f t="shared" si="46"/>
        <v>0</v>
      </c>
      <c r="G136" s="96">
        <f t="shared" si="46"/>
        <v>0</v>
      </c>
      <c r="H136" s="96">
        <f t="shared" si="46"/>
        <v>0</v>
      </c>
      <c r="I136" s="96">
        <f t="shared" si="46"/>
        <v>0</v>
      </c>
      <c r="J136" s="96">
        <f t="shared" si="46"/>
        <v>0</v>
      </c>
      <c r="K136" s="96">
        <f t="shared" si="46"/>
        <v>0</v>
      </c>
      <c r="L136" s="95">
        <f>SUM(D136:INDEX(D136:K136,0,MATCH('RFPR cover'!$C$7,$D$6:$K$6,0)))</f>
        <v>0</v>
      </c>
      <c r="M136" s="97">
        <f>SUM(D136:K136)</f>
        <v>0</v>
      </c>
    </row>
    <row r="137" spans="1:20">
      <c r="A137" s="35"/>
      <c r="B137" s="781" t="s">
        <v>309</v>
      </c>
      <c r="C137" s="159" t="s">
        <v>128</v>
      </c>
      <c r="D137" s="92">
        <f t="shared" ref="D137:K137" si="47">D134*(1-D122)</f>
        <v>0</v>
      </c>
      <c r="E137" s="93">
        <f t="shared" si="47"/>
        <v>0</v>
      </c>
      <c r="F137" s="93">
        <f t="shared" si="47"/>
        <v>0</v>
      </c>
      <c r="G137" s="93">
        <f t="shared" si="47"/>
        <v>0</v>
      </c>
      <c r="H137" s="93">
        <f t="shared" si="47"/>
        <v>0</v>
      </c>
      <c r="I137" s="93">
        <f t="shared" si="47"/>
        <v>0</v>
      </c>
      <c r="J137" s="93">
        <f t="shared" si="47"/>
        <v>0</v>
      </c>
      <c r="K137" s="93">
        <f t="shared" si="47"/>
        <v>0</v>
      </c>
      <c r="L137" s="92">
        <f>SUM(D137:INDEX(D137:K137,0,MATCH('RFPR cover'!$C$7,$D$6:$K$6,0)))</f>
        <v>0</v>
      </c>
      <c r="M137" s="94">
        <f>SUM(D137:K137)</f>
        <v>0</v>
      </c>
    </row>
    <row r="138" spans="1:20">
      <c r="A138" s="35"/>
      <c r="B138" s="774"/>
    </row>
    <row r="139" spans="1:20">
      <c r="A139" s="35"/>
      <c r="B139" s="782" t="s">
        <v>181</v>
      </c>
    </row>
    <row r="140" spans="1:20">
      <c r="A140" s="35"/>
      <c r="B140" s="774" t="s">
        <v>180</v>
      </c>
      <c r="C140" s="155" t="s">
        <v>128</v>
      </c>
      <c r="D140" s="95">
        <f>D124+D136</f>
        <v>0</v>
      </c>
      <c r="E140" s="96">
        <f t="shared" ref="E140:K140" si="48">E124+E136</f>
        <v>0</v>
      </c>
      <c r="F140" s="96">
        <f t="shared" si="48"/>
        <v>0</v>
      </c>
      <c r="G140" s="96">
        <f t="shared" si="48"/>
        <v>0</v>
      </c>
      <c r="H140" s="96">
        <f t="shared" si="48"/>
        <v>0</v>
      </c>
      <c r="I140" s="96">
        <f t="shared" si="48"/>
        <v>0</v>
      </c>
      <c r="J140" s="96">
        <f t="shared" si="48"/>
        <v>0</v>
      </c>
      <c r="K140" s="96">
        <f t="shared" si="48"/>
        <v>0</v>
      </c>
      <c r="L140" s="95">
        <f>SUM(D140:INDEX(D140:K140,0,MATCH('RFPR cover'!$C$7,$D$6:$K$6,0)))</f>
        <v>0</v>
      </c>
      <c r="M140" s="97">
        <f>SUM(D140:K140)</f>
        <v>0</v>
      </c>
    </row>
    <row r="141" spans="1:20">
      <c r="A141" s="35"/>
      <c r="B141" s="774" t="s">
        <v>280</v>
      </c>
      <c r="C141" s="155" t="s">
        <v>128</v>
      </c>
      <c r="D141" s="98">
        <f>D125+D137</f>
        <v>0</v>
      </c>
      <c r="E141" s="99">
        <f t="shared" ref="E141:K141" si="49">E125+E137</f>
        <v>0</v>
      </c>
      <c r="F141" s="99">
        <f t="shared" si="49"/>
        <v>0</v>
      </c>
      <c r="G141" s="99">
        <f t="shared" si="49"/>
        <v>0</v>
      </c>
      <c r="H141" s="99">
        <f t="shared" si="49"/>
        <v>0</v>
      </c>
      <c r="I141" s="99">
        <f t="shared" si="49"/>
        <v>0</v>
      </c>
      <c r="J141" s="99">
        <f t="shared" si="49"/>
        <v>0</v>
      </c>
      <c r="K141" s="99">
        <f t="shared" si="49"/>
        <v>0</v>
      </c>
      <c r="L141" s="98">
        <f>SUM(D141:INDEX(D141:K141,0,MATCH('RFPR cover'!$C$7,$D$6:$K$6,0)))</f>
        <v>0</v>
      </c>
      <c r="M141" s="100">
        <f>SUM(D141:K141)</f>
        <v>0</v>
      </c>
    </row>
    <row r="142" spans="1:20">
      <c r="A142" s="35"/>
      <c r="B142" s="782" t="s">
        <v>11</v>
      </c>
      <c r="C142" s="156" t="s">
        <v>128</v>
      </c>
      <c r="D142" s="139">
        <f>SUM(D140:D141)</f>
        <v>0</v>
      </c>
      <c r="E142" s="140">
        <f t="shared" ref="E142:K142" si="50">SUM(E140:E141)</f>
        <v>0</v>
      </c>
      <c r="F142" s="140">
        <f t="shared" si="50"/>
        <v>0</v>
      </c>
      <c r="G142" s="140">
        <f t="shared" si="50"/>
        <v>0</v>
      </c>
      <c r="H142" s="140">
        <f t="shared" si="50"/>
        <v>0</v>
      </c>
      <c r="I142" s="140">
        <f t="shared" si="50"/>
        <v>0</v>
      </c>
      <c r="J142" s="140">
        <f t="shared" si="50"/>
        <v>0</v>
      </c>
      <c r="K142" s="140">
        <f t="shared" si="50"/>
        <v>0</v>
      </c>
      <c r="L142" s="139">
        <f>SUM(D142:INDEX(D142:K142,0,MATCH('RFPR cover'!$C$7,$D$6:$K$6,0)))</f>
        <v>0</v>
      </c>
      <c r="M142" s="141">
        <f>SUM(D142:K142)</f>
        <v>0</v>
      </c>
    </row>
    <row r="143" spans="1:20">
      <c r="A143" s="35"/>
      <c r="B143" s="782"/>
      <c r="C143" s="156"/>
      <c r="D143" s="156"/>
      <c r="E143" s="156"/>
      <c r="F143" s="156"/>
      <c r="G143" s="156"/>
      <c r="H143" s="156"/>
      <c r="I143" s="156"/>
      <c r="J143" s="156"/>
      <c r="K143" s="156"/>
      <c r="L143" s="156"/>
      <c r="M143" s="156"/>
    </row>
    <row r="144" spans="1:20">
      <c r="A144" s="35"/>
      <c r="B144" s="777" t="s">
        <v>257</v>
      </c>
      <c r="C144" s="150"/>
      <c r="D144" s="81"/>
      <c r="E144" s="81"/>
      <c r="F144" s="81"/>
      <c r="G144" s="81"/>
      <c r="H144" s="81"/>
      <c r="I144" s="81"/>
      <c r="J144" s="81"/>
      <c r="K144" s="81"/>
      <c r="L144" s="81"/>
      <c r="M144" s="81"/>
      <c r="N144" s="81"/>
    </row>
    <row r="145" spans="1:20">
      <c r="A145" s="35"/>
      <c r="B145" s="774"/>
      <c r="O145"/>
      <c r="P145"/>
      <c r="Q145"/>
      <c r="R145"/>
      <c r="S145"/>
      <c r="T145"/>
    </row>
    <row r="146" spans="1:20">
      <c r="A146" s="35"/>
      <c r="B146" s="782" t="s">
        <v>181</v>
      </c>
    </row>
    <row r="147" spans="1:20">
      <c r="A147" s="35"/>
      <c r="B147" s="774" t="s">
        <v>180</v>
      </c>
      <c r="C147" s="155" t="s">
        <v>128</v>
      </c>
      <c r="D147" s="95">
        <f>D112+D140</f>
        <v>1.3437214567298073</v>
      </c>
      <c r="E147" s="96">
        <f t="shared" ref="E147:K147" si="51">E112+E140</f>
        <v>-3.581232600915027</v>
      </c>
      <c r="F147" s="96">
        <f t="shared" si="51"/>
        <v>-6.4177405597271964</v>
      </c>
      <c r="G147" s="96">
        <f t="shared" si="51"/>
        <v>8.779877277230117</v>
      </c>
      <c r="H147" s="96">
        <f t="shared" si="51"/>
        <v>3.2389094867777395</v>
      </c>
      <c r="I147" s="96">
        <f t="shared" si="51"/>
        <v>5.8866489885421389</v>
      </c>
      <c r="J147" s="96">
        <f t="shared" si="51"/>
        <v>-1.9673983622941025</v>
      </c>
      <c r="K147" s="96">
        <f t="shared" si="51"/>
        <v>-2.0953856647398803</v>
      </c>
      <c r="L147" s="95">
        <f>SUM(D147:INDEX(D147:K147,0,MATCH('RFPR cover'!$C$7,$D$6:$K$6,0)))</f>
        <v>9.2501840486375784</v>
      </c>
      <c r="M147" s="97">
        <f>SUM(D147:K147)</f>
        <v>5.1874000216035956</v>
      </c>
    </row>
    <row r="148" spans="1:20">
      <c r="A148" s="35"/>
      <c r="B148" s="774" t="s">
        <v>280</v>
      </c>
      <c r="C148" s="155" t="s">
        <v>128</v>
      </c>
      <c r="D148" s="98">
        <f t="shared" ref="D148:K148" si="52">D113+D141</f>
        <v>3.135350065702883</v>
      </c>
      <c r="E148" s="99">
        <f t="shared" si="52"/>
        <v>-8.3562094021350628</v>
      </c>
      <c r="F148" s="99">
        <f t="shared" si="52"/>
        <v>-14.974727972696789</v>
      </c>
      <c r="G148" s="99">
        <f t="shared" si="52"/>
        <v>20.486380313536934</v>
      </c>
      <c r="H148" s="99">
        <f t="shared" si="52"/>
        <v>7.5574554691480582</v>
      </c>
      <c r="I148" s="99">
        <f t="shared" si="52"/>
        <v>13.735514306598322</v>
      </c>
      <c r="J148" s="99">
        <f t="shared" si="52"/>
        <v>-4.5905961786862388</v>
      </c>
      <c r="K148" s="99">
        <f t="shared" si="52"/>
        <v>-4.8892332177263862</v>
      </c>
      <c r="L148" s="98">
        <f>SUM(D148:INDEX(D148:K148,0,MATCH('RFPR cover'!$C$7,$D$6:$K$6,0)))</f>
        <v>21.583762780154345</v>
      </c>
      <c r="M148" s="100">
        <f>SUM(D148:K148)</f>
        <v>12.103933383741719</v>
      </c>
    </row>
    <row r="149" spans="1:20">
      <c r="A149" s="35"/>
      <c r="B149" s="782" t="s">
        <v>11</v>
      </c>
      <c r="C149" s="156" t="s">
        <v>128</v>
      </c>
      <c r="D149" s="139">
        <f>SUM(D147:D148)</f>
        <v>4.4790715224326902</v>
      </c>
      <c r="E149" s="140">
        <f t="shared" ref="E149:K149" si="53">SUM(E147:E148)</f>
        <v>-11.937442003050091</v>
      </c>
      <c r="F149" s="140">
        <f t="shared" si="53"/>
        <v>-21.392468532423983</v>
      </c>
      <c r="G149" s="140">
        <f t="shared" si="53"/>
        <v>29.266257590767051</v>
      </c>
      <c r="H149" s="140">
        <f t="shared" si="53"/>
        <v>10.796364955925798</v>
      </c>
      <c r="I149" s="140">
        <f t="shared" si="53"/>
        <v>19.62216329514046</v>
      </c>
      <c r="J149" s="140">
        <f t="shared" si="53"/>
        <v>-6.5579945409803413</v>
      </c>
      <c r="K149" s="140">
        <f t="shared" si="53"/>
        <v>-6.9846188824662665</v>
      </c>
      <c r="L149" s="139">
        <f>SUM(D149:INDEX(D149:K149,0,MATCH('RFPR cover'!$C$7,$D$6:$K$6,0)))</f>
        <v>30.833946828791923</v>
      </c>
      <c r="M149" s="141">
        <f>SUM(D149:K149)</f>
        <v>17.291333405345313</v>
      </c>
    </row>
    <row r="150" spans="1:20">
      <c r="A150" s="35"/>
      <c r="B150" s="781"/>
      <c r="D150" s="136"/>
      <c r="E150" s="136"/>
      <c r="F150" s="136"/>
      <c r="G150" s="136"/>
      <c r="H150" s="136"/>
      <c r="I150" s="136"/>
      <c r="J150" s="136"/>
      <c r="K150" s="136"/>
    </row>
    <row r="151" spans="1:20">
      <c r="A151" s="35"/>
      <c r="B151" s="774"/>
    </row>
    <row r="152" spans="1:20">
      <c r="A152" s="81"/>
      <c r="B152" s="773"/>
      <c r="C152" s="150"/>
      <c r="D152" s="81"/>
      <c r="E152" s="81"/>
      <c r="F152" s="81"/>
      <c r="G152" s="81"/>
      <c r="H152" s="81"/>
      <c r="I152" s="81"/>
      <c r="J152" s="81"/>
      <c r="K152" s="81"/>
      <c r="L152" s="81"/>
      <c r="M152" s="81"/>
      <c r="N152" s="81"/>
    </row>
    <row r="153" spans="1:20">
      <c r="B153" s="774"/>
    </row>
    <row r="154" spans="1:20">
      <c r="B154" s="774"/>
    </row>
  </sheetData>
  <mergeCells count="4">
    <mergeCell ref="O14:Q14"/>
    <mergeCell ref="O42:Q42"/>
    <mergeCell ref="O92:Q92"/>
    <mergeCell ref="O120:Q120"/>
  </mergeCells>
  <conditionalFormatting sqref="D6:K6">
    <cfRule type="expression" dxfId="61" priority="7">
      <formula>AND(D$5="Actuals",E$5="Forecast")</formula>
    </cfRule>
  </conditionalFormatting>
  <conditionalFormatting sqref="B118:M142">
    <cfRule type="expression" dxfId="60" priority="3">
      <formula>$B$38="n/a"</formula>
    </cfRule>
  </conditionalFormatting>
  <conditionalFormatting sqref="D5:K5">
    <cfRule type="expression" dxfId="59" priority="2">
      <formula>AND(D$5="Actuals",E$5="Forecast")</formula>
    </cfRule>
  </conditionalFormatting>
  <conditionalFormatting sqref="B38:N64">
    <cfRule type="expression" dxfId="58"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V114"/>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1.36328125" bestFit="1" customWidth="1"/>
    <col min="3" max="3" width="13.36328125" style="136" customWidth="1"/>
    <col min="4" max="11" width="11.08984375" customWidth="1"/>
    <col min="12" max="12" width="12.90625" customWidth="1"/>
    <col min="13" max="13" width="12.7265625" customWidth="1"/>
    <col min="14" max="14" width="5" customWidth="1"/>
  </cols>
  <sheetData>
    <row r="1" spans="1:21" s="37" customFormat="1" ht="21">
      <c r="A1" s="932" t="s">
        <v>262</v>
      </c>
      <c r="B1" s="933"/>
      <c r="C1" s="153"/>
      <c r="D1" s="131"/>
      <c r="E1" s="131"/>
      <c r="F1" s="131"/>
      <c r="G1" s="131"/>
      <c r="H1" s="131"/>
      <c r="I1" s="127"/>
      <c r="J1" s="127"/>
      <c r="K1" s="127"/>
      <c r="L1" s="127"/>
      <c r="M1" s="127"/>
      <c r="N1" s="128"/>
    </row>
    <row r="2" spans="1:21" s="37" customFormat="1" ht="21">
      <c r="A2" s="934" t="str">
        <f>'RFPR cover'!C5</f>
        <v>WPD-SWEST</v>
      </c>
      <c r="B2" s="935"/>
      <c r="C2" s="154"/>
      <c r="D2" s="36"/>
      <c r="E2" s="36"/>
      <c r="F2" s="36"/>
      <c r="G2" s="36"/>
      <c r="H2" s="36"/>
      <c r="I2" s="27"/>
      <c r="J2" s="27"/>
      <c r="K2" s="27"/>
      <c r="L2" s="27"/>
      <c r="M2" s="27"/>
      <c r="N2" s="123"/>
    </row>
    <row r="3" spans="1:21" s="37" customFormat="1" ht="21">
      <c r="A3" s="936">
        <f>'RFPR cover'!C7</f>
        <v>2021</v>
      </c>
      <c r="B3" s="937"/>
      <c r="C3" s="135"/>
      <c r="D3" s="132"/>
      <c r="E3" s="132"/>
      <c r="F3" s="132"/>
      <c r="G3" s="132"/>
      <c r="H3" s="132"/>
      <c r="I3" s="28"/>
      <c r="J3" s="28"/>
      <c r="K3" s="28"/>
      <c r="L3" s="28"/>
      <c r="M3" s="28"/>
      <c r="N3" s="125"/>
    </row>
    <row r="4" spans="1:21" s="2" customFormat="1" ht="12.75" customHeight="1">
      <c r="B4" s="3"/>
      <c r="C4" s="136"/>
    </row>
    <row r="5" spans="1:21" s="2" customFormat="1" ht="12.75" customHeight="1">
      <c r="B5" s="3"/>
      <c r="C5" s="136"/>
      <c r="D5" s="389" t="str">
        <f>IF(D6&lt;='RFPR cover'!$C$7,"Actuals","Forecast")</f>
        <v>Actuals</v>
      </c>
      <c r="E5" s="390" t="str">
        <f>IF(E6&lt;='RFPR cover'!$C$7,"Actuals","Forecast")</f>
        <v>Actuals</v>
      </c>
      <c r="F5" s="390" t="str">
        <f>IF(F6&lt;='RFPR cover'!$C$7,"Actuals","Forecast")</f>
        <v>Actuals</v>
      </c>
      <c r="G5" s="390" t="str">
        <f>IF(G6&lt;='RFPR cover'!$C$7,"Actuals","Forecast")</f>
        <v>Actuals</v>
      </c>
      <c r="H5" s="390" t="str">
        <f>IF(H6&lt;='RFPR cover'!$C$7,"Actuals","Forecast")</f>
        <v>Actuals</v>
      </c>
      <c r="I5" s="390" t="str">
        <f>IF(I6&lt;='RFPR cover'!$C$7,"Actuals","Forecast")</f>
        <v>Actuals</v>
      </c>
      <c r="J5" s="390" t="str">
        <f>IF(J6&lt;='RFPR cover'!$C$7,"Actuals","Forecast")</f>
        <v>Forecast</v>
      </c>
      <c r="K5" s="391" t="str">
        <f>IF(K6&lt;='RFPR cover'!$C$7,"Actuals","Forecast")</f>
        <v>Forecast</v>
      </c>
    </row>
    <row r="6" spans="1:21" s="2" customFormat="1" ht="29.25" customHeigh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2021</v>
      </c>
      <c r="M6" s="119" t="s">
        <v>109</v>
      </c>
    </row>
    <row r="7" spans="1:21" s="2" customFormat="1">
      <c r="A7" s="35"/>
      <c r="C7" s="136"/>
    </row>
    <row r="8" spans="1:21" s="2" customFormat="1">
      <c r="A8" s="35"/>
      <c r="B8" s="116" t="s">
        <v>199</v>
      </c>
      <c r="C8" s="150"/>
      <c r="D8" s="80"/>
      <c r="E8" s="80"/>
      <c r="F8" s="80"/>
      <c r="G8" s="80"/>
      <c r="H8" s="80"/>
      <c r="I8" s="80"/>
      <c r="J8" s="80"/>
      <c r="K8" s="80"/>
      <c r="L8" s="80"/>
      <c r="M8" s="80"/>
      <c r="N8" s="80"/>
    </row>
    <row r="9" spans="1:21" s="2" customFormat="1">
      <c r="A9" s="35"/>
      <c r="B9" s="367" t="s">
        <v>390</v>
      </c>
      <c r="C9" s="367"/>
      <c r="D9" s="367"/>
      <c r="E9" s="367"/>
      <c r="F9" s="367"/>
      <c r="G9" s="367"/>
      <c r="H9" s="367"/>
      <c r="I9" s="367"/>
      <c r="J9" s="367"/>
      <c r="K9" s="367"/>
      <c r="L9" s="367"/>
      <c r="M9" s="367"/>
      <c r="N9" s="367"/>
    </row>
    <row r="10" spans="1:21" s="2" customFormat="1">
      <c r="A10" s="35"/>
      <c r="B10" s="12"/>
      <c r="C10" s="136"/>
    </row>
    <row r="11" spans="1:21" s="2" customFormat="1">
      <c r="A11" s="224" t="s">
        <v>151</v>
      </c>
      <c r="B11" s="35" t="str">
        <f>Data!B153</f>
        <v>Broad measure of customer service</v>
      </c>
      <c r="C11" s="155" t="str">
        <f>'RFPR cover'!$C$14</f>
        <v>£m 12/13</v>
      </c>
      <c r="D11" s="594">
        <v>3.7587605308654028</v>
      </c>
      <c r="E11" s="595">
        <v>3.8070000000000004</v>
      </c>
      <c r="F11" s="595">
        <v>3.8417355976878853</v>
      </c>
      <c r="G11" s="595">
        <v>3.9018000000000028</v>
      </c>
      <c r="H11" s="595">
        <v>4.0716666666666672</v>
      </c>
      <c r="I11" s="595">
        <v>4.0716666666666672</v>
      </c>
      <c r="J11" s="595">
        <v>4.0716666666666672</v>
      </c>
      <c r="K11" s="595">
        <v>4.0716666666666672</v>
      </c>
      <c r="L11" s="671">
        <f>SUM(D11:INDEX(D11:K11,0,MATCH('RFPR cover'!$C$7,$D$6:$K$6,0)))</f>
        <v>23.452629461886623</v>
      </c>
      <c r="M11" s="672">
        <f t="shared" ref="M11:M17" si="1">SUM(D11:K11)</f>
        <v>31.595962795219954</v>
      </c>
      <c r="P11" s="947"/>
      <c r="Q11" s="947"/>
      <c r="R11" s="947"/>
      <c r="S11" s="947"/>
      <c r="T11" s="947"/>
      <c r="U11" s="947"/>
    </row>
    <row r="12" spans="1:21" s="2" customFormat="1">
      <c r="A12" s="224" t="s">
        <v>152</v>
      </c>
      <c r="B12" s="35" t="str">
        <f>Data!B154</f>
        <v>Interruptions-related quality of service</v>
      </c>
      <c r="C12" s="155" t="str">
        <f>'RFPR cover'!$C$14</f>
        <v>£m 12/13</v>
      </c>
      <c r="D12" s="596">
        <v>4.8155273776389098</v>
      </c>
      <c r="E12" s="597">
        <v>3.3753648471832101</v>
      </c>
      <c r="F12" s="597">
        <v>-0.36026130831568937</v>
      </c>
      <c r="G12" s="597">
        <v>3.2977777777777764</v>
      </c>
      <c r="H12" s="597">
        <v>5.466624438229843</v>
      </c>
      <c r="I12" s="597">
        <v>1.1300817813562745</v>
      </c>
      <c r="J12" s="597">
        <v>2.3347654912399856</v>
      </c>
      <c r="K12" s="597">
        <v>2.1705679603757875</v>
      </c>
      <c r="L12" s="675">
        <f>SUM(D12:INDEX(D12:K12,0,MATCH('RFPR cover'!$C$7,$D$6:$K$6,0)))</f>
        <v>17.725114913870325</v>
      </c>
      <c r="M12" s="676">
        <f t="shared" si="1"/>
        <v>22.230448365486097</v>
      </c>
      <c r="P12" s="947"/>
      <c r="Q12" s="947"/>
      <c r="R12" s="947"/>
      <c r="S12" s="947"/>
      <c r="T12" s="947"/>
      <c r="U12" s="947"/>
    </row>
    <row r="13" spans="1:21" s="2" customFormat="1">
      <c r="A13" s="224" t="s">
        <v>153</v>
      </c>
      <c r="B13" s="35" t="str">
        <f>Data!B155</f>
        <v>Incentive on connections engagement</v>
      </c>
      <c r="C13" s="155" t="str">
        <f>'RFPR cover'!$C$14</f>
        <v>£m 12/13</v>
      </c>
      <c r="D13" s="596">
        <v>0</v>
      </c>
      <c r="E13" s="597">
        <v>0</v>
      </c>
      <c r="F13" s="597">
        <v>0</v>
      </c>
      <c r="G13" s="597">
        <v>0</v>
      </c>
      <c r="H13" s="597">
        <v>0</v>
      </c>
      <c r="I13" s="597">
        <v>0</v>
      </c>
      <c r="J13" s="597">
        <v>0</v>
      </c>
      <c r="K13" s="597">
        <v>0</v>
      </c>
      <c r="L13" s="675">
        <f>SUM(D13:INDEX(D13:K13,0,MATCH('RFPR cover'!$C$7,$D$6:$K$6,0)))</f>
        <v>0</v>
      </c>
      <c r="M13" s="676">
        <f t="shared" si="1"/>
        <v>0</v>
      </c>
      <c r="P13" s="947"/>
      <c r="Q13" s="947"/>
      <c r="R13" s="947"/>
      <c r="S13" s="947"/>
      <c r="T13" s="947"/>
      <c r="U13" s="947"/>
    </row>
    <row r="14" spans="1:21" s="2" customFormat="1">
      <c r="A14" s="224" t="s">
        <v>168</v>
      </c>
      <c r="B14" s="35" t="str">
        <f>Data!B156</f>
        <v>Time to Connect Incentive</v>
      </c>
      <c r="C14" s="155" t="str">
        <f>'RFPR cover'!$C$14</f>
        <v>£m 12/13</v>
      </c>
      <c r="D14" s="596">
        <v>1.1355000000000002</v>
      </c>
      <c r="E14" s="597">
        <v>0.95282322540283193</v>
      </c>
      <c r="F14" s="597">
        <v>1.2</v>
      </c>
      <c r="G14" s="597">
        <v>1.2</v>
      </c>
      <c r="H14" s="597">
        <v>1.2</v>
      </c>
      <c r="I14" s="597">
        <v>0.73096315986633431</v>
      </c>
      <c r="J14" s="597">
        <v>1.0008021254151671</v>
      </c>
      <c r="K14" s="597">
        <v>1.0008021254151671</v>
      </c>
      <c r="L14" s="675">
        <f>SUM(D14:INDEX(D14:K14,0,MATCH('RFPR cover'!$C$7,$D$6:$K$6,0)))</f>
        <v>6.4192863852691673</v>
      </c>
      <c r="M14" s="676">
        <f t="shared" si="1"/>
        <v>8.4208906360995019</v>
      </c>
      <c r="P14" s="947"/>
      <c r="Q14" s="947"/>
      <c r="R14" s="947"/>
      <c r="S14" s="947"/>
      <c r="T14" s="947"/>
      <c r="U14" s="947"/>
    </row>
    <row r="15" spans="1:21" s="2" customFormat="1">
      <c r="A15" s="224" t="s">
        <v>169</v>
      </c>
      <c r="B15" s="35" t="str">
        <f>Data!B157</f>
        <v>Losses discretionary reward scheme</v>
      </c>
      <c r="C15" s="155" t="str">
        <f>'RFPR cover'!$C$14</f>
        <v>£m 12/13</v>
      </c>
      <c r="D15" s="596">
        <v>0</v>
      </c>
      <c r="E15" s="597">
        <v>0.04</v>
      </c>
      <c r="F15" s="597">
        <v>0</v>
      </c>
      <c r="G15" s="597">
        <v>0</v>
      </c>
      <c r="H15" s="597">
        <v>0</v>
      </c>
      <c r="I15" s="597">
        <v>0</v>
      </c>
      <c r="J15" s="597">
        <v>0</v>
      </c>
      <c r="K15" s="597">
        <v>0</v>
      </c>
      <c r="L15" s="675">
        <f>SUM(D15:INDEX(D15:K15,0,MATCH('RFPR cover'!$C$7,$D$6:$K$6,0)))</f>
        <v>0.04</v>
      </c>
      <c r="M15" s="676">
        <f t="shared" si="1"/>
        <v>0.04</v>
      </c>
      <c r="P15" s="947"/>
      <c r="Q15" s="947"/>
      <c r="R15" s="947"/>
      <c r="S15" s="947"/>
      <c r="T15" s="947"/>
      <c r="U15" s="947"/>
    </row>
    <row r="16" spans="1:21" s="2" customFormat="1">
      <c r="A16" s="224" t="s">
        <v>170</v>
      </c>
      <c r="B16" s="35" t="str">
        <f>Data!B158</f>
        <v/>
      </c>
      <c r="C16" s="155" t="str">
        <f>'RFPR cover'!$C$14</f>
        <v>£m 12/13</v>
      </c>
      <c r="D16" s="596"/>
      <c r="E16" s="597"/>
      <c r="F16" s="597"/>
      <c r="G16" s="597"/>
      <c r="H16" s="597"/>
      <c r="I16" s="597"/>
      <c r="J16" s="597"/>
      <c r="K16" s="597"/>
      <c r="L16" s="675">
        <f>SUM(D16:INDEX(D16:K16,0,MATCH('RFPR cover'!$C$7,$D$6:$K$6,0)))</f>
        <v>0</v>
      </c>
      <c r="M16" s="676">
        <f t="shared" si="1"/>
        <v>0</v>
      </c>
    </row>
    <row r="17" spans="1:16" s="2" customFormat="1">
      <c r="A17" s="224" t="s">
        <v>478</v>
      </c>
      <c r="B17" s="35" t="str">
        <f>Data!B159</f>
        <v/>
      </c>
      <c r="C17" s="155" t="str">
        <f>'RFPR cover'!$C$14</f>
        <v>£m 12/13</v>
      </c>
      <c r="D17" s="850"/>
      <c r="E17" s="851"/>
      <c r="F17" s="851"/>
      <c r="G17" s="851"/>
      <c r="H17" s="851"/>
      <c r="I17" s="851"/>
      <c r="J17" s="851"/>
      <c r="K17" s="852"/>
      <c r="L17" s="675">
        <f>SUM(D17:INDEX(D17:K17,0,MATCH('RFPR cover'!$C$7,$D$6:$K$6,0)))</f>
        <v>0</v>
      </c>
      <c r="M17" s="676">
        <f t="shared" si="1"/>
        <v>0</v>
      </c>
    </row>
    <row r="18" spans="1:16" s="2" customFormat="1">
      <c r="A18" s="35"/>
      <c r="B18" s="12" t="s">
        <v>203</v>
      </c>
      <c r="C18" s="156" t="str">
        <f>'RFPR cover'!$C$14</f>
        <v>£m 12/13</v>
      </c>
      <c r="D18" s="610">
        <f>SUM(D11:D17)</f>
        <v>9.7097879085043139</v>
      </c>
      <c r="E18" s="610">
        <f t="shared" ref="E18:K18" si="2">SUM(E11:E17)</f>
        <v>8.1751880725860424</v>
      </c>
      <c r="F18" s="610">
        <f t="shared" si="2"/>
        <v>4.6814742893721961</v>
      </c>
      <c r="G18" s="610">
        <f t="shared" si="2"/>
        <v>8.3995777777777789</v>
      </c>
      <c r="H18" s="610">
        <f t="shared" si="2"/>
        <v>10.73829110489651</v>
      </c>
      <c r="I18" s="610">
        <f t="shared" si="2"/>
        <v>5.9327116078892761</v>
      </c>
      <c r="J18" s="610">
        <f t="shared" si="2"/>
        <v>7.4072342833218201</v>
      </c>
      <c r="K18" s="610">
        <f t="shared" si="2"/>
        <v>7.2430367524576225</v>
      </c>
      <c r="L18" s="610">
        <f>SUM(L11:L17)</f>
        <v>47.637030761026111</v>
      </c>
      <c r="M18" s="610">
        <f>SUM(M11:M17)</f>
        <v>62.287301796805551</v>
      </c>
    </row>
    <row r="19" spans="1:16" s="2" customFormat="1">
      <c r="A19" s="35"/>
      <c r="B19" s="12"/>
      <c r="C19" s="156"/>
      <c r="D19" s="156"/>
      <c r="E19" s="156"/>
      <c r="F19" s="156"/>
      <c r="G19" s="156"/>
      <c r="H19" s="156"/>
      <c r="I19" s="156"/>
      <c r="J19" s="156"/>
      <c r="K19" s="156"/>
      <c r="L19" s="156"/>
      <c r="M19" s="156"/>
    </row>
    <row r="20" spans="1:16" s="2" customFormat="1">
      <c r="A20" s="35"/>
      <c r="B20" s="12" t="s">
        <v>372</v>
      </c>
      <c r="C20" s="156"/>
      <c r="D20" s="156"/>
      <c r="E20" s="156"/>
      <c r="F20" s="156"/>
      <c r="G20" s="156"/>
      <c r="H20" s="156"/>
      <c r="I20" s="156"/>
      <c r="J20" s="156"/>
      <c r="K20" s="156"/>
      <c r="L20" s="156"/>
      <c r="M20" s="156"/>
    </row>
    <row r="21" spans="1:16" s="2" customFormat="1">
      <c r="A21" s="269" t="str">
        <f>A11</f>
        <v>a</v>
      </c>
      <c r="B21" s="997" t="s">
        <v>638</v>
      </c>
      <c r="C21" s="997"/>
      <c r="D21" s="997"/>
      <c r="E21" s="997"/>
      <c r="F21" s="997"/>
      <c r="G21" s="997"/>
      <c r="H21" s="997"/>
      <c r="I21" s="997"/>
      <c r="J21" s="997"/>
      <c r="K21" s="997"/>
      <c r="L21" s="997"/>
      <c r="M21" s="997"/>
    </row>
    <row r="22" spans="1:16" s="2" customFormat="1">
      <c r="A22" s="269" t="str">
        <f>A12</f>
        <v>b</v>
      </c>
      <c r="B22" s="997"/>
      <c r="C22" s="997"/>
      <c r="D22" s="997"/>
      <c r="E22" s="997"/>
      <c r="F22" s="997"/>
      <c r="G22" s="997"/>
      <c r="H22" s="997"/>
      <c r="I22" s="997"/>
      <c r="J22" s="997"/>
      <c r="K22" s="997"/>
      <c r="L22" s="997"/>
      <c r="M22" s="997"/>
    </row>
    <row r="23" spans="1:16" s="2" customFormat="1">
      <c r="A23" s="269" t="str">
        <f>A13</f>
        <v>c</v>
      </c>
      <c r="B23" s="997"/>
      <c r="C23" s="997"/>
      <c r="D23" s="997"/>
      <c r="E23" s="997"/>
      <c r="F23" s="997"/>
      <c r="G23" s="997"/>
      <c r="H23" s="997"/>
      <c r="I23" s="997"/>
      <c r="J23" s="997"/>
      <c r="K23" s="997"/>
      <c r="L23" s="997"/>
      <c r="M23" s="997"/>
    </row>
    <row r="24" spans="1:16" s="2" customFormat="1">
      <c r="A24" s="269" t="str">
        <f>A14</f>
        <v>d</v>
      </c>
      <c r="B24" s="997"/>
      <c r="C24" s="997"/>
      <c r="D24" s="997"/>
      <c r="E24" s="997"/>
      <c r="F24" s="997"/>
      <c r="G24" s="997"/>
      <c r="H24" s="997"/>
      <c r="I24" s="997"/>
      <c r="J24" s="997"/>
      <c r="K24" s="997"/>
      <c r="L24" s="997"/>
      <c r="M24" s="997"/>
    </row>
    <row r="25" spans="1:16" s="2" customFormat="1">
      <c r="A25" s="269" t="str">
        <f>A15</f>
        <v>e</v>
      </c>
      <c r="B25" s="997"/>
      <c r="C25" s="997"/>
      <c r="D25" s="997"/>
      <c r="E25" s="997"/>
      <c r="F25" s="997"/>
      <c r="G25" s="997"/>
      <c r="H25" s="997"/>
      <c r="I25" s="997"/>
      <c r="J25" s="997"/>
      <c r="K25" s="997"/>
      <c r="L25" s="997"/>
      <c r="M25" s="997"/>
    </row>
    <row r="26" spans="1:16" s="2" customFormat="1">
      <c r="A26" s="269" t="s">
        <v>170</v>
      </c>
      <c r="B26" s="846"/>
      <c r="C26" s="846"/>
      <c r="D26" s="846"/>
      <c r="E26" s="846"/>
      <c r="F26" s="846"/>
      <c r="G26" s="846"/>
      <c r="H26" s="846"/>
      <c r="I26" s="846"/>
      <c r="J26" s="846"/>
      <c r="K26" s="846"/>
      <c r="L26" s="846"/>
      <c r="M26" s="846"/>
    </row>
    <row r="27" spans="1:16" s="2" customFormat="1">
      <c r="A27" s="269" t="s">
        <v>478</v>
      </c>
      <c r="B27" s="846"/>
      <c r="C27" s="846"/>
      <c r="D27" s="846"/>
      <c r="E27" s="846"/>
      <c r="F27" s="846"/>
      <c r="G27" s="846"/>
      <c r="H27" s="846"/>
      <c r="I27" s="846"/>
      <c r="J27" s="846"/>
      <c r="K27" s="846"/>
      <c r="L27" s="846"/>
      <c r="M27" s="846"/>
    </row>
    <row r="28" spans="1:16" s="533" customFormat="1">
      <c r="A28" s="38"/>
      <c r="B28" s="537"/>
      <c r="C28" s="537"/>
      <c r="D28" s="537"/>
      <c r="E28" s="537"/>
      <c r="F28" s="537"/>
      <c r="G28" s="537"/>
      <c r="H28" s="537"/>
      <c r="I28" s="537"/>
      <c r="J28" s="537"/>
      <c r="K28" s="537"/>
      <c r="L28" s="537"/>
      <c r="M28" s="537"/>
    </row>
    <row r="29" spans="1:16" s="2" customFormat="1">
      <c r="B29" s="12"/>
      <c r="C29" s="136"/>
      <c r="D29" s="51"/>
      <c r="E29" s="51"/>
      <c r="F29" s="51"/>
      <c r="G29" s="51"/>
      <c r="H29" s="51"/>
      <c r="I29" s="51"/>
      <c r="J29" s="51"/>
      <c r="K29" s="51"/>
    </row>
    <row r="30" spans="1:16" s="2" customFormat="1">
      <c r="A30" s="35"/>
      <c r="B30" s="116" t="s">
        <v>200</v>
      </c>
      <c r="C30" s="150"/>
      <c r="D30" s="80"/>
      <c r="E30" s="80"/>
      <c r="F30" s="80"/>
      <c r="G30" s="80"/>
      <c r="H30" s="80"/>
      <c r="I30" s="80"/>
      <c r="J30" s="80"/>
      <c r="K30" s="80"/>
      <c r="L30" s="80"/>
      <c r="M30" s="80"/>
      <c r="N30" s="80"/>
    </row>
    <row r="31" spans="1:16" s="2" customFormat="1">
      <c r="A31" s="35"/>
      <c r="B31" s="35"/>
      <c r="C31" s="35"/>
      <c r="D31" s="35"/>
      <c r="E31" s="35"/>
      <c r="F31" s="35"/>
      <c r="G31" s="35"/>
      <c r="H31" s="35"/>
      <c r="I31" s="35"/>
      <c r="J31" s="35"/>
      <c r="K31" s="35"/>
      <c r="L31" s="35"/>
      <c r="M31" s="35"/>
      <c r="N31" s="35"/>
      <c r="O31" s="35"/>
      <c r="P31" s="35"/>
    </row>
    <row r="32" spans="1:16" s="2" customFormat="1">
      <c r="A32" s="35"/>
      <c r="B32" s="367" t="s">
        <v>211</v>
      </c>
      <c r="C32" s="291"/>
      <c r="D32" s="293"/>
      <c r="E32" s="293"/>
      <c r="F32" s="293"/>
      <c r="G32" s="293"/>
      <c r="H32" s="293"/>
      <c r="I32" s="293"/>
      <c r="J32" s="293"/>
      <c r="K32" s="293"/>
      <c r="L32" s="293"/>
      <c r="M32" s="293"/>
      <c r="N32" s="293"/>
    </row>
    <row r="33" spans="1:14" s="2" customFormat="1">
      <c r="A33" s="35"/>
      <c r="B33" s="368" t="s">
        <v>241</v>
      </c>
      <c r="C33" s="291"/>
      <c r="D33" s="293"/>
      <c r="E33" s="293"/>
      <c r="F33" s="293"/>
      <c r="G33" s="293"/>
      <c r="H33" s="293"/>
      <c r="I33" s="293"/>
      <c r="J33" s="293"/>
      <c r="K33" s="293"/>
      <c r="L33" s="293"/>
      <c r="M33" s="293"/>
      <c r="N33" s="293"/>
    </row>
    <row r="34" spans="1:14" s="2" customFormat="1">
      <c r="A34" s="35"/>
      <c r="B34" s="368" t="s">
        <v>479</v>
      </c>
      <c r="C34" s="291"/>
      <c r="D34" s="293"/>
      <c r="E34" s="293"/>
      <c r="F34" s="293"/>
      <c r="G34" s="293"/>
      <c r="H34" s="293"/>
      <c r="I34" s="293"/>
      <c r="J34" s="293"/>
      <c r="K34" s="293"/>
      <c r="L34" s="293"/>
      <c r="M34" s="293"/>
      <c r="N34" s="293"/>
    </row>
    <row r="35" spans="1:14" s="2" customFormat="1">
      <c r="A35" s="35"/>
      <c r="B35" s="368" t="s">
        <v>209</v>
      </c>
      <c r="C35" s="291"/>
      <c r="D35" s="293"/>
      <c r="E35" s="293"/>
      <c r="F35" s="293"/>
      <c r="G35" s="293"/>
      <c r="H35" s="293"/>
      <c r="I35" s="293"/>
      <c r="J35" s="293"/>
      <c r="K35" s="293"/>
      <c r="L35" s="293"/>
      <c r="M35" s="293"/>
      <c r="N35" s="293"/>
    </row>
    <row r="36" spans="1:14" s="2" customFormat="1">
      <c r="A36" s="35"/>
      <c r="B36" s="368" t="s">
        <v>202</v>
      </c>
      <c r="C36" s="291"/>
      <c r="D36" s="293"/>
      <c r="E36" s="293"/>
      <c r="F36" s="293"/>
      <c r="G36" s="293"/>
      <c r="H36" s="293"/>
      <c r="I36" s="293"/>
      <c r="J36" s="293"/>
      <c r="K36" s="293"/>
      <c r="L36" s="293"/>
      <c r="M36" s="293"/>
      <c r="N36" s="293"/>
    </row>
    <row r="37" spans="1:14" s="2" customFormat="1">
      <c r="A37" s="35"/>
      <c r="B37" s="368" t="s">
        <v>208</v>
      </c>
      <c r="C37" s="291"/>
      <c r="D37" s="293"/>
      <c r="E37" s="293"/>
      <c r="F37" s="293"/>
      <c r="G37" s="293"/>
      <c r="H37" s="293"/>
      <c r="I37" s="293"/>
      <c r="J37" s="293"/>
      <c r="K37" s="293"/>
      <c r="L37" s="293"/>
      <c r="M37" s="293"/>
      <c r="N37" s="293"/>
    </row>
    <row r="38" spans="1:14" s="2" customFormat="1">
      <c r="B38" s="12"/>
      <c r="C38" s="136"/>
    </row>
    <row r="39" spans="1:14" s="2" customFormat="1">
      <c r="A39" s="160" t="str">
        <f t="shared" ref="A39:A45" si="3">A11</f>
        <v>a</v>
      </c>
      <c r="B39" s="35" t="str">
        <f>$B$11&amp;""</f>
        <v>Broad measure of customer service</v>
      </c>
      <c r="C39" s="155" t="str">
        <f>'RFPR cover'!$C$14</f>
        <v>£m 12/13</v>
      </c>
      <c r="D39" s="671">
        <f>D51</f>
        <v>3.0445960300009767</v>
      </c>
      <c r="E39" s="671">
        <f t="shared" ref="E39:K39" si="4">E51</f>
        <v>3.0836700000000006</v>
      </c>
      <c r="F39" s="671">
        <f t="shared" si="4"/>
        <v>3.1118058341271873</v>
      </c>
      <c r="G39" s="671">
        <f t="shared" si="4"/>
        <v>3.1604580000000024</v>
      </c>
      <c r="H39" s="671">
        <f t="shared" si="4"/>
        <v>3.2980500000000008</v>
      </c>
      <c r="I39" s="671">
        <f t="shared" si="4"/>
        <v>3.2980500000000008</v>
      </c>
      <c r="J39" s="671">
        <f t="shared" si="4"/>
        <v>3.2980500000000008</v>
      </c>
      <c r="K39" s="671">
        <f t="shared" si="4"/>
        <v>3.2980500000000008</v>
      </c>
      <c r="L39" s="671">
        <f>SUM(D39:INDEX(D39:K39,0,MATCH('RFPR cover'!$C$7,$D$6:$K$6,0)))</f>
        <v>18.996629864128167</v>
      </c>
      <c r="M39" s="672">
        <f t="shared" ref="M39:M45" si="5">SUM(D39:K39)</f>
        <v>25.592729864128167</v>
      </c>
    </row>
    <row r="40" spans="1:14" s="2" customFormat="1">
      <c r="A40" s="160" t="str">
        <f t="shared" si="3"/>
        <v>b</v>
      </c>
      <c r="B40" s="35" t="str">
        <f>$B$12&amp;""</f>
        <v>Interruptions-related quality of service</v>
      </c>
      <c r="C40" s="155" t="str">
        <f>'RFPR cover'!$C$14</f>
        <v>£m 12/13</v>
      </c>
      <c r="D40" s="671">
        <f>D55</f>
        <v>3.9005771758875172</v>
      </c>
      <c r="E40" s="671">
        <f t="shared" ref="E40:K40" si="6">E55</f>
        <v>2.7340455262184005</v>
      </c>
      <c r="F40" s="671">
        <f t="shared" si="6"/>
        <v>-0.29181165973570838</v>
      </c>
      <c r="G40" s="671">
        <f t="shared" si="6"/>
        <v>2.6711999999999989</v>
      </c>
      <c r="H40" s="671">
        <f t="shared" si="6"/>
        <v>4.4279657949661733</v>
      </c>
      <c r="I40" s="671">
        <f t="shared" si="6"/>
        <v>0.91536624289858237</v>
      </c>
      <c r="J40" s="671">
        <f t="shared" si="6"/>
        <v>1.8911600479043884</v>
      </c>
      <c r="K40" s="671">
        <f t="shared" si="6"/>
        <v>1.758160047904388</v>
      </c>
      <c r="L40" s="675">
        <f>SUM(D40:INDEX(D40:K40,0,MATCH('RFPR cover'!$C$7,$D$6:$K$6,0)))</f>
        <v>14.357343080234962</v>
      </c>
      <c r="M40" s="676">
        <f t="shared" si="5"/>
        <v>18.006663176043737</v>
      </c>
    </row>
    <row r="41" spans="1:14" s="2" customFormat="1">
      <c r="A41" s="160" t="str">
        <f t="shared" si="3"/>
        <v>c</v>
      </c>
      <c r="B41" s="35" t="str">
        <f>$B$13&amp;""</f>
        <v>Incentive on connections engagement</v>
      </c>
      <c r="C41" s="155" t="str">
        <f>'RFPR cover'!$C$14</f>
        <v>£m 12/13</v>
      </c>
      <c r="D41" s="671">
        <f>D59</f>
        <v>0</v>
      </c>
      <c r="E41" s="671">
        <f t="shared" ref="E41:K41" si="7">E59</f>
        <v>0</v>
      </c>
      <c r="F41" s="671">
        <f t="shared" si="7"/>
        <v>0</v>
      </c>
      <c r="G41" s="671">
        <f t="shared" si="7"/>
        <v>0</v>
      </c>
      <c r="H41" s="671">
        <f t="shared" si="7"/>
        <v>0</v>
      </c>
      <c r="I41" s="671">
        <f t="shared" si="7"/>
        <v>0</v>
      </c>
      <c r="J41" s="671">
        <f t="shared" si="7"/>
        <v>0</v>
      </c>
      <c r="K41" s="671">
        <f t="shared" si="7"/>
        <v>0</v>
      </c>
      <c r="L41" s="675">
        <f>SUM(D41:INDEX(D41:K41,0,MATCH('RFPR cover'!$C$7,$D$6:$K$6,0)))</f>
        <v>0</v>
      </c>
      <c r="M41" s="676">
        <f t="shared" si="5"/>
        <v>0</v>
      </c>
    </row>
    <row r="42" spans="1:14" s="2" customFormat="1">
      <c r="A42" s="160" t="str">
        <f t="shared" si="3"/>
        <v>d</v>
      </c>
      <c r="B42" s="35" t="str">
        <f>$B$14&amp;""</f>
        <v>Time to Connect Incentive</v>
      </c>
      <c r="C42" s="155" t="str">
        <f>'RFPR cover'!$C$14</f>
        <v>£m 12/13</v>
      </c>
      <c r="D42" s="671">
        <f>D63</f>
        <v>0.91975500000000021</v>
      </c>
      <c r="E42" s="671">
        <f t="shared" ref="E42:K42" si="8">E63</f>
        <v>0.77178681257629389</v>
      </c>
      <c r="F42" s="671">
        <f t="shared" si="8"/>
        <v>0.97199999999999998</v>
      </c>
      <c r="G42" s="671">
        <f t="shared" si="8"/>
        <v>0.97199999999999998</v>
      </c>
      <c r="H42" s="671">
        <f t="shared" si="8"/>
        <v>0.97199999999999998</v>
      </c>
      <c r="I42" s="671">
        <f t="shared" si="8"/>
        <v>0.59208015949173087</v>
      </c>
      <c r="J42" s="671">
        <f t="shared" si="8"/>
        <v>0.81064972158628545</v>
      </c>
      <c r="K42" s="671">
        <f t="shared" si="8"/>
        <v>0.81064972158628545</v>
      </c>
      <c r="L42" s="675">
        <f>SUM(D42:INDEX(D42:K42,0,MATCH('RFPR cover'!$C$7,$D$6:$K$6,0)))</f>
        <v>5.1996219720680248</v>
      </c>
      <c r="M42" s="676">
        <f t="shared" si="5"/>
        <v>6.8209214152405959</v>
      </c>
    </row>
    <row r="43" spans="1:14" s="2" customFormat="1">
      <c r="A43" s="160" t="str">
        <f t="shared" si="3"/>
        <v>e</v>
      </c>
      <c r="B43" s="35" t="str">
        <f>$B$15&amp;""</f>
        <v>Losses discretionary reward scheme</v>
      </c>
      <c r="C43" s="155" t="str">
        <f>'RFPR cover'!$C$14</f>
        <v>£m 12/13</v>
      </c>
      <c r="D43" s="671">
        <f>D67</f>
        <v>0</v>
      </c>
      <c r="E43" s="671">
        <f t="shared" ref="E43:K43" si="9">E67</f>
        <v>3.2400000000000005E-2</v>
      </c>
      <c r="F43" s="671">
        <f t="shared" si="9"/>
        <v>0</v>
      </c>
      <c r="G43" s="671">
        <f t="shared" si="9"/>
        <v>0</v>
      </c>
      <c r="H43" s="671">
        <f t="shared" si="9"/>
        <v>0</v>
      </c>
      <c r="I43" s="671">
        <f t="shared" si="9"/>
        <v>0</v>
      </c>
      <c r="J43" s="671">
        <f t="shared" si="9"/>
        <v>0</v>
      </c>
      <c r="K43" s="671">
        <f t="shared" si="9"/>
        <v>0</v>
      </c>
      <c r="L43" s="675">
        <f>SUM(D43:INDEX(D43:K43,0,MATCH('RFPR cover'!$C$7,$D$6:$K$6,0)))</f>
        <v>3.2400000000000005E-2</v>
      </c>
      <c r="M43" s="676">
        <f t="shared" si="5"/>
        <v>3.2400000000000005E-2</v>
      </c>
    </row>
    <row r="44" spans="1:14" s="2" customFormat="1">
      <c r="A44" s="160" t="str">
        <f t="shared" si="3"/>
        <v>f</v>
      </c>
      <c r="B44" s="35" t="str">
        <f>$B$16&amp;""</f>
        <v/>
      </c>
      <c r="C44" s="155" t="str">
        <f>'RFPR cover'!$C$14</f>
        <v>£m 12/13</v>
      </c>
      <c r="D44" s="671">
        <f>D71</f>
        <v>0</v>
      </c>
      <c r="E44" s="671">
        <f t="shared" ref="E44:K44" si="10">E71</f>
        <v>0</v>
      </c>
      <c r="F44" s="671">
        <f t="shared" si="10"/>
        <v>0</v>
      </c>
      <c r="G44" s="671">
        <f t="shared" si="10"/>
        <v>0</v>
      </c>
      <c r="H44" s="671">
        <f t="shared" si="10"/>
        <v>0</v>
      </c>
      <c r="I44" s="671">
        <f t="shared" si="10"/>
        <v>0</v>
      </c>
      <c r="J44" s="671">
        <f t="shared" si="10"/>
        <v>0</v>
      </c>
      <c r="K44" s="671">
        <f t="shared" si="10"/>
        <v>0</v>
      </c>
      <c r="L44" s="675">
        <f>SUM(D44:INDEX(D44:K44,0,MATCH('RFPR cover'!$C$7,$D$6:$K$6,0)))</f>
        <v>0</v>
      </c>
      <c r="M44" s="676">
        <f t="shared" si="5"/>
        <v>0</v>
      </c>
    </row>
    <row r="45" spans="1:14" s="2" customFormat="1">
      <c r="A45" s="160" t="str">
        <f t="shared" si="3"/>
        <v>g</v>
      </c>
      <c r="B45" s="35" t="str">
        <f>$B$17&amp;""</f>
        <v/>
      </c>
      <c r="C45" s="155" t="str">
        <f>'RFPR cover'!$C$14</f>
        <v>£m 12/13</v>
      </c>
      <c r="D45" s="671">
        <f>D75</f>
        <v>0</v>
      </c>
      <c r="E45" s="671">
        <f t="shared" ref="E45:K45" si="11">E75</f>
        <v>0</v>
      </c>
      <c r="F45" s="671">
        <f t="shared" si="11"/>
        <v>0</v>
      </c>
      <c r="G45" s="671">
        <f t="shared" si="11"/>
        <v>0</v>
      </c>
      <c r="H45" s="671">
        <f t="shared" si="11"/>
        <v>0</v>
      </c>
      <c r="I45" s="671">
        <f t="shared" si="11"/>
        <v>0</v>
      </c>
      <c r="J45" s="671">
        <f t="shared" si="11"/>
        <v>0</v>
      </c>
      <c r="K45" s="671">
        <f t="shared" si="11"/>
        <v>0</v>
      </c>
      <c r="L45" s="675">
        <f>SUM(D45:INDEX(D45:K45,0,MATCH('RFPR cover'!$C$7,$D$6:$K$6,0)))</f>
        <v>0</v>
      </c>
      <c r="M45" s="676">
        <f t="shared" si="5"/>
        <v>0</v>
      </c>
    </row>
    <row r="46" spans="1:14" s="2" customFormat="1">
      <c r="B46" s="12" t="s">
        <v>204</v>
      </c>
      <c r="C46" s="156" t="str">
        <f>'RFPR cover'!$C$14</f>
        <v>£m 12/13</v>
      </c>
      <c r="D46" s="610">
        <f>SUM(D39:D45)</f>
        <v>7.8649282058884946</v>
      </c>
      <c r="E46" s="610">
        <f t="shared" ref="E46:M46" si="12">SUM(E39:E45)</f>
        <v>6.6219023387946949</v>
      </c>
      <c r="F46" s="610">
        <f t="shared" si="12"/>
        <v>3.7919941743914789</v>
      </c>
      <c r="G46" s="610">
        <f t="shared" si="12"/>
        <v>6.8036580000000004</v>
      </c>
      <c r="H46" s="611">
        <f t="shared" si="12"/>
        <v>8.6980157949661745</v>
      </c>
      <c r="I46" s="611">
        <f t="shared" si="12"/>
        <v>4.8054964023903146</v>
      </c>
      <c r="J46" s="611">
        <f t="shared" si="12"/>
        <v>5.9998597694906746</v>
      </c>
      <c r="K46" s="611">
        <f t="shared" si="12"/>
        <v>5.8668597694906746</v>
      </c>
      <c r="L46" s="610">
        <f t="shared" si="12"/>
        <v>38.585994916431154</v>
      </c>
      <c r="M46" s="610">
        <f t="shared" si="12"/>
        <v>50.452714455412504</v>
      </c>
    </row>
    <row r="47" spans="1:14" s="2" customFormat="1">
      <c r="B47" s="12"/>
      <c r="C47" s="156"/>
      <c r="D47" s="156"/>
      <c r="E47" s="156"/>
      <c r="F47" s="156"/>
      <c r="G47" s="156"/>
      <c r="H47" s="156"/>
      <c r="I47" s="156"/>
      <c r="J47" s="156"/>
      <c r="K47" s="156"/>
      <c r="L47" s="156"/>
      <c r="M47" s="156"/>
    </row>
    <row r="48" spans="1:14" s="2" customFormat="1">
      <c r="B48" s="12"/>
      <c r="C48" s="156"/>
      <c r="D48" s="161"/>
      <c r="E48" s="156"/>
      <c r="F48" s="156"/>
      <c r="G48" s="156"/>
      <c r="H48" s="156"/>
      <c r="I48" s="156"/>
      <c r="J48" s="156"/>
      <c r="K48" s="156"/>
      <c r="L48" s="156"/>
      <c r="M48" s="156"/>
    </row>
    <row r="49" spans="1:13" s="2" customFormat="1">
      <c r="A49" s="160" t="str">
        <f>$A$11</f>
        <v>a</v>
      </c>
      <c r="B49" s="171" t="str">
        <f>INDEX($B$11:$B$15,MATCH($A49,$A$11:$A$15,0),0)&amp;""</f>
        <v>Broad measure of customer service</v>
      </c>
      <c r="C49" s="155" t="str">
        <f>'RFPR cover'!$C$14</f>
        <v>£m 12/13</v>
      </c>
      <c r="D49" s="783">
        <f>INDEX($D$11:$K$17,MATCH($A49,$A$11:$A$17,0),0)</f>
        <v>3.7587605308654028</v>
      </c>
      <c r="E49" s="783">
        <f t="shared" ref="E49:K49" si="13">INDEX($D$11:$K$17,MATCH($A49,$A$11:$A$17,0),0)</f>
        <v>3.8070000000000004</v>
      </c>
      <c r="F49" s="783">
        <f t="shared" si="13"/>
        <v>3.8417355976878853</v>
      </c>
      <c r="G49" s="783">
        <f t="shared" si="13"/>
        <v>3.9018000000000028</v>
      </c>
      <c r="H49" s="783">
        <f t="shared" si="13"/>
        <v>4.0716666666666672</v>
      </c>
      <c r="I49" s="783">
        <f t="shared" si="13"/>
        <v>4.0716666666666672</v>
      </c>
      <c r="J49" s="783">
        <f t="shared" si="13"/>
        <v>4.0716666666666672</v>
      </c>
      <c r="K49" s="783">
        <f t="shared" si="13"/>
        <v>4.0716666666666672</v>
      </c>
      <c r="L49" s="783">
        <f>SUM(D49:INDEX(D49:K49,0,MATCH('RFPR cover'!$C$7,$D$6:$K$6,0)))</f>
        <v>23.452629461886623</v>
      </c>
      <c r="M49" s="784">
        <f>SUM(D49:K49)</f>
        <v>31.595962795219954</v>
      </c>
    </row>
    <row r="50" spans="1:13" s="2" customFormat="1">
      <c r="A50" s="160"/>
      <c r="B50" s="35" t="s">
        <v>201</v>
      </c>
      <c r="C50" s="294" t="s">
        <v>202</v>
      </c>
      <c r="D50" s="887">
        <f>IF($C50=$B$33,$B$33,INDEX(Data!$G$14:$G$30,MATCH('R5 - Output Incentives'!D$6+RIGHT('R5 - Output Incentives'!$C50,2),Data!$C$14:$C$30,0),0))</f>
        <v>0.19</v>
      </c>
      <c r="E50" s="888">
        <f>IF($C50=$B$33,$B$33,INDEX(Data!$G$14:$G$30,MATCH('R5 - Output Incentives'!E$6+RIGHT('R5 - Output Incentives'!$C50,2),Data!$C$14:$C$30,0),0))</f>
        <v>0.19</v>
      </c>
      <c r="F50" s="888">
        <f>IF($C50=$B$33,$B$33,INDEX(Data!$G$14:$G$30,MATCH('R5 - Output Incentives'!F$6+RIGHT('R5 - Output Incentives'!$C50,2),Data!$C$14:$C$30,0),0))</f>
        <v>0.19</v>
      </c>
      <c r="G50" s="888">
        <f>IF($C50=$B$33,$B$33,INDEX(Data!$G$14:$G$30,MATCH('R5 - Output Incentives'!G$6+RIGHT('R5 - Output Incentives'!$C50,2),Data!$C$14:$C$30,0),0))</f>
        <v>0.19</v>
      </c>
      <c r="H50" s="888">
        <f>IF($C50=$B$33,$B$33,INDEX(Data!$G$14:$G$30,MATCH('R5 - Output Incentives'!H$6+RIGHT('R5 - Output Incentives'!$C50,2),Data!$C$14:$C$30,0),0))</f>
        <v>0.19</v>
      </c>
      <c r="I50" s="888">
        <f>IF($C50=$B$33,$B$33,INDEX(Data!$G$14:$G$30,MATCH('R5 - Output Incentives'!I$6+RIGHT('R5 - Output Incentives'!$C50,2),Data!$C$14:$C$30,0),0))</f>
        <v>0.19</v>
      </c>
      <c r="J50" s="888">
        <f>IF($C50=$B$33,$B$33,INDEX(Data!$G$14:$G$30,MATCH('R5 - Output Incentives'!J$6+RIGHT('R5 - Output Incentives'!$C50,2),Data!$C$14:$C$30,0),0))</f>
        <v>0.19</v>
      </c>
      <c r="K50" s="889">
        <f>IF($C50=$B$33,$B$33,INDEX(Data!$G$14:$G$30,MATCH('R5 - Output Incentives'!K$6+RIGHT('R5 - Output Incentives'!$C50,2),Data!$C$14:$C$30,0),0))</f>
        <v>0.19</v>
      </c>
      <c r="L50" s="785"/>
      <c r="M50" s="786"/>
    </row>
    <row r="51" spans="1:13" s="2" customFormat="1">
      <c r="A51" s="160"/>
      <c r="B51" s="35" t="s">
        <v>210</v>
      </c>
      <c r="C51" s="155"/>
      <c r="D51" s="610">
        <f>IFERROR(D49*(1-D50),0)</f>
        <v>3.0445960300009767</v>
      </c>
      <c r="E51" s="611">
        <f t="shared" ref="E51:K51" si="14">IFERROR(E49*(1-E50),0)</f>
        <v>3.0836700000000006</v>
      </c>
      <c r="F51" s="611">
        <f t="shared" si="14"/>
        <v>3.1118058341271873</v>
      </c>
      <c r="G51" s="611">
        <f t="shared" si="14"/>
        <v>3.1604580000000024</v>
      </c>
      <c r="H51" s="611">
        <f t="shared" si="14"/>
        <v>3.2980500000000008</v>
      </c>
      <c r="I51" s="611">
        <f t="shared" si="14"/>
        <v>3.2980500000000008</v>
      </c>
      <c r="J51" s="611">
        <f t="shared" si="14"/>
        <v>3.2980500000000008</v>
      </c>
      <c r="K51" s="611">
        <f t="shared" si="14"/>
        <v>3.2980500000000008</v>
      </c>
      <c r="L51" s="669">
        <f>SUM(D51:INDEX(D51:K51,0,MATCH('RFPR cover'!$C$7,$D$6:$K$6,0)))</f>
        <v>18.996629864128167</v>
      </c>
      <c r="M51" s="670">
        <f>SUM(D51:K51)</f>
        <v>25.592729864128167</v>
      </c>
    </row>
    <row r="52" spans="1:13" s="2" customFormat="1">
      <c r="A52" s="160"/>
      <c r="B52" s="50"/>
      <c r="C52" s="156"/>
      <c r="D52" s="156"/>
      <c r="E52" s="156"/>
      <c r="F52" s="156"/>
      <c r="G52" s="156"/>
      <c r="H52" s="156"/>
      <c r="I52" s="156"/>
      <c r="J52" s="156"/>
      <c r="K52" s="156"/>
      <c r="L52" s="156"/>
      <c r="M52" s="156"/>
    </row>
    <row r="53" spans="1:13" s="2" customFormat="1">
      <c r="A53" s="160" t="str">
        <f>$A$12</f>
        <v>b</v>
      </c>
      <c r="B53" s="171" t="str">
        <f>INDEX($B$11:$B$15,MATCH($A53,$A$11:$A$15,0),0)&amp;""</f>
        <v>Interruptions-related quality of service</v>
      </c>
      <c r="C53" s="155" t="str">
        <f>'RFPR cover'!$C$14</f>
        <v>£m 12/13</v>
      </c>
      <c r="D53" s="783">
        <f>INDEX($D$11:$K$17,MATCH($A53,$A$11:$A$17,0),0)</f>
        <v>4.8155273776389098</v>
      </c>
      <c r="E53" s="783">
        <f t="shared" ref="E53:K53" si="15">INDEX($D$11:$K$17,MATCH($A53,$A$11:$A$17,0),0)</f>
        <v>3.3753648471832101</v>
      </c>
      <c r="F53" s="783">
        <f t="shared" si="15"/>
        <v>-0.36026130831568937</v>
      </c>
      <c r="G53" s="783">
        <f t="shared" si="15"/>
        <v>3.2977777777777764</v>
      </c>
      <c r="H53" s="783">
        <f t="shared" si="15"/>
        <v>5.466624438229843</v>
      </c>
      <c r="I53" s="783">
        <f t="shared" si="15"/>
        <v>1.1300817813562745</v>
      </c>
      <c r="J53" s="783">
        <f t="shared" si="15"/>
        <v>2.3347654912399856</v>
      </c>
      <c r="K53" s="783">
        <f t="shared" si="15"/>
        <v>2.1705679603757875</v>
      </c>
      <c r="L53" s="671">
        <f>SUM(D53:INDEX(D53:K53,0,MATCH('RFPR cover'!$C$7,$D$6:$K$6,0)))</f>
        <v>17.725114913870325</v>
      </c>
      <c r="M53" s="672">
        <f>SUM(D53:K53)</f>
        <v>22.230448365486097</v>
      </c>
    </row>
    <row r="54" spans="1:13" s="2" customFormat="1">
      <c r="A54" s="160"/>
      <c r="B54" s="35" t="s">
        <v>201</v>
      </c>
      <c r="C54" s="294" t="s">
        <v>202</v>
      </c>
      <c r="D54" s="887">
        <f>IF($C54=$B$33,$B$33,INDEX(Data!$G$14:$G$30,MATCH('R5 - Output Incentives'!D$6+RIGHT('R5 - Output Incentives'!$C54,2),Data!$C$14:$C$30,0),0))</f>
        <v>0.19</v>
      </c>
      <c r="E54" s="888">
        <f>IF($C54=$B$33,$B$33,INDEX(Data!$G$14:$G$30,MATCH('R5 - Output Incentives'!E$6+RIGHT('R5 - Output Incentives'!$C54,2),Data!$C$14:$C$30,0),0))</f>
        <v>0.19</v>
      </c>
      <c r="F54" s="888">
        <f>IF($C54=$B$33,$B$33,INDEX(Data!$G$14:$G$30,MATCH('R5 - Output Incentives'!F$6+RIGHT('R5 - Output Incentives'!$C54,2),Data!$C$14:$C$30,0),0))</f>
        <v>0.19</v>
      </c>
      <c r="G54" s="888">
        <f>IF($C54=$B$33,$B$33,INDEX(Data!$G$14:$G$30,MATCH('R5 - Output Incentives'!G$6+RIGHT('R5 - Output Incentives'!$C54,2),Data!$C$14:$C$30,0),0))</f>
        <v>0.19</v>
      </c>
      <c r="H54" s="888">
        <f>IF($C54=$B$33,$B$33,INDEX(Data!$G$14:$G$30,MATCH('R5 - Output Incentives'!H$6+RIGHT('R5 - Output Incentives'!$C54,2),Data!$C$14:$C$30,0),0))</f>
        <v>0.19</v>
      </c>
      <c r="I54" s="888">
        <f>IF($C54=$B$33,$B$33,INDEX(Data!$G$14:$G$30,MATCH('R5 - Output Incentives'!I$6+RIGHT('R5 - Output Incentives'!$C54,2),Data!$C$14:$C$30,0),0))</f>
        <v>0.19</v>
      </c>
      <c r="J54" s="888">
        <f>IF($C54=$B$33,$B$33,INDEX(Data!$G$14:$G$30,MATCH('R5 - Output Incentives'!J$6+RIGHT('R5 - Output Incentives'!$C54,2),Data!$C$14:$C$30,0),0))</f>
        <v>0.19</v>
      </c>
      <c r="K54" s="889">
        <f>IF($C54=$B$33,$B$33,INDEX(Data!$G$14:$G$30,MATCH('R5 - Output Incentives'!K$6+RIGHT('R5 - Output Incentives'!$C54,2),Data!$C$14:$C$30,0),0))</f>
        <v>0.19</v>
      </c>
      <c r="L54" s="785"/>
      <c r="M54" s="786"/>
    </row>
    <row r="55" spans="1:13" s="2" customFormat="1">
      <c r="A55" s="160"/>
      <c r="B55" s="35" t="s">
        <v>210</v>
      </c>
      <c r="C55" s="155"/>
      <c r="D55" s="610">
        <f>IFERROR(D53*(1-D54),0)</f>
        <v>3.9005771758875172</v>
      </c>
      <c r="E55" s="611">
        <f t="shared" ref="E55:K55" si="16">IFERROR(E53*(1-E54),0)</f>
        <v>2.7340455262184005</v>
      </c>
      <c r="F55" s="611">
        <f t="shared" si="16"/>
        <v>-0.29181165973570838</v>
      </c>
      <c r="G55" s="611">
        <f t="shared" si="16"/>
        <v>2.6711999999999989</v>
      </c>
      <c r="H55" s="611">
        <f t="shared" si="16"/>
        <v>4.4279657949661733</v>
      </c>
      <c r="I55" s="611">
        <f t="shared" si="16"/>
        <v>0.91536624289858237</v>
      </c>
      <c r="J55" s="611">
        <f t="shared" si="16"/>
        <v>1.8911600479043884</v>
      </c>
      <c r="K55" s="611">
        <f t="shared" si="16"/>
        <v>1.758160047904388</v>
      </c>
      <c r="L55" s="669">
        <f>SUM(D55:INDEX(D55:K55,0,MATCH('RFPR cover'!$C$7,$D$6:$K$6,0)))</f>
        <v>14.357343080234962</v>
      </c>
      <c r="M55" s="670">
        <f>SUM(D55:K55)</f>
        <v>18.006663176043737</v>
      </c>
    </row>
    <row r="56" spans="1:13" s="2" customFormat="1">
      <c r="A56" s="160"/>
      <c r="B56" s="50"/>
      <c r="C56" s="156"/>
      <c r="D56" s="156"/>
      <c r="E56" s="156"/>
      <c r="F56" s="156"/>
      <c r="G56" s="156"/>
      <c r="H56" s="156"/>
      <c r="I56" s="156"/>
      <c r="J56" s="156"/>
      <c r="K56" s="156"/>
      <c r="L56" s="156"/>
      <c r="M56" s="156"/>
    </row>
    <row r="57" spans="1:13" s="2" customFormat="1">
      <c r="A57" s="160" t="str">
        <f>$A$13</f>
        <v>c</v>
      </c>
      <c r="B57" s="171" t="str">
        <f>INDEX($B$11:$B$15,MATCH($A57,$A$11:$A$15,0),0)&amp;""</f>
        <v>Incentive on connections engagement</v>
      </c>
      <c r="C57" s="155" t="str">
        <f>'RFPR cover'!$C$14</f>
        <v>£m 12/13</v>
      </c>
      <c r="D57" s="783">
        <f>INDEX($D$11:$K$17,MATCH($A57,$A$11:$A$17,0),0)</f>
        <v>0</v>
      </c>
      <c r="E57" s="783">
        <f t="shared" ref="E57:K57" si="17">INDEX($D$11:$K$17,MATCH($A57,$A$11:$A$17,0),0)</f>
        <v>0</v>
      </c>
      <c r="F57" s="783">
        <f t="shared" si="17"/>
        <v>0</v>
      </c>
      <c r="G57" s="783">
        <f t="shared" si="17"/>
        <v>0</v>
      </c>
      <c r="H57" s="783">
        <f t="shared" si="17"/>
        <v>0</v>
      </c>
      <c r="I57" s="783">
        <f t="shared" si="17"/>
        <v>0</v>
      </c>
      <c r="J57" s="783">
        <f t="shared" si="17"/>
        <v>0</v>
      </c>
      <c r="K57" s="783">
        <f t="shared" si="17"/>
        <v>0</v>
      </c>
      <c r="L57" s="671">
        <f>SUM(D57:INDEX(D57:K57,0,MATCH('RFPR cover'!$C$7,$D$6:$K$6,0)))</f>
        <v>0</v>
      </c>
      <c r="M57" s="672">
        <f>SUM(D57:K57)</f>
        <v>0</v>
      </c>
    </row>
    <row r="58" spans="1:13" s="2" customFormat="1">
      <c r="A58" s="160"/>
      <c r="B58" s="35" t="s">
        <v>201</v>
      </c>
      <c r="C58" s="294" t="s">
        <v>208</v>
      </c>
      <c r="D58" s="887">
        <f>IF($C58=$B$33,$B$33,INDEX(Data!$G$14:$G$30,MATCH('R5 - Output Incentives'!D$6+RIGHT('R5 - Output Incentives'!$C58,2),Data!$C$14:$C$30,0),0))</f>
        <v>0.19</v>
      </c>
      <c r="E58" s="888">
        <f>IF($C58=$B$33,$B$33,INDEX(Data!$G$14:$G$30,MATCH('R5 - Output Incentives'!E$6+RIGHT('R5 - Output Incentives'!$C58,2),Data!$C$14:$C$30,0),0))</f>
        <v>0.19</v>
      </c>
      <c r="F58" s="888">
        <f>IF($C58=$B$33,$B$33,INDEX(Data!$G$14:$G$30,MATCH('R5 - Output Incentives'!F$6+RIGHT('R5 - Output Incentives'!$C58,2),Data!$C$14:$C$30,0),0))</f>
        <v>0.19</v>
      </c>
      <c r="G58" s="888">
        <f>IF($C58=$B$33,$B$33,INDEX(Data!$G$14:$G$30,MATCH('R5 - Output Incentives'!G$6+RIGHT('R5 - Output Incentives'!$C58,2),Data!$C$14:$C$30,0),0))</f>
        <v>0.19</v>
      </c>
      <c r="H58" s="888">
        <f>IF($C58=$B$33,$B$33,INDEX(Data!$G$14:$G$30,MATCH('R5 - Output Incentives'!H$6+RIGHT('R5 - Output Incentives'!$C58,2),Data!$C$14:$C$30,0),0))</f>
        <v>0.19</v>
      </c>
      <c r="I58" s="888">
        <f>IF($C58=$B$33,$B$33,INDEX(Data!$G$14:$G$30,MATCH('R5 - Output Incentives'!I$6+RIGHT('R5 - Output Incentives'!$C58,2),Data!$C$14:$C$30,0),0))</f>
        <v>0.19</v>
      </c>
      <c r="J58" s="888">
        <f>IF($C58=$B$33,$B$33,INDEX(Data!$G$14:$G$30,MATCH('R5 - Output Incentives'!J$6+RIGHT('R5 - Output Incentives'!$C58,2),Data!$C$14:$C$30,0),0))</f>
        <v>0.19</v>
      </c>
      <c r="K58" s="889">
        <f>IF($C58=$B$33,$B$33,INDEX(Data!$G$14:$G$30,MATCH('R5 - Output Incentives'!K$6+RIGHT('R5 - Output Incentives'!$C58,2),Data!$C$14:$C$30,0),0))</f>
        <v>0.19</v>
      </c>
      <c r="L58" s="785"/>
      <c r="M58" s="786"/>
    </row>
    <row r="59" spans="1:13" s="2" customFormat="1">
      <c r="A59" s="160"/>
      <c r="B59" s="35" t="s">
        <v>210</v>
      </c>
      <c r="C59" s="155"/>
      <c r="D59" s="610">
        <f>IFERROR(D57*(1-D58),0)</f>
        <v>0</v>
      </c>
      <c r="E59" s="611">
        <f t="shared" ref="E59:K59" si="18">IFERROR(E57*(1-E58),0)</f>
        <v>0</v>
      </c>
      <c r="F59" s="611">
        <f t="shared" si="18"/>
        <v>0</v>
      </c>
      <c r="G59" s="611">
        <f t="shared" si="18"/>
        <v>0</v>
      </c>
      <c r="H59" s="611">
        <f t="shared" si="18"/>
        <v>0</v>
      </c>
      <c r="I59" s="611">
        <f t="shared" si="18"/>
        <v>0</v>
      </c>
      <c r="J59" s="611">
        <f t="shared" si="18"/>
        <v>0</v>
      </c>
      <c r="K59" s="611">
        <f t="shared" si="18"/>
        <v>0</v>
      </c>
      <c r="L59" s="669">
        <f>SUM(D59:INDEX(D59:K59,0,MATCH('RFPR cover'!$C$7,$D$6:$K$6,0)))</f>
        <v>0</v>
      </c>
      <c r="M59" s="670">
        <f>SUM(D59:K59)</f>
        <v>0</v>
      </c>
    </row>
    <row r="60" spans="1:13" s="2" customFormat="1">
      <c r="A60" s="160"/>
      <c r="B60" s="50"/>
      <c r="C60" s="156"/>
      <c r="D60" s="156"/>
      <c r="E60" s="156"/>
      <c r="F60" s="156"/>
      <c r="G60" s="156"/>
      <c r="H60" s="156"/>
      <c r="I60" s="156"/>
      <c r="J60" s="156"/>
      <c r="K60" s="156"/>
      <c r="L60" s="156"/>
      <c r="M60" s="156"/>
    </row>
    <row r="61" spans="1:13" s="2" customFormat="1">
      <c r="A61" s="160" t="str">
        <f>$A$14</f>
        <v>d</v>
      </c>
      <c r="B61" s="171" t="str">
        <f>INDEX($B$11:$B$15,MATCH($A61,$A$11:$A$15,0),0)&amp;""</f>
        <v>Time to Connect Incentive</v>
      </c>
      <c r="C61" s="155" t="str">
        <f>'RFPR cover'!$C$14</f>
        <v>£m 12/13</v>
      </c>
      <c r="D61" s="783">
        <f>INDEX($D$11:$K$17,MATCH($A61,$A$11:$A$17,0),0)</f>
        <v>1.1355000000000002</v>
      </c>
      <c r="E61" s="783">
        <f t="shared" ref="E61:K61" si="19">INDEX($D$11:$K$17,MATCH($A61,$A$11:$A$17,0),0)</f>
        <v>0.95282322540283193</v>
      </c>
      <c r="F61" s="783">
        <f t="shared" si="19"/>
        <v>1.2</v>
      </c>
      <c r="G61" s="783">
        <f t="shared" si="19"/>
        <v>1.2</v>
      </c>
      <c r="H61" s="783">
        <f t="shared" si="19"/>
        <v>1.2</v>
      </c>
      <c r="I61" s="783">
        <f t="shared" si="19"/>
        <v>0.73096315986633431</v>
      </c>
      <c r="J61" s="783">
        <f t="shared" si="19"/>
        <v>1.0008021254151671</v>
      </c>
      <c r="K61" s="783">
        <f t="shared" si="19"/>
        <v>1.0008021254151671</v>
      </c>
      <c r="L61" s="671">
        <f>SUM(D61:INDEX(D61:K61,0,MATCH('RFPR cover'!$C$7,$D$6:$K$6,0)))</f>
        <v>6.4192863852691673</v>
      </c>
      <c r="M61" s="672">
        <f>SUM(D61:K61)</f>
        <v>8.4208906360995019</v>
      </c>
    </row>
    <row r="62" spans="1:13" s="2" customFormat="1">
      <c r="A62" s="160"/>
      <c r="B62" s="35" t="s">
        <v>201</v>
      </c>
      <c r="C62" s="294" t="s">
        <v>202</v>
      </c>
      <c r="D62" s="887">
        <f>IF($C62=$B$33,$B$33,INDEX(Data!$G$14:$G$30,MATCH('R5 - Output Incentives'!D$6+RIGHT('R5 - Output Incentives'!$C62,2),Data!$C$14:$C$30,0),0))</f>
        <v>0.19</v>
      </c>
      <c r="E62" s="888">
        <f>IF($C62=$B$33,$B$33,INDEX(Data!$G$14:$G$30,MATCH('R5 - Output Incentives'!E$6+RIGHT('R5 - Output Incentives'!$C62,2),Data!$C$14:$C$30,0),0))</f>
        <v>0.19</v>
      </c>
      <c r="F62" s="888">
        <f>IF($C62=$B$33,$B$33,INDEX(Data!$G$14:$G$30,MATCH('R5 - Output Incentives'!F$6+RIGHT('R5 - Output Incentives'!$C62,2),Data!$C$14:$C$30,0),0))</f>
        <v>0.19</v>
      </c>
      <c r="G62" s="888">
        <f>IF($C62=$B$33,$B$33,INDEX(Data!$G$14:$G$30,MATCH('R5 - Output Incentives'!G$6+RIGHT('R5 - Output Incentives'!$C62,2),Data!$C$14:$C$30,0),0))</f>
        <v>0.19</v>
      </c>
      <c r="H62" s="888">
        <f>IF($C62=$B$33,$B$33,INDEX(Data!$G$14:$G$30,MATCH('R5 - Output Incentives'!H$6+RIGHT('R5 - Output Incentives'!$C62,2),Data!$C$14:$C$30,0),0))</f>
        <v>0.19</v>
      </c>
      <c r="I62" s="888">
        <f>IF($C62=$B$33,$B$33,INDEX(Data!$G$14:$G$30,MATCH('R5 - Output Incentives'!I$6+RIGHT('R5 - Output Incentives'!$C62,2),Data!$C$14:$C$30,0),0))</f>
        <v>0.19</v>
      </c>
      <c r="J62" s="888">
        <f>IF($C62=$B$33,$B$33,INDEX(Data!$G$14:$G$30,MATCH('R5 - Output Incentives'!J$6+RIGHT('R5 - Output Incentives'!$C62,2),Data!$C$14:$C$30,0),0))</f>
        <v>0.19</v>
      </c>
      <c r="K62" s="889">
        <f>IF($C62=$B$33,$B$33,INDEX(Data!$G$14:$G$30,MATCH('R5 - Output Incentives'!K$6+RIGHT('R5 - Output Incentives'!$C62,2),Data!$C$14:$C$30,0),0))</f>
        <v>0.19</v>
      </c>
      <c r="L62" s="785"/>
      <c r="M62" s="786"/>
    </row>
    <row r="63" spans="1:13" s="2" customFormat="1">
      <c r="A63" s="160"/>
      <c r="B63" s="35" t="s">
        <v>210</v>
      </c>
      <c r="C63" s="155"/>
      <c r="D63" s="610">
        <f>IFERROR(D61*(1-D62),0)</f>
        <v>0.91975500000000021</v>
      </c>
      <c r="E63" s="611">
        <f t="shared" ref="E63:K63" si="20">IFERROR(E61*(1-E62),0)</f>
        <v>0.77178681257629389</v>
      </c>
      <c r="F63" s="611">
        <f t="shared" si="20"/>
        <v>0.97199999999999998</v>
      </c>
      <c r="G63" s="611">
        <f t="shared" si="20"/>
        <v>0.97199999999999998</v>
      </c>
      <c r="H63" s="611">
        <f t="shared" si="20"/>
        <v>0.97199999999999998</v>
      </c>
      <c r="I63" s="611">
        <f t="shared" si="20"/>
        <v>0.59208015949173087</v>
      </c>
      <c r="J63" s="611">
        <f t="shared" si="20"/>
        <v>0.81064972158628545</v>
      </c>
      <c r="K63" s="611">
        <f t="shared" si="20"/>
        <v>0.81064972158628545</v>
      </c>
      <c r="L63" s="669">
        <f>SUM(D63:INDEX(D63:K63,0,MATCH('RFPR cover'!$C$7,$D$6:$K$6,0)))</f>
        <v>5.1996219720680248</v>
      </c>
      <c r="M63" s="670">
        <f>SUM(D63:K63)</f>
        <v>6.8209214152405959</v>
      </c>
    </row>
    <row r="64" spans="1:13" s="2" customFormat="1">
      <c r="A64" s="160"/>
      <c r="B64" s="50"/>
      <c r="C64" s="156"/>
      <c r="D64" s="156"/>
      <c r="E64" s="156"/>
      <c r="F64" s="156"/>
      <c r="G64" s="156"/>
      <c r="H64" s="156"/>
      <c r="I64" s="156"/>
      <c r="J64" s="156"/>
      <c r="K64" s="156"/>
      <c r="L64" s="156"/>
      <c r="M64" s="156"/>
    </row>
    <row r="65" spans="1:14" s="2" customFormat="1">
      <c r="A65" s="160" t="str">
        <f>$A$15</f>
        <v>e</v>
      </c>
      <c r="B65" s="171" t="str">
        <f>INDEX($B$11:$B$15,MATCH($A65,$A$11:$A$15,0),0)&amp;""</f>
        <v>Losses discretionary reward scheme</v>
      </c>
      <c r="C65" s="155" t="str">
        <f>'RFPR cover'!$C$14</f>
        <v>£m 12/13</v>
      </c>
      <c r="D65" s="783">
        <f>INDEX($D$11:$K$17,MATCH($A65,$A$11:$A$17,0),0)</f>
        <v>0</v>
      </c>
      <c r="E65" s="783">
        <f t="shared" ref="E65:K65" si="21">INDEX($D$11:$K$17,MATCH($A65,$A$11:$A$17,0),0)</f>
        <v>0.04</v>
      </c>
      <c r="F65" s="783">
        <f t="shared" si="21"/>
        <v>0</v>
      </c>
      <c r="G65" s="783">
        <f t="shared" si="21"/>
        <v>0</v>
      </c>
      <c r="H65" s="783">
        <f t="shared" si="21"/>
        <v>0</v>
      </c>
      <c r="I65" s="783">
        <f t="shared" si="21"/>
        <v>0</v>
      </c>
      <c r="J65" s="783">
        <f t="shared" si="21"/>
        <v>0</v>
      </c>
      <c r="K65" s="783">
        <f t="shared" si="21"/>
        <v>0</v>
      </c>
      <c r="L65" s="671">
        <f>SUM(D65:INDEX(D65:K65,0,MATCH('RFPR cover'!$C$7,$D$6:$K$6,0)))</f>
        <v>0.04</v>
      </c>
      <c r="M65" s="672">
        <f>SUM(D65:K65)</f>
        <v>0.04</v>
      </c>
    </row>
    <row r="66" spans="1:14" s="2" customFormat="1">
      <c r="A66" s="160"/>
      <c r="B66" s="35" t="s">
        <v>201</v>
      </c>
      <c r="C66" s="294" t="s">
        <v>209</v>
      </c>
      <c r="D66" s="887">
        <f>IF($C66=$B$33,$B$33,INDEX(Data!$G$14:$G$30,MATCH('R5 - Output Incentives'!D$6+RIGHT('R5 - Output Incentives'!$C66,2),Data!$C$14:$C$30,0),0))</f>
        <v>0.2</v>
      </c>
      <c r="E66" s="888">
        <f>IF($C66=$B$33,$B$33,INDEX(Data!$G$14:$G$30,MATCH('R5 - Output Incentives'!E$6+RIGHT('R5 - Output Incentives'!$C66,2),Data!$C$14:$C$30,0),0))</f>
        <v>0.19</v>
      </c>
      <c r="F66" s="888">
        <f>IF($C66=$B$33,$B$33,INDEX(Data!$G$14:$G$30,MATCH('R5 - Output Incentives'!F$6+RIGHT('R5 - Output Incentives'!$C66,2),Data!$C$14:$C$30,0),0))</f>
        <v>0.19</v>
      </c>
      <c r="G66" s="888">
        <f>IF($C66=$B$33,$B$33,INDEX(Data!$G$14:$G$30,MATCH('R5 - Output Incentives'!G$6+RIGHT('R5 - Output Incentives'!$C66,2),Data!$C$14:$C$30,0),0))</f>
        <v>0.19</v>
      </c>
      <c r="H66" s="888">
        <f>IF($C66=$B$33,$B$33,INDEX(Data!$G$14:$G$30,MATCH('R5 - Output Incentives'!H$6+RIGHT('R5 - Output Incentives'!$C66,2),Data!$C$14:$C$30,0),0))</f>
        <v>0.19</v>
      </c>
      <c r="I66" s="888">
        <f>IF($C66=$B$33,$B$33,INDEX(Data!$G$14:$G$30,MATCH('R5 - Output Incentives'!I$6+RIGHT('R5 - Output Incentives'!$C66,2),Data!$C$14:$C$30,0),0))</f>
        <v>0.19</v>
      </c>
      <c r="J66" s="888">
        <f>IF($C66=$B$33,$B$33,INDEX(Data!$G$14:$G$30,MATCH('R5 - Output Incentives'!J$6+RIGHT('R5 - Output Incentives'!$C66,2),Data!$C$14:$C$30,0),0))</f>
        <v>0.19</v>
      </c>
      <c r="K66" s="889">
        <f>IF($C66=$B$33,$B$33,INDEX(Data!$G$14:$G$30,MATCH('R5 - Output Incentives'!K$6+RIGHT('R5 - Output Incentives'!$C66,2),Data!$C$14:$C$30,0),0))</f>
        <v>0.19</v>
      </c>
      <c r="L66" s="785"/>
      <c r="M66" s="786"/>
    </row>
    <row r="67" spans="1:14" s="2" customFormat="1">
      <c r="A67" s="160"/>
      <c r="B67" s="35" t="s">
        <v>210</v>
      </c>
      <c r="C67" s="155"/>
      <c r="D67" s="610">
        <f>IFERROR(D65*(1-D66),0)</f>
        <v>0</v>
      </c>
      <c r="E67" s="611">
        <f t="shared" ref="E67:K67" si="22">IFERROR(E65*(1-E66),0)</f>
        <v>3.2400000000000005E-2</v>
      </c>
      <c r="F67" s="611">
        <f t="shared" si="22"/>
        <v>0</v>
      </c>
      <c r="G67" s="611">
        <f t="shared" si="22"/>
        <v>0</v>
      </c>
      <c r="H67" s="611">
        <f t="shared" si="22"/>
        <v>0</v>
      </c>
      <c r="I67" s="611">
        <f t="shared" si="22"/>
        <v>0</v>
      </c>
      <c r="J67" s="611">
        <f t="shared" si="22"/>
        <v>0</v>
      </c>
      <c r="K67" s="611">
        <f t="shared" si="22"/>
        <v>0</v>
      </c>
      <c r="L67" s="669">
        <f>SUM(D67:INDEX(D67:K67,0,MATCH('RFPR cover'!$C$7,$D$6:$K$6,0)))</f>
        <v>3.2400000000000005E-2</v>
      </c>
      <c r="M67" s="670">
        <f>SUM(D67:K67)</f>
        <v>3.2400000000000005E-2</v>
      </c>
    </row>
    <row r="68" spans="1:14" s="2" customFormat="1">
      <c r="A68" s="160"/>
      <c r="B68" s="50"/>
      <c r="C68" s="156"/>
      <c r="D68" s="156"/>
      <c r="E68" s="156"/>
      <c r="F68" s="156"/>
      <c r="G68" s="156"/>
      <c r="H68" s="156"/>
      <c r="I68" s="156"/>
      <c r="J68" s="156"/>
      <c r="K68" s="156"/>
      <c r="L68" s="156"/>
      <c r="M68" s="156"/>
    </row>
    <row r="69" spans="1:14" s="2" customFormat="1">
      <c r="A69" s="160" t="str">
        <f>$A$16</f>
        <v>f</v>
      </c>
      <c r="B69" s="171" t="str">
        <f>INDEX($B$11:$B$17,MATCH($A69,$A$11:$A$17,0),0)&amp;""</f>
        <v/>
      </c>
      <c r="C69" s="155" t="str">
        <f>'RFPR cover'!$C$14</f>
        <v>£m 12/13</v>
      </c>
      <c r="D69" s="783">
        <f>INDEX($D$11:$K$17,MATCH($A69,$A$11:$A$17,0),0)</f>
        <v>0</v>
      </c>
      <c r="E69" s="783">
        <f t="shared" ref="E69:K69" si="23">INDEX($D$11:$K$17,MATCH($A69,$A$11:$A$17,0),0)</f>
        <v>0</v>
      </c>
      <c r="F69" s="783">
        <f t="shared" si="23"/>
        <v>0</v>
      </c>
      <c r="G69" s="783">
        <f t="shared" si="23"/>
        <v>0</v>
      </c>
      <c r="H69" s="783">
        <f t="shared" si="23"/>
        <v>0</v>
      </c>
      <c r="I69" s="783">
        <f t="shared" si="23"/>
        <v>0</v>
      </c>
      <c r="J69" s="783">
        <f t="shared" si="23"/>
        <v>0</v>
      </c>
      <c r="K69" s="783">
        <f t="shared" si="23"/>
        <v>0</v>
      </c>
      <c r="L69" s="671">
        <f>SUM(D69:INDEX(D69:K69,0,MATCH('RFPR cover'!$C$7,$D$6:$K$6,0)))</f>
        <v>0</v>
      </c>
      <c r="M69" s="672">
        <f>SUM(D69:K69)</f>
        <v>0</v>
      </c>
    </row>
    <row r="70" spans="1:14" s="2" customFormat="1">
      <c r="A70" s="160"/>
      <c r="B70" s="35" t="s">
        <v>201</v>
      </c>
      <c r="C70" s="294" t="s">
        <v>209</v>
      </c>
      <c r="D70" s="887">
        <f>IF($C70=$B$33,$B$33,INDEX(Data!$G$14:$G$30,MATCH('R5 - Output Incentives'!D$6+RIGHT('R5 - Output Incentives'!$C70,2),Data!$C$14:$C$30,0),0))</f>
        <v>0.2</v>
      </c>
      <c r="E70" s="888">
        <f>IF($C70=$B$33,$B$33,INDEX(Data!$G$14:$G$30,MATCH('R5 - Output Incentives'!E$6+RIGHT('R5 - Output Incentives'!$C70,2),Data!$C$14:$C$30,0),0))</f>
        <v>0.19</v>
      </c>
      <c r="F70" s="888">
        <f>IF($C70=$B$33,$B$33,INDEX(Data!$G$14:$G$30,MATCH('R5 - Output Incentives'!F$6+RIGHT('R5 - Output Incentives'!$C70,2),Data!$C$14:$C$30,0),0))</f>
        <v>0.19</v>
      </c>
      <c r="G70" s="888">
        <f>IF($C70=$B$33,$B$33,INDEX(Data!$G$14:$G$30,MATCH('R5 - Output Incentives'!G$6+RIGHT('R5 - Output Incentives'!$C70,2),Data!$C$14:$C$30,0),0))</f>
        <v>0.19</v>
      </c>
      <c r="H70" s="888">
        <f>IF($C70=$B$33,$B$33,INDEX(Data!$G$14:$G$30,MATCH('R5 - Output Incentives'!H$6+RIGHT('R5 - Output Incentives'!$C70,2),Data!$C$14:$C$30,0),0))</f>
        <v>0.19</v>
      </c>
      <c r="I70" s="888">
        <f>IF($C70=$B$33,$B$33,INDEX(Data!$G$14:$G$30,MATCH('R5 - Output Incentives'!I$6+RIGHT('R5 - Output Incentives'!$C70,2),Data!$C$14:$C$30,0),0))</f>
        <v>0.19</v>
      </c>
      <c r="J70" s="888">
        <f>IF($C70=$B$33,$B$33,INDEX(Data!$G$14:$G$30,MATCH('R5 - Output Incentives'!J$6+RIGHT('R5 - Output Incentives'!$C70,2),Data!$C$14:$C$30,0),0))</f>
        <v>0.19</v>
      </c>
      <c r="K70" s="889">
        <f>IF($C70=$B$33,$B$33,INDEX(Data!$G$14:$G$30,MATCH('R5 - Output Incentives'!K$6+RIGHT('R5 - Output Incentives'!$C70,2),Data!$C$14:$C$30,0),0))</f>
        <v>0.19</v>
      </c>
      <c r="L70" s="785"/>
      <c r="M70" s="786"/>
    </row>
    <row r="71" spans="1:14" s="2" customFormat="1">
      <c r="A71" s="160"/>
      <c r="B71" s="35" t="s">
        <v>210</v>
      </c>
      <c r="C71" s="155"/>
      <c r="D71" s="610">
        <f>IFERROR(D69*(1-D70),0)</f>
        <v>0</v>
      </c>
      <c r="E71" s="611">
        <f t="shared" ref="E71:K71" si="24">IFERROR(E69*(1-E70),0)</f>
        <v>0</v>
      </c>
      <c r="F71" s="611">
        <f t="shared" si="24"/>
        <v>0</v>
      </c>
      <c r="G71" s="611">
        <f t="shared" si="24"/>
        <v>0</v>
      </c>
      <c r="H71" s="611">
        <f t="shared" si="24"/>
        <v>0</v>
      </c>
      <c r="I71" s="611">
        <f t="shared" si="24"/>
        <v>0</v>
      </c>
      <c r="J71" s="611">
        <f t="shared" si="24"/>
        <v>0</v>
      </c>
      <c r="K71" s="611">
        <f t="shared" si="24"/>
        <v>0</v>
      </c>
      <c r="L71" s="669">
        <f>SUM(D71:INDEX(D71:K71,0,MATCH('RFPR cover'!$C$7,$D$6:$K$6,0)))</f>
        <v>0</v>
      </c>
      <c r="M71" s="670">
        <f>SUM(D71:K71)</f>
        <v>0</v>
      </c>
    </row>
    <row r="72" spans="1:14" s="2" customFormat="1">
      <c r="A72" s="160"/>
      <c r="B72" s="50"/>
      <c r="C72" s="156"/>
      <c r="D72" s="156"/>
      <c r="E72" s="156"/>
      <c r="F72" s="156"/>
      <c r="G72" s="156"/>
      <c r="H72" s="156"/>
      <c r="I72" s="156"/>
      <c r="J72" s="156"/>
      <c r="K72" s="156"/>
      <c r="L72" s="156"/>
      <c r="M72" s="156"/>
    </row>
    <row r="73" spans="1:14" s="2" customFormat="1">
      <c r="A73" s="160" t="s">
        <v>478</v>
      </c>
      <c r="B73" s="171" t="str">
        <f>INDEX($B$11:$B$17,MATCH($A73,$A$11:$A$17,0),0)&amp;""</f>
        <v/>
      </c>
      <c r="C73" s="155" t="str">
        <f>'RFPR cover'!$C$14</f>
        <v>£m 12/13</v>
      </c>
      <c r="D73" s="783">
        <f>INDEX($D$11:$K$17,MATCH($A73,$A$11:$A$17,0),0)</f>
        <v>0</v>
      </c>
      <c r="E73" s="783">
        <f t="shared" ref="E73:K73" si="25">INDEX($D$11:$K$17,MATCH($A73,$A$11:$A$17,0),0)</f>
        <v>0</v>
      </c>
      <c r="F73" s="783">
        <f t="shared" si="25"/>
        <v>0</v>
      </c>
      <c r="G73" s="783">
        <f t="shared" si="25"/>
        <v>0</v>
      </c>
      <c r="H73" s="783">
        <f t="shared" si="25"/>
        <v>0</v>
      </c>
      <c r="I73" s="783">
        <f t="shared" si="25"/>
        <v>0</v>
      </c>
      <c r="J73" s="783">
        <f t="shared" si="25"/>
        <v>0</v>
      </c>
      <c r="K73" s="783">
        <f t="shared" si="25"/>
        <v>0</v>
      </c>
      <c r="L73" s="671">
        <f>SUM(D73:INDEX(D73:K73,0,MATCH('RFPR cover'!$C$7,$D$6:$K$6,0)))</f>
        <v>0</v>
      </c>
      <c r="M73" s="672">
        <f>SUM(D73:K73)</f>
        <v>0</v>
      </c>
    </row>
    <row r="74" spans="1:14" s="2" customFormat="1">
      <c r="A74" s="160"/>
      <c r="B74" s="35" t="s">
        <v>201</v>
      </c>
      <c r="C74" s="294" t="s">
        <v>209</v>
      </c>
      <c r="D74" s="887">
        <f>IF($C74=$B$33,$B$33,INDEX(Data!$G$14:$G$30,MATCH('R5 - Output Incentives'!D$6+RIGHT('R5 - Output Incentives'!$C74,2),Data!$C$14:$C$30,0),0))</f>
        <v>0.2</v>
      </c>
      <c r="E74" s="888">
        <f>IF($C74=$B$33,$B$33,INDEX(Data!$G$14:$G$30,MATCH('R5 - Output Incentives'!E$6+RIGHT('R5 - Output Incentives'!$C74,2),Data!$C$14:$C$30,0),0))</f>
        <v>0.19</v>
      </c>
      <c r="F74" s="888">
        <f>IF($C74=$B$33,$B$33,INDEX(Data!$G$14:$G$30,MATCH('R5 - Output Incentives'!F$6+RIGHT('R5 - Output Incentives'!$C74,2),Data!$C$14:$C$30,0),0))</f>
        <v>0.19</v>
      </c>
      <c r="G74" s="888">
        <f>IF($C74=$B$33,$B$33,INDEX(Data!$G$14:$G$30,MATCH('R5 - Output Incentives'!G$6+RIGHT('R5 - Output Incentives'!$C74,2),Data!$C$14:$C$30,0),0))</f>
        <v>0.19</v>
      </c>
      <c r="H74" s="888">
        <f>IF($C74=$B$33,$B$33,INDEX(Data!$G$14:$G$30,MATCH('R5 - Output Incentives'!H$6+RIGHT('R5 - Output Incentives'!$C74,2),Data!$C$14:$C$30,0),0))</f>
        <v>0.19</v>
      </c>
      <c r="I74" s="888">
        <f>IF($C74=$B$33,$B$33,INDEX(Data!$G$14:$G$30,MATCH('R5 - Output Incentives'!I$6+RIGHT('R5 - Output Incentives'!$C74,2),Data!$C$14:$C$30,0),0))</f>
        <v>0.19</v>
      </c>
      <c r="J74" s="888">
        <f>IF($C74=$B$33,$B$33,INDEX(Data!$G$14:$G$30,MATCH('R5 - Output Incentives'!J$6+RIGHT('R5 - Output Incentives'!$C74,2),Data!$C$14:$C$30,0),0))</f>
        <v>0.19</v>
      </c>
      <c r="K74" s="889">
        <f>IF($C74=$B$33,$B$33,INDEX(Data!$G$14:$G$30,MATCH('R5 - Output Incentives'!K$6+RIGHT('R5 - Output Incentives'!$C74,2),Data!$C$14:$C$30,0),0))</f>
        <v>0.19</v>
      </c>
      <c r="L74" s="785"/>
      <c r="M74" s="786"/>
    </row>
    <row r="75" spans="1:14" s="2" customFormat="1">
      <c r="A75" s="160"/>
      <c r="B75" s="35" t="s">
        <v>210</v>
      </c>
      <c r="C75" s="155"/>
      <c r="D75" s="610">
        <f>IFERROR(D73*(1-D74),0)</f>
        <v>0</v>
      </c>
      <c r="E75" s="611">
        <f t="shared" ref="E75:K75" si="26">IFERROR(E73*(1-E74),0)</f>
        <v>0</v>
      </c>
      <c r="F75" s="611">
        <f t="shared" si="26"/>
        <v>0</v>
      </c>
      <c r="G75" s="611">
        <f t="shared" si="26"/>
        <v>0</v>
      </c>
      <c r="H75" s="611">
        <f t="shared" si="26"/>
        <v>0</v>
      </c>
      <c r="I75" s="611">
        <f t="shared" si="26"/>
        <v>0</v>
      </c>
      <c r="J75" s="611">
        <f t="shared" si="26"/>
        <v>0</v>
      </c>
      <c r="K75" s="611">
        <f t="shared" si="26"/>
        <v>0</v>
      </c>
      <c r="L75" s="669">
        <f>SUM(D75:INDEX(D75:K75,0,MATCH('RFPR cover'!$C$7,$D$6:$K$6,0)))</f>
        <v>0</v>
      </c>
      <c r="M75" s="670">
        <f>SUM(D75:K75)</f>
        <v>0</v>
      </c>
    </row>
    <row r="76" spans="1:14" s="533" customFormat="1" ht="14.25" customHeight="1">
      <c r="A76" s="532"/>
      <c r="C76" s="534"/>
      <c r="D76" s="535"/>
      <c r="E76" s="535"/>
      <c r="F76" s="535"/>
      <c r="G76" s="535"/>
      <c r="H76" s="535"/>
      <c r="I76" s="535"/>
      <c r="J76" s="535"/>
      <c r="K76" s="535"/>
      <c r="L76" s="536"/>
      <c r="M76" s="536"/>
    </row>
    <row r="77" spans="1:14" s="2" customFormat="1">
      <c r="B77" s="116" t="s">
        <v>395</v>
      </c>
      <c r="C77" s="150"/>
      <c r="D77" s="133"/>
      <c r="E77" s="133"/>
      <c r="F77" s="133"/>
      <c r="G77" s="133"/>
      <c r="H77" s="133"/>
      <c r="I77" s="133"/>
      <c r="J77" s="133"/>
      <c r="K77" s="133"/>
      <c r="L77" s="80"/>
      <c r="M77" s="80"/>
      <c r="N77" s="80"/>
    </row>
    <row r="78" spans="1:14" s="2" customFormat="1">
      <c r="B78" s="367" t="s">
        <v>394</v>
      </c>
      <c r="C78" s="291"/>
      <c r="D78" s="292"/>
      <c r="E78" s="292"/>
      <c r="F78" s="292"/>
      <c r="G78" s="292"/>
      <c r="H78" s="292"/>
      <c r="I78" s="292"/>
      <c r="J78" s="292"/>
      <c r="K78" s="292"/>
      <c r="L78" s="293"/>
      <c r="M78" s="293"/>
      <c r="N78" s="293"/>
    </row>
    <row r="79" spans="1:14" s="2" customFormat="1">
      <c r="B79" s="367" t="s">
        <v>396</v>
      </c>
      <c r="C79" s="291"/>
      <c r="D79" s="292"/>
      <c r="E79" s="292"/>
      <c r="F79" s="292"/>
      <c r="G79" s="292"/>
      <c r="H79" s="292"/>
      <c r="I79" s="292"/>
      <c r="J79" s="292"/>
      <c r="K79" s="292"/>
      <c r="L79" s="293"/>
      <c r="M79" s="293"/>
      <c r="N79" s="293"/>
    </row>
    <row r="80" spans="1:14" s="533" customFormat="1">
      <c r="B80" s="538"/>
      <c r="C80" s="539"/>
      <c r="D80" s="540"/>
      <c r="E80" s="540"/>
      <c r="F80" s="540"/>
      <c r="G80" s="540"/>
      <c r="H80" s="540"/>
      <c r="I80" s="540"/>
      <c r="J80" s="540"/>
      <c r="K80" s="540"/>
    </row>
    <row r="81" spans="1:22" s="2" customFormat="1">
      <c r="B81" s="12"/>
      <c r="C81" s="541" t="s">
        <v>397</v>
      </c>
      <c r="D81" s="544" t="str">
        <f t="shared" ref="D81:K81" si="27">IF($C50=$B$33,D$6,IF(D$6-RIGHT($C50,1)&lt;$D$6,"Pre-RIIO",D$6-RIGHT($C50,1)))</f>
        <v>Pre-RIIO</v>
      </c>
      <c r="E81" s="545" t="str">
        <f t="shared" si="27"/>
        <v>Pre-RIIO</v>
      </c>
      <c r="F81" s="545">
        <f t="shared" si="27"/>
        <v>2016</v>
      </c>
      <c r="G81" s="545">
        <f t="shared" si="27"/>
        <v>2017</v>
      </c>
      <c r="H81" s="545">
        <f t="shared" si="27"/>
        <v>2018</v>
      </c>
      <c r="I81" s="545">
        <f t="shared" si="27"/>
        <v>2019</v>
      </c>
      <c r="J81" s="545">
        <f t="shared" si="27"/>
        <v>2020</v>
      </c>
      <c r="K81" s="546">
        <f t="shared" si="27"/>
        <v>2021</v>
      </c>
    </row>
    <row r="82" spans="1:22" s="2" customFormat="1">
      <c r="A82" s="3" t="str">
        <f>A11</f>
        <v>a</v>
      </c>
      <c r="B82" s="129" t="str">
        <f>B11&amp;""</f>
        <v>Broad measure of customer service</v>
      </c>
      <c r="C82" s="136" t="s">
        <v>128</v>
      </c>
      <c r="D82" s="638">
        <v>2.3880586688999994</v>
      </c>
      <c r="E82" s="639">
        <v>2.1673151658982968</v>
      </c>
      <c r="F82" s="639">
        <v>3.985476737729658</v>
      </c>
      <c r="G82" s="639">
        <v>4.128612600000003</v>
      </c>
      <c r="H82" s="617">
        <v>4.3164354743606053</v>
      </c>
      <c r="I82" s="617">
        <v>4.5178753628282449</v>
      </c>
      <c r="J82" s="617">
        <v>4.8366091481897762</v>
      </c>
      <c r="K82" s="617">
        <f>+I11*Data!H$34</f>
        <v>4.8952691052757062</v>
      </c>
      <c r="O82" s="948"/>
      <c r="P82" s="948"/>
      <c r="Q82" s="948"/>
      <c r="R82" s="948"/>
      <c r="S82" s="948"/>
      <c r="T82" s="948"/>
      <c r="U82" s="948"/>
      <c r="V82" s="948"/>
    </row>
    <row r="83" spans="1:22" s="2" customFormat="1">
      <c r="A83" s="3"/>
      <c r="B83" s="129"/>
      <c r="C83" s="136"/>
      <c r="D83" s="136"/>
      <c r="E83" s="136"/>
      <c r="F83" s="136"/>
      <c r="G83" s="136"/>
      <c r="H83" s="136"/>
      <c r="I83" s="136"/>
      <c r="J83" s="136"/>
      <c r="K83" s="136"/>
      <c r="L83" s="136"/>
      <c r="O83" s="948"/>
      <c r="P83" s="948"/>
      <c r="Q83" s="948"/>
      <c r="R83" s="948"/>
      <c r="S83" s="948"/>
      <c r="T83" s="948"/>
      <c r="U83" s="948"/>
      <c r="V83" s="948"/>
    </row>
    <row r="84" spans="1:22" s="2" customFormat="1">
      <c r="A84" s="3"/>
      <c r="B84" s="129"/>
      <c r="C84" s="541" t="s">
        <v>397</v>
      </c>
      <c r="D84" s="544" t="str">
        <f t="shared" ref="D84:K84" si="28">IF($C54=$B$33,D$6,IF(D$6-RIGHT($C54,1)&lt;$D$6,"Pre-RIIO",D$6-RIGHT($C54,1)))</f>
        <v>Pre-RIIO</v>
      </c>
      <c r="E84" s="545" t="str">
        <f t="shared" si="28"/>
        <v>Pre-RIIO</v>
      </c>
      <c r="F84" s="545">
        <f t="shared" si="28"/>
        <v>2016</v>
      </c>
      <c r="G84" s="545">
        <f t="shared" si="28"/>
        <v>2017</v>
      </c>
      <c r="H84" s="545">
        <f t="shared" si="28"/>
        <v>2018</v>
      </c>
      <c r="I84" s="545">
        <f t="shared" si="28"/>
        <v>2019</v>
      </c>
      <c r="J84" s="545">
        <f t="shared" si="28"/>
        <v>2020</v>
      </c>
      <c r="K84" s="546">
        <f t="shared" si="28"/>
        <v>2021</v>
      </c>
      <c r="O84" s="948"/>
      <c r="P84" s="948"/>
      <c r="Q84" s="948"/>
      <c r="R84" s="948"/>
      <c r="S84" s="948"/>
      <c r="T84" s="948"/>
      <c r="U84" s="948"/>
      <c r="V84" s="948"/>
    </row>
    <row r="85" spans="1:22" s="2" customFormat="1">
      <c r="A85" s="3" t="str">
        <f>A12</f>
        <v>b</v>
      </c>
      <c r="B85" s="129" t="str">
        <f>B12&amp;""</f>
        <v>Interruptions-related quality of service</v>
      </c>
      <c r="C85" s="136" t="s">
        <v>128</v>
      </c>
      <c r="D85" s="638">
        <v>4.9079221662150001</v>
      </c>
      <c r="E85" s="639">
        <v>5.8106222910786931</v>
      </c>
      <c r="F85" s="639">
        <v>5.8223395612175697</v>
      </c>
      <c r="G85" s="639">
        <v>4.2084352807151353</v>
      </c>
      <c r="H85" s="617">
        <v>-0.46306793557735471</v>
      </c>
      <c r="I85" s="617">
        <f>+G12*(1+(Data!H$63*Data!$E$83)+(Data!$C$83*(1-Data!$E$83)))*(1+(Data!I$63*Data!$E$83)+(Data!$C$83*(1-Data!$E$83)))*1.217</f>
        <v>4.288804415008153</v>
      </c>
      <c r="J85" s="617">
        <f>+H12*(1+(Data!I$63*Data!$E$83)+(Data!$C$83*(1-Data!$E$83)))*(1+(Data!J$63*Data!$E$83)+(Data!$C$83*(1-Data!$E$83)))*1.238</f>
        <v>7.194845408102184</v>
      </c>
      <c r="K85" s="617">
        <f>+I12*(1+(Data!J$63*Data!$E$83)+(Data!$C$83*(1-Data!$E$83)))*(1+(Data!K$63*Data!$E$83)+(Data!$C$83*(1-Data!$E$83)))*Data!J$34</f>
        <v>1.5204101009758639</v>
      </c>
      <c r="O85" s="948"/>
      <c r="P85" s="948"/>
      <c r="Q85" s="948"/>
      <c r="R85" s="948"/>
      <c r="S85" s="948"/>
      <c r="T85" s="948"/>
      <c r="U85" s="948"/>
      <c r="V85" s="948"/>
    </row>
    <row r="86" spans="1:22" s="2" customFormat="1">
      <c r="A86" s="3"/>
      <c r="B86" s="129"/>
      <c r="C86" s="136"/>
      <c r="D86" s="136"/>
      <c r="E86" s="136"/>
      <c r="F86" s="136"/>
      <c r="G86" s="136"/>
      <c r="H86" s="136"/>
      <c r="I86" s="136"/>
      <c r="J86" s="136"/>
      <c r="K86" s="136"/>
      <c r="L86" s="136"/>
      <c r="O86" s="948"/>
      <c r="P86" s="948"/>
      <c r="Q86" s="948"/>
      <c r="R86" s="948"/>
      <c r="S86" s="948"/>
      <c r="T86" s="948"/>
      <c r="U86" s="948"/>
      <c r="V86" s="948"/>
    </row>
    <row r="87" spans="1:22" s="2" customFormat="1">
      <c r="A87" s="3"/>
      <c r="B87" s="129"/>
      <c r="C87" s="541" t="s">
        <v>397</v>
      </c>
      <c r="D87" s="544" t="str">
        <f t="shared" ref="D87:K87" si="29">IF($C58=$B$33,D$6,IF(D$6-RIGHT($C58,1)&lt;$D$6,"Pre-RIIO",D$6-RIGHT($C58,1)))</f>
        <v>Pre-RIIO</v>
      </c>
      <c r="E87" s="545" t="str">
        <f t="shared" si="29"/>
        <v>Pre-RIIO</v>
      </c>
      <c r="F87" s="545" t="str">
        <f t="shared" si="29"/>
        <v>Pre-RIIO</v>
      </c>
      <c r="G87" s="545">
        <f t="shared" si="29"/>
        <v>2016</v>
      </c>
      <c r="H87" s="545">
        <f t="shared" si="29"/>
        <v>2017</v>
      </c>
      <c r="I87" s="545">
        <f t="shared" si="29"/>
        <v>2018</v>
      </c>
      <c r="J87" s="545">
        <f t="shared" si="29"/>
        <v>2019</v>
      </c>
      <c r="K87" s="546">
        <f t="shared" si="29"/>
        <v>2020</v>
      </c>
      <c r="O87" s="948"/>
      <c r="P87" s="948"/>
      <c r="Q87" s="948"/>
      <c r="R87" s="948"/>
      <c r="S87" s="948"/>
      <c r="T87" s="948"/>
      <c r="U87" s="948"/>
      <c r="V87" s="948"/>
    </row>
    <row r="88" spans="1:22" s="2" customFormat="1">
      <c r="A88" s="3" t="str">
        <f>A13</f>
        <v>c</v>
      </c>
      <c r="B88" s="129" t="str">
        <f>B13&amp;""</f>
        <v>Incentive on connections engagement</v>
      </c>
      <c r="C88" s="136" t="s">
        <v>128</v>
      </c>
      <c r="D88" s="638">
        <v>0</v>
      </c>
      <c r="E88" s="639">
        <v>0</v>
      </c>
      <c r="F88" s="639">
        <v>0</v>
      </c>
      <c r="G88" s="639">
        <v>0</v>
      </c>
      <c r="H88" s="617">
        <v>0</v>
      </c>
      <c r="I88" s="617">
        <v>0</v>
      </c>
      <c r="J88" s="617">
        <v>0</v>
      </c>
      <c r="K88" s="617">
        <v>0</v>
      </c>
      <c r="O88" s="948"/>
      <c r="P88" s="948"/>
      <c r="Q88" s="948"/>
      <c r="R88" s="948"/>
      <c r="S88" s="948"/>
      <c r="T88" s="948"/>
      <c r="U88" s="948"/>
      <c r="V88" s="948"/>
    </row>
    <row r="89" spans="1:22" s="2" customFormat="1">
      <c r="A89" s="3"/>
      <c r="B89" s="129"/>
      <c r="C89" s="136"/>
      <c r="D89" s="136"/>
      <c r="E89" s="136"/>
      <c r="F89" s="136"/>
      <c r="G89" s="136"/>
      <c r="H89" s="136"/>
      <c r="I89" s="136"/>
      <c r="J89" s="136"/>
      <c r="K89" s="136"/>
      <c r="L89" s="136"/>
      <c r="O89" s="948"/>
      <c r="P89" s="948"/>
      <c r="Q89" s="948"/>
      <c r="R89" s="948"/>
      <c r="S89" s="948"/>
      <c r="T89" s="948"/>
      <c r="U89" s="948"/>
      <c r="V89" s="948"/>
    </row>
    <row r="90" spans="1:22" s="2" customFormat="1">
      <c r="A90" s="3"/>
      <c r="B90" s="129"/>
      <c r="C90" s="541" t="s">
        <v>397</v>
      </c>
      <c r="D90" s="544" t="str">
        <f t="shared" ref="D90:K90" si="30">IF($C62=$B$33,D$6,IF(D$6-RIGHT($C62,1)&lt;$D$6,"Pre-RIIO",D$6-RIGHT($C62,1)))</f>
        <v>Pre-RIIO</v>
      </c>
      <c r="E90" s="545" t="str">
        <f t="shared" si="30"/>
        <v>Pre-RIIO</v>
      </c>
      <c r="F90" s="545">
        <f t="shared" si="30"/>
        <v>2016</v>
      </c>
      <c r="G90" s="545">
        <f t="shared" si="30"/>
        <v>2017</v>
      </c>
      <c r="H90" s="545">
        <f t="shared" si="30"/>
        <v>2018</v>
      </c>
      <c r="I90" s="545">
        <f t="shared" si="30"/>
        <v>2019</v>
      </c>
      <c r="J90" s="545">
        <f t="shared" si="30"/>
        <v>2020</v>
      </c>
      <c r="K90" s="546">
        <f t="shared" si="30"/>
        <v>2021</v>
      </c>
      <c r="O90" s="948"/>
      <c r="P90" s="948"/>
      <c r="Q90" s="948"/>
      <c r="R90" s="948"/>
      <c r="S90" s="948"/>
      <c r="T90" s="948"/>
      <c r="U90" s="948"/>
      <c r="V90" s="948"/>
    </row>
    <row r="91" spans="1:22" s="2" customFormat="1">
      <c r="A91" s="3" t="str">
        <f>A14</f>
        <v>d</v>
      </c>
      <c r="B91" s="129" t="str">
        <f>B14&amp;""</f>
        <v>Time to Connect Incentive</v>
      </c>
      <c r="C91" s="136" t="s">
        <v>128</v>
      </c>
      <c r="D91" s="638">
        <v>0</v>
      </c>
      <c r="E91" s="639">
        <v>0</v>
      </c>
      <c r="F91" s="639">
        <v>1.2039896658833147</v>
      </c>
      <c r="G91" s="639">
        <v>1.0317740999999998</v>
      </c>
      <c r="H91" s="617">
        <v>1.348276693573107</v>
      </c>
      <c r="I91" s="617">
        <v>1.3894742004700111</v>
      </c>
      <c r="J91" s="617">
        <v>1.4254435475630938</v>
      </c>
      <c r="K91" s="617">
        <f>+I14*Data!H$34</f>
        <v>0.87881982159354222</v>
      </c>
      <c r="O91" s="948"/>
      <c r="P91" s="948"/>
      <c r="Q91" s="948"/>
      <c r="R91" s="948"/>
      <c r="S91" s="948"/>
      <c r="T91" s="948"/>
      <c r="U91" s="948"/>
      <c r="V91" s="948"/>
    </row>
    <row r="92" spans="1:22" s="2" customFormat="1">
      <c r="A92" s="3"/>
      <c r="B92" s="129"/>
      <c r="C92" s="136"/>
      <c r="D92" s="136"/>
      <c r="E92" s="136"/>
      <c r="F92" s="136"/>
      <c r="G92" s="136"/>
      <c r="H92" s="136"/>
      <c r="I92" s="136"/>
      <c r="J92" s="136"/>
      <c r="K92" s="136"/>
      <c r="L92" s="136"/>
      <c r="O92" s="948"/>
      <c r="P92" s="948"/>
      <c r="Q92" s="948"/>
      <c r="R92" s="948"/>
      <c r="S92" s="948"/>
      <c r="T92" s="948"/>
      <c r="U92" s="948"/>
      <c r="V92" s="948"/>
    </row>
    <row r="93" spans="1:22" s="2" customFormat="1">
      <c r="A93" s="3"/>
      <c r="B93" s="129"/>
      <c r="C93" s="541" t="s">
        <v>397</v>
      </c>
      <c r="D93" s="544" t="str">
        <f>IF($C66=$B$33,D$6,IF(D$6-RIGHT($C66,1)&lt;$D$6,"Pre-RIIO",D$6-RIGHT($C66,1)))</f>
        <v>Pre-RIIO</v>
      </c>
      <c r="E93" s="545">
        <f t="shared" ref="E93:K93" si="31">IF($C66=$B$33,E$6,IF(E$6-RIGHT($C66,1)&lt;$D$6,"Pre-RIIO",E$6-RIGHT($C66,1)))</f>
        <v>2016</v>
      </c>
      <c r="F93" s="545">
        <f t="shared" si="31"/>
        <v>2017</v>
      </c>
      <c r="G93" s="545">
        <f t="shared" si="31"/>
        <v>2018</v>
      </c>
      <c r="H93" s="545">
        <f t="shared" si="31"/>
        <v>2019</v>
      </c>
      <c r="I93" s="545">
        <f t="shared" si="31"/>
        <v>2020</v>
      </c>
      <c r="J93" s="545">
        <f t="shared" si="31"/>
        <v>2021</v>
      </c>
      <c r="K93" s="546">
        <f t="shared" si="31"/>
        <v>2022</v>
      </c>
      <c r="O93" s="948"/>
      <c r="P93" s="948"/>
      <c r="Q93" s="948"/>
      <c r="R93" s="948"/>
      <c r="S93" s="948"/>
      <c r="T93" s="948"/>
      <c r="U93" s="948"/>
      <c r="V93" s="948"/>
    </row>
    <row r="94" spans="1:22" s="2" customFormat="1">
      <c r="A94" s="3" t="str">
        <f>A15</f>
        <v>e</v>
      </c>
      <c r="B94" s="129" t="str">
        <f>B15&amp;""</f>
        <v>Losses discretionary reward scheme</v>
      </c>
      <c r="C94" s="136" t="s">
        <v>128</v>
      </c>
      <c r="D94" s="638">
        <v>0</v>
      </c>
      <c r="E94" s="639">
        <v>0</v>
      </c>
      <c r="F94" s="639">
        <v>4.4839999999999998E-2</v>
      </c>
      <c r="G94" s="639">
        <v>0</v>
      </c>
      <c r="H94" s="617">
        <v>0</v>
      </c>
      <c r="I94" s="617">
        <v>0</v>
      </c>
      <c r="J94" s="617">
        <f>+I15*Data!H$34</f>
        <v>0</v>
      </c>
      <c r="K94" s="617">
        <f>+J15*Data!I$34</f>
        <v>0</v>
      </c>
      <c r="O94" s="948"/>
      <c r="P94" s="948"/>
      <c r="Q94" s="948"/>
      <c r="R94" s="948"/>
      <c r="S94" s="948"/>
      <c r="T94" s="948"/>
      <c r="U94" s="948"/>
      <c r="V94" s="948"/>
    </row>
    <row r="95" spans="1:22" s="2" customFormat="1">
      <c r="A95" s="3"/>
      <c r="B95" s="129"/>
      <c r="C95" s="136"/>
      <c r="D95" s="136"/>
      <c r="E95" s="136"/>
      <c r="F95" s="136"/>
      <c r="G95" s="136"/>
      <c r="H95" s="136"/>
      <c r="I95" s="136"/>
      <c r="J95" s="136"/>
      <c r="K95" s="136"/>
      <c r="L95" s="136"/>
      <c r="O95" s="948"/>
      <c r="P95" s="948"/>
      <c r="Q95" s="948"/>
      <c r="R95" s="948"/>
      <c r="S95" s="948"/>
      <c r="T95" s="948"/>
      <c r="U95" s="948"/>
      <c r="V95" s="948"/>
    </row>
    <row r="96" spans="1:22" s="2" customFormat="1">
      <c r="A96" s="3"/>
      <c r="B96" s="129"/>
      <c r="C96" s="541" t="s">
        <v>397</v>
      </c>
      <c r="D96" s="544" t="str">
        <f>IF($C70=$B$33,D$6,IF(D$6-RIGHT($C70,1)&lt;$D$6,"Pre-RIIO",D$6-RIGHT($C70,1)))</f>
        <v>Pre-RIIO</v>
      </c>
      <c r="E96" s="544">
        <f t="shared" ref="E96:K96" si="32">IF($C70=$B$33,E$6,IF(E$6-RIGHT($C70,1)&lt;$D$6,"Pre-RIIO",E$6-RIGHT($C70,1)))</f>
        <v>2016</v>
      </c>
      <c r="F96" s="544">
        <f t="shared" si="32"/>
        <v>2017</v>
      </c>
      <c r="G96" s="544">
        <f t="shared" si="32"/>
        <v>2018</v>
      </c>
      <c r="H96" s="544">
        <f t="shared" si="32"/>
        <v>2019</v>
      </c>
      <c r="I96" s="544">
        <f t="shared" si="32"/>
        <v>2020</v>
      </c>
      <c r="J96" s="544">
        <f t="shared" si="32"/>
        <v>2021</v>
      </c>
      <c r="K96" s="544">
        <f t="shared" si="32"/>
        <v>2022</v>
      </c>
      <c r="O96" s="948"/>
      <c r="P96" s="948"/>
      <c r="Q96" s="948"/>
      <c r="R96" s="948"/>
      <c r="S96" s="948"/>
      <c r="T96" s="948"/>
      <c r="U96" s="948"/>
      <c r="V96" s="948"/>
    </row>
    <row r="97" spans="1:22" s="2" customFormat="1">
      <c r="A97" s="3" t="str">
        <f>A16</f>
        <v>f</v>
      </c>
      <c r="B97" s="129" t="str">
        <f>B16&amp;""</f>
        <v/>
      </c>
      <c r="C97" s="136" t="s">
        <v>128</v>
      </c>
      <c r="D97" s="638"/>
      <c r="E97" s="639"/>
      <c r="F97" s="639"/>
      <c r="G97" s="639"/>
      <c r="H97" s="617"/>
      <c r="I97" s="617"/>
      <c r="J97" s="617"/>
      <c r="K97" s="617"/>
      <c r="O97" s="948"/>
      <c r="P97" s="948"/>
      <c r="Q97" s="948"/>
      <c r="R97" s="948"/>
      <c r="S97" s="948"/>
      <c r="T97" s="948"/>
      <c r="U97" s="948"/>
      <c r="V97" s="948"/>
    </row>
    <row r="98" spans="1:22" s="2" customFormat="1">
      <c r="A98" s="3"/>
      <c r="B98" s="129"/>
      <c r="C98" s="136"/>
      <c r="D98" s="136"/>
      <c r="E98" s="136"/>
      <c r="F98" s="136"/>
      <c r="G98" s="136"/>
      <c r="H98" s="136"/>
      <c r="I98" s="136"/>
      <c r="J98" s="136"/>
      <c r="K98" s="136"/>
      <c r="L98" s="136"/>
      <c r="O98" s="948"/>
      <c r="P98" s="948"/>
      <c r="Q98" s="948"/>
      <c r="R98" s="948"/>
      <c r="S98" s="948"/>
      <c r="T98" s="948"/>
      <c r="U98" s="948"/>
      <c r="V98" s="948"/>
    </row>
    <row r="99" spans="1:22" s="2" customFormat="1">
      <c r="A99" s="3"/>
      <c r="B99" s="129"/>
      <c r="C99" s="541" t="s">
        <v>397</v>
      </c>
      <c r="D99" s="544" t="str">
        <f>IF($C74=$B$33,D$6,IF(D$6-RIGHT($C74,1)&lt;$D$6,"Pre-RIIO",D$6-RIGHT($C74,1)))</f>
        <v>Pre-RIIO</v>
      </c>
      <c r="E99" s="544">
        <f t="shared" ref="E99:K99" si="33">IF($C74=$B$33,E$6,IF(E$6-RIGHT($C74,1)&lt;$D$6,"Pre-RIIO",E$6-RIGHT($C74,1)))</f>
        <v>2016</v>
      </c>
      <c r="F99" s="544">
        <f t="shared" si="33"/>
        <v>2017</v>
      </c>
      <c r="G99" s="544">
        <f t="shared" si="33"/>
        <v>2018</v>
      </c>
      <c r="H99" s="544">
        <f t="shared" si="33"/>
        <v>2019</v>
      </c>
      <c r="I99" s="544">
        <f t="shared" si="33"/>
        <v>2020</v>
      </c>
      <c r="J99" s="544">
        <f t="shared" si="33"/>
        <v>2021</v>
      </c>
      <c r="K99" s="544">
        <f t="shared" si="33"/>
        <v>2022</v>
      </c>
      <c r="O99" s="948"/>
      <c r="P99" s="948"/>
      <c r="Q99" s="948"/>
      <c r="R99" s="948"/>
      <c r="S99" s="948"/>
      <c r="T99" s="948"/>
      <c r="U99" s="948"/>
      <c r="V99" s="948"/>
    </row>
    <row r="100" spans="1:22" s="2" customFormat="1">
      <c r="A100" s="3" t="str">
        <f>A17</f>
        <v>g</v>
      </c>
      <c r="B100" s="129" t="str">
        <f>B17&amp;""</f>
        <v/>
      </c>
      <c r="C100" s="136" t="s">
        <v>128</v>
      </c>
      <c r="D100" s="638"/>
      <c r="E100" s="639"/>
      <c r="F100" s="639"/>
      <c r="G100" s="639"/>
      <c r="H100" s="617"/>
      <c r="I100" s="617"/>
      <c r="J100" s="617"/>
      <c r="K100" s="617"/>
      <c r="O100" s="948"/>
      <c r="P100" s="948"/>
      <c r="Q100" s="948"/>
      <c r="R100" s="948"/>
      <c r="S100" s="948"/>
      <c r="T100" s="948"/>
      <c r="U100" s="948"/>
      <c r="V100" s="948"/>
    </row>
    <row r="101" spans="1:22" s="2" customFormat="1">
      <c r="A101" s="3"/>
      <c r="B101" s="129"/>
      <c r="C101" s="136"/>
      <c r="D101" s="136"/>
      <c r="E101" s="136"/>
      <c r="F101" s="136"/>
      <c r="G101" s="136"/>
      <c r="H101" s="136"/>
      <c r="I101" s="136"/>
      <c r="J101" s="136"/>
      <c r="K101" s="136"/>
      <c r="L101" s="136"/>
      <c r="M101" s="136"/>
    </row>
    <row r="102" spans="1:22" s="2" customFormat="1">
      <c r="B102" s="12" t="s">
        <v>158</v>
      </c>
      <c r="C102" s="157" t="s">
        <v>128</v>
      </c>
      <c r="D102" s="610">
        <f>SUM(D82,D85,D88,D91,D94,D97,D100)</f>
        <v>7.2959808351149995</v>
      </c>
      <c r="E102" s="610">
        <f t="shared" ref="E102:K102" si="34">SUM(E82,E85,E88,E91,E94,E97,E100)</f>
        <v>7.9779374569769903</v>
      </c>
      <c r="F102" s="610">
        <f t="shared" si="34"/>
        <v>11.056645964830542</v>
      </c>
      <c r="G102" s="610">
        <f t="shared" si="34"/>
        <v>9.3688219807151381</v>
      </c>
      <c r="H102" s="611">
        <f>SUM(H82,H85,H88,H91,H94,H97,H100)</f>
        <v>5.2016442323563572</v>
      </c>
      <c r="I102" s="611">
        <f t="shared" si="34"/>
        <v>10.196153978306409</v>
      </c>
      <c r="J102" s="611">
        <f t="shared" si="34"/>
        <v>13.456898103855053</v>
      </c>
      <c r="K102" s="611">
        <f t="shared" si="34"/>
        <v>7.2944990278451129</v>
      </c>
    </row>
    <row r="103" spans="1:22" s="2" customFormat="1">
      <c r="C103" s="136"/>
    </row>
    <row r="104" spans="1:22" s="2" customFormat="1">
      <c r="A104" s="35"/>
      <c r="B104" s="12" t="s">
        <v>372</v>
      </c>
      <c r="C104" s="156"/>
      <c r="D104" s="156"/>
      <c r="E104" s="156"/>
      <c r="F104" s="156"/>
      <c r="G104" s="156"/>
      <c r="H104" s="156"/>
      <c r="I104" s="156"/>
      <c r="J104" s="156"/>
      <c r="K104" s="156"/>
      <c r="L104" s="156"/>
      <c r="M104" s="156"/>
    </row>
    <row r="105" spans="1:22" s="2" customFormat="1">
      <c r="A105" s="269" t="str">
        <f>A82</f>
        <v>a</v>
      </c>
      <c r="B105" s="946" t="str">
        <f>+B21</f>
        <v>WPD remain in discussion with Ofgem regarding the 2019/20 and 2020/21 SECV incentive awards. As a result Actuals for these years reflect a forecast award based on the prior 3 year average performance.</v>
      </c>
      <c r="C105" s="946"/>
      <c r="D105" s="946"/>
      <c r="E105" s="946"/>
      <c r="F105" s="946"/>
      <c r="G105" s="946"/>
      <c r="H105" s="946"/>
      <c r="I105" s="946"/>
      <c r="J105" s="946"/>
      <c r="K105" s="946"/>
      <c r="L105" s="946"/>
      <c r="M105" s="946"/>
    </row>
    <row r="106" spans="1:22" s="2" customFormat="1">
      <c r="A106" s="269" t="str">
        <f>A85</f>
        <v>b</v>
      </c>
      <c r="B106" s="946"/>
      <c r="C106" s="946"/>
      <c r="D106" s="946"/>
      <c r="E106" s="946"/>
      <c r="F106" s="946"/>
      <c r="G106" s="946"/>
      <c r="H106" s="946"/>
      <c r="I106" s="946"/>
      <c r="J106" s="946"/>
      <c r="K106" s="946"/>
      <c r="L106" s="946"/>
      <c r="M106" s="946"/>
    </row>
    <row r="107" spans="1:22" s="2" customFormat="1">
      <c r="A107" s="269" t="str">
        <f>A88</f>
        <v>c</v>
      </c>
      <c r="B107" s="946"/>
      <c r="C107" s="946"/>
      <c r="D107" s="946"/>
      <c r="E107" s="946"/>
      <c r="F107" s="946"/>
      <c r="G107" s="946"/>
      <c r="H107" s="946"/>
      <c r="I107" s="946"/>
      <c r="J107" s="946"/>
      <c r="K107" s="946"/>
      <c r="L107" s="946"/>
      <c r="M107" s="946"/>
    </row>
    <row r="108" spans="1:22" s="2" customFormat="1">
      <c r="A108" s="269" t="str">
        <f>A91</f>
        <v>d</v>
      </c>
      <c r="B108" s="946"/>
      <c r="C108" s="946"/>
      <c r="D108" s="946"/>
      <c r="E108" s="946"/>
      <c r="F108" s="946"/>
      <c r="G108" s="946"/>
      <c r="H108" s="946"/>
      <c r="I108" s="946"/>
      <c r="J108" s="946"/>
      <c r="K108" s="946"/>
      <c r="L108" s="946"/>
      <c r="M108" s="946"/>
    </row>
    <row r="109" spans="1:22" s="2" customFormat="1">
      <c r="A109" s="269" t="str">
        <f>A94</f>
        <v>e</v>
      </c>
      <c r="B109" s="946"/>
      <c r="C109" s="946"/>
      <c r="D109" s="946"/>
      <c r="E109" s="946"/>
      <c r="F109" s="946"/>
      <c r="G109" s="946"/>
      <c r="H109" s="946"/>
      <c r="I109" s="946"/>
      <c r="J109" s="946"/>
      <c r="K109" s="946"/>
      <c r="L109" s="946"/>
      <c r="M109" s="946"/>
    </row>
    <row r="110" spans="1:22" s="2" customFormat="1">
      <c r="A110" s="269" t="str">
        <f>A97</f>
        <v>f</v>
      </c>
      <c r="B110" s="997"/>
      <c r="C110" s="997"/>
      <c r="D110" s="997"/>
      <c r="E110" s="997"/>
      <c r="F110" s="997"/>
      <c r="G110" s="997"/>
      <c r="H110" s="997"/>
      <c r="I110" s="997"/>
      <c r="J110" s="997"/>
      <c r="K110" s="997"/>
      <c r="L110" s="997"/>
      <c r="M110" s="997"/>
    </row>
    <row r="111" spans="1:22" s="2" customFormat="1">
      <c r="A111" s="269" t="str">
        <f>A100</f>
        <v>g</v>
      </c>
      <c r="B111" s="997"/>
      <c r="C111" s="997"/>
      <c r="D111" s="997"/>
      <c r="E111" s="997"/>
      <c r="F111" s="997"/>
      <c r="G111" s="997"/>
      <c r="H111" s="997"/>
      <c r="I111" s="997"/>
      <c r="J111" s="997"/>
      <c r="K111" s="997"/>
      <c r="L111" s="997"/>
      <c r="M111" s="997"/>
    </row>
    <row r="112" spans="1:22" s="533" customFormat="1">
      <c r="A112" s="532"/>
      <c r="C112" s="534"/>
      <c r="D112" s="535"/>
      <c r="E112" s="535"/>
      <c r="F112" s="535"/>
      <c r="G112" s="535"/>
      <c r="H112" s="535"/>
      <c r="I112" s="535"/>
      <c r="J112" s="535"/>
      <c r="K112" s="535"/>
      <c r="L112" s="536"/>
      <c r="M112" s="536"/>
    </row>
    <row r="113" spans="1:14" s="533" customFormat="1">
      <c r="A113" s="532"/>
      <c r="C113" s="534"/>
      <c r="D113" s="534"/>
      <c r="E113" s="534"/>
      <c r="F113" s="534"/>
      <c r="G113" s="534"/>
      <c r="H113" s="534"/>
      <c r="I113" s="534"/>
      <c r="J113" s="534"/>
      <c r="K113" s="534"/>
      <c r="L113" s="534"/>
      <c r="M113" s="534"/>
    </row>
    <row r="114" spans="1:14" s="2" customFormat="1">
      <c r="A114" s="80"/>
      <c r="B114" s="80"/>
      <c r="C114" s="150"/>
      <c r="D114" s="80"/>
      <c r="E114" s="80"/>
      <c r="F114" s="80"/>
      <c r="G114" s="80"/>
      <c r="H114" s="80"/>
      <c r="I114" s="80"/>
      <c r="J114" s="80"/>
      <c r="K114" s="80"/>
      <c r="L114" s="80"/>
      <c r="M114" s="80"/>
      <c r="N114" s="80"/>
    </row>
  </sheetData>
  <mergeCells count="7">
    <mergeCell ref="B110:M110"/>
    <mergeCell ref="B111:M111"/>
    <mergeCell ref="B21:M21"/>
    <mergeCell ref="B22:M22"/>
    <mergeCell ref="B23:M23"/>
    <mergeCell ref="B24:M24"/>
    <mergeCell ref="B25:M25"/>
  </mergeCells>
  <conditionalFormatting sqref="D6:K6">
    <cfRule type="expression" dxfId="57" priority="31">
      <formula>AND(D$5="Actuals",E$5="Forecast")</formula>
    </cfRule>
  </conditionalFormatting>
  <conditionalFormatting sqref="D5:K5">
    <cfRule type="expression" dxfId="56"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Props1.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2.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285FE4-1466-4BF7-8FA9-67F63A3D57B8}">
  <ds:schemaRefs>
    <ds:schemaRef ds:uri="f35b5cbd-7b0b-4440-92cd-b510cab4ec6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b1b6b1d3-9b1c-419f-ba2e-fefc168d435a"/>
    <ds:schemaRef ds:uri="http://www.w3.org/XML/1998/namespace"/>
    <ds:schemaRef ds:uri="http://purl.org/dc/dcmitype/"/>
  </ds:schemaRefs>
</ds:datastoreItem>
</file>

<file path=customXml/itemProps4.xml><?xml version="1.0" encoding="utf-8"?>
<ds:datastoreItem xmlns:ds="http://schemas.openxmlformats.org/officeDocument/2006/customXml" ds:itemID="{97247F6B-F6E9-4D92-A90E-8A3B08A3550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draft_RFPR_reporting_pack_template_v2.0</dc:title>
  <dc:subject/>
  <dc:creator>Mick Watson</dc:creator>
  <cp:lastModifiedBy>Armstrong, Scott R. (Reg Finance)</cp:lastModifiedBy>
  <cp:lastPrinted>2021-06-17T19:59:39Z</cp:lastPrinted>
  <dcterms:created xsi:type="dcterms:W3CDTF">2018-06-13T08:32:09Z</dcterms:created>
  <dcterms:modified xsi:type="dcterms:W3CDTF">2021-07-28T12:16:40Z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