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30" yWindow="-45" windowWidth="20730" windowHeight="495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 name="Sheet1" sheetId="32" r:id="rId18"/>
  </sheets>
  <externalReferences>
    <externalReference r:id="rId19"/>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RoRE'!$A$1:$O$66</definedName>
    <definedName name="_xlnm.Print_Area" localSheetId="13">'R10 - Tax'!$A$1:$L$91</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Incentives'!$A$1:$M$114</definedName>
    <definedName name="_xlnm.Print_Area" localSheetId="9">'R6 - Innovation'!$A$1:$L$28</definedName>
    <definedName name="_xlnm.Print_Area" localSheetId="10">'R7 - Financing'!$A$1:$M$89</definedName>
    <definedName name="_xlnm.Print_Area" localSheetId="11">'R8 - Net Debt'!$A$1:$L$66</definedName>
    <definedName name="_xlnm.Print_Area" localSheetId="12">'R9 - RAV'!$A$1:$L$59</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29" l="1"/>
  <c r="F73" i="29"/>
  <c r="G73" i="29"/>
  <c r="D73" i="29"/>
  <c r="G20" i="20" l="1"/>
  <c r="K14" i="20"/>
  <c r="K16" i="20" s="1"/>
  <c r="J14" i="20"/>
  <c r="J16" i="20" s="1"/>
  <c r="I14" i="20"/>
  <c r="I16" i="20" s="1"/>
  <c r="H14" i="20"/>
  <c r="H16" i="20" s="1"/>
  <c r="G14" i="20"/>
  <c r="G16" i="20" s="1"/>
  <c r="H19" i="20" l="1"/>
  <c r="H20" i="20" s="1"/>
  <c r="J19" i="20"/>
  <c r="J20" i="20" s="1"/>
  <c r="K19" i="20"/>
  <c r="K20" i="20" s="1"/>
  <c r="I19" i="20"/>
  <c r="I20" i="20" s="1"/>
  <c r="D17" i="3" l="1"/>
  <c r="F17" i="3"/>
  <c r="E17" i="3"/>
  <c r="G17" i="3"/>
  <c r="I17" i="3"/>
  <c r="J17" i="3"/>
  <c r="G12" i="3"/>
  <c r="F12" i="3"/>
  <c r="K17" i="3" l="1"/>
  <c r="K12" i="3"/>
  <c r="H17" i="3"/>
  <c r="J12" i="3"/>
  <c r="D12" i="3"/>
  <c r="H12" i="3"/>
  <c r="E12" i="3"/>
  <c r="I12" i="3"/>
  <c r="B108" i="5"/>
  <c r="B106" i="5"/>
  <c r="E18" i="15" l="1"/>
  <c r="E23" i="15" s="1"/>
  <c r="E46" i="15"/>
  <c r="F46" i="15"/>
  <c r="F18" i="15"/>
  <c r="F23" i="15" s="1"/>
  <c r="D46" i="15"/>
  <c r="D18" i="15"/>
  <c r="D23" i="15" s="1"/>
  <c r="E48" i="15" l="1"/>
  <c r="F48" i="15"/>
  <c r="D48" i="15"/>
  <c r="I15" i="5"/>
  <c r="B3" i="1" l="1"/>
  <c r="B3" i="11" l="1"/>
  <c r="B3" i="3"/>
  <c r="B3" i="17"/>
  <c r="B3" i="27"/>
  <c r="K23" i="15" l="1"/>
  <c r="J23" i="15"/>
  <c r="I23" i="15"/>
  <c r="H23" i="15"/>
  <c r="K18" i="15"/>
  <c r="J18" i="15"/>
  <c r="I18" i="15"/>
  <c r="H18" i="15"/>
  <c r="D31" i="10" l="1"/>
  <c r="K31" i="10" l="1"/>
  <c r="J31" i="10"/>
  <c r="I31" i="10"/>
  <c r="H31" i="10"/>
  <c r="G31" i="10"/>
  <c r="F31" i="10"/>
  <c r="E31" i="10"/>
  <c r="E54" i="17" l="1"/>
  <c r="F54" i="17"/>
  <c r="D54" i="17"/>
  <c r="G54" i="17"/>
  <c r="H68" i="4" l="1"/>
  <c r="I68" i="4"/>
  <c r="J68" i="4"/>
  <c r="K68" i="4"/>
  <c r="A111" i="5" l="1"/>
  <c r="A110" i="5"/>
  <c r="E102" i="5"/>
  <c r="F102" i="5"/>
  <c r="D102" i="5"/>
  <c r="A100" i="5"/>
  <c r="A97" i="5"/>
  <c r="E18" i="5"/>
  <c r="F18" i="5"/>
  <c r="G18" i="5"/>
  <c r="H18" i="5"/>
  <c r="I18" i="5"/>
  <c r="J18" i="5"/>
  <c r="K18" i="5"/>
  <c r="D18" i="5"/>
  <c r="H73" i="5"/>
  <c r="D73" i="5"/>
  <c r="K73" i="5"/>
  <c r="K49" i="5"/>
  <c r="J49" i="5"/>
  <c r="I49" i="5"/>
  <c r="H49" i="5"/>
  <c r="G49" i="5"/>
  <c r="F49" i="5"/>
  <c r="E49" i="5"/>
  <c r="D49" i="5"/>
  <c r="K53" i="5"/>
  <c r="J53" i="5"/>
  <c r="I53" i="5"/>
  <c r="H53" i="5"/>
  <c r="G53" i="5"/>
  <c r="F53" i="5"/>
  <c r="E53" i="5"/>
  <c r="D53" i="5"/>
  <c r="K57" i="5"/>
  <c r="J57" i="5"/>
  <c r="I57" i="5"/>
  <c r="H57" i="5"/>
  <c r="G57" i="5"/>
  <c r="F57" i="5"/>
  <c r="E57" i="5"/>
  <c r="D57" i="5"/>
  <c r="K61" i="5"/>
  <c r="J61" i="5"/>
  <c r="I61" i="5"/>
  <c r="H61" i="5"/>
  <c r="G61" i="5"/>
  <c r="F61" i="5"/>
  <c r="E61" i="5"/>
  <c r="D61" i="5"/>
  <c r="K65" i="5"/>
  <c r="J65" i="5"/>
  <c r="I65" i="5"/>
  <c r="H65" i="5"/>
  <c r="G65" i="5"/>
  <c r="F65" i="5"/>
  <c r="E65" i="5"/>
  <c r="D65" i="5"/>
  <c r="E69" i="5"/>
  <c r="F69" i="5"/>
  <c r="G69" i="5"/>
  <c r="H69" i="5"/>
  <c r="I69" i="5"/>
  <c r="J69" i="5"/>
  <c r="K69" i="5"/>
  <c r="D69" i="5"/>
  <c r="A69" i="5"/>
  <c r="M16" i="5"/>
  <c r="M17" i="5"/>
  <c r="A44" i="5"/>
  <c r="A45" i="5"/>
  <c r="E73" i="5" l="1"/>
  <c r="I73" i="5"/>
  <c r="F73" i="5"/>
  <c r="J73" i="5"/>
  <c r="G73" i="5"/>
  <c r="M73" i="5" l="1"/>
  <c r="M69" i="5"/>
  <c r="E21" i="20" l="1"/>
  <c r="F21" i="20"/>
  <c r="G21" i="20"/>
  <c r="H21" i="20"/>
  <c r="I21" i="20"/>
  <c r="J21" i="20"/>
  <c r="K21" i="20"/>
  <c r="D21" i="20"/>
  <c r="F153" i="28" l="1"/>
  <c r="F152" i="28"/>
  <c r="E182" i="28"/>
  <c r="F155" i="28" s="1"/>
  <c r="B182" i="28"/>
  <c r="F154" i="28" s="1"/>
  <c r="E192" i="28"/>
  <c r="F157" i="28" s="1"/>
  <c r="B192" i="28"/>
  <c r="F156" i="28" s="1"/>
  <c r="E202" i="28"/>
  <c r="F159" i="28" s="1"/>
  <c r="B202" i="28"/>
  <c r="F158" i="28" s="1"/>
  <c r="K46" i="15" l="1"/>
  <c r="J46" i="15"/>
  <c r="I46" i="15"/>
  <c r="H46" i="15"/>
  <c r="J43" i="28" l="1"/>
  <c r="G43" i="28"/>
  <c r="H43" i="28"/>
  <c r="I43" i="28"/>
  <c r="K63" i="29" l="1"/>
  <c r="J63" i="29"/>
  <c r="I63" i="29"/>
  <c r="H63" i="29"/>
  <c r="G63" i="29"/>
  <c r="E63" i="29"/>
  <c r="D63" i="29"/>
  <c r="F63" i="29"/>
  <c r="D118" i="28" l="1"/>
  <c r="E118" i="28" s="1"/>
  <c r="F118" i="28" s="1"/>
  <c r="G118" i="28" s="1"/>
  <c r="H118" i="28" s="1"/>
  <c r="I118" i="28" s="1"/>
  <c r="J118" i="28" s="1"/>
  <c r="K118" i="28" s="1"/>
  <c r="L118" i="28" s="1"/>
  <c r="A22" i="5" l="1"/>
  <c r="A23" i="5"/>
  <c r="A24" i="5"/>
  <c r="A25" i="5"/>
  <c r="A21" i="5"/>
  <c r="K19" i="29" l="1"/>
  <c r="J19" i="29"/>
  <c r="I19" i="29"/>
  <c r="H19" i="29"/>
  <c r="G19" i="29"/>
  <c r="F19" i="29"/>
  <c r="E19" i="29"/>
  <c r="D19" i="29"/>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K13" i="11" l="1"/>
  <c r="J13" i="11"/>
  <c r="I13" i="11"/>
  <c r="H13" i="11"/>
  <c r="L72" i="28" l="1"/>
  <c r="M72" i="28" s="1"/>
  <c r="N72" i="28" s="1"/>
  <c r="O72" i="28" s="1"/>
  <c r="P72" i="28" s="1"/>
  <c r="Q72" i="28" s="1"/>
  <c r="R72" i="28" s="1"/>
  <c r="S72" i="28" s="1"/>
  <c r="T72" i="28" s="1"/>
  <c r="K28" i="10" l="1"/>
  <c r="J28" i="10"/>
  <c r="I28" i="10"/>
  <c r="H28" i="10"/>
  <c r="G28" i="10"/>
  <c r="F28" i="10"/>
  <c r="E28" i="10"/>
  <c r="D28" i="10"/>
  <c r="K24" i="10"/>
  <c r="J24" i="10"/>
  <c r="I24" i="10"/>
  <c r="H24" i="10"/>
  <c r="G24" i="10"/>
  <c r="F24" i="10"/>
  <c r="E24" i="10"/>
  <c r="D24" i="10"/>
  <c r="K21" i="10"/>
  <c r="J21" i="10"/>
  <c r="I21" i="10"/>
  <c r="H21" i="10"/>
  <c r="G21" i="10"/>
  <c r="F21" i="10"/>
  <c r="E21" i="10"/>
  <c r="D21" i="10"/>
  <c r="D18" i="10"/>
  <c r="D29" i="10" l="1"/>
  <c r="E16" i="10" l="1"/>
  <c r="E18" i="10" s="1"/>
  <c r="E29" i="10" s="1"/>
  <c r="F16" i="10" l="1"/>
  <c r="F18" i="10" s="1"/>
  <c r="F29" i="10" s="1"/>
  <c r="G16" i="10" l="1"/>
  <c r="G18" i="10" s="1"/>
  <c r="G29" i="10" s="1"/>
  <c r="H16" i="10" l="1"/>
  <c r="H18" i="10" s="1"/>
  <c r="H29" i="10" s="1"/>
  <c r="I16" i="10" l="1"/>
  <c r="I18" i="10" s="1"/>
  <c r="I29" i="10" s="1"/>
  <c r="J16" i="10" l="1"/>
  <c r="J18" i="10" s="1"/>
  <c r="J29" i="10" s="1"/>
  <c r="K16" i="10" l="1"/>
  <c r="K18" i="10" s="1"/>
  <c r="K29" i="10" s="1"/>
  <c r="A65" i="5" l="1"/>
  <c r="A61" i="5"/>
  <c r="A57" i="5"/>
  <c r="A53" i="5"/>
  <c r="A49" i="5"/>
  <c r="A40" i="5"/>
  <c r="A41" i="5"/>
  <c r="A42" i="5"/>
  <c r="A43" i="5"/>
  <c r="A39" i="5"/>
  <c r="A85" i="5"/>
  <c r="A106" i="5" s="1"/>
  <c r="A88" i="5"/>
  <c r="A107" i="5" s="1"/>
  <c r="A91" i="5"/>
  <c r="A108" i="5" s="1"/>
  <c r="A94" i="5"/>
  <c r="A109" i="5" s="1"/>
  <c r="A82" i="5"/>
  <c r="A105" i="5" s="1"/>
  <c r="E19" i="19" l="1"/>
  <c r="F19" i="19"/>
  <c r="G19" i="19"/>
  <c r="H19" i="19"/>
  <c r="I19" i="19"/>
  <c r="J19" i="19"/>
  <c r="K19" i="19"/>
  <c r="D19" i="19"/>
  <c r="B86" i="2" l="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F24" i="28" l="1"/>
  <c r="F25" i="28" s="1"/>
  <c r="F26" i="28" s="1"/>
  <c r="F27" i="28" s="1"/>
  <c r="E24" i="28"/>
  <c r="E25" i="28" s="1"/>
  <c r="E26" i="28" s="1"/>
  <c r="E27" i="28" s="1"/>
  <c r="H8" i="27"/>
  <c r="G8" i="27"/>
  <c r="F8" i="27"/>
  <c r="E8" i="27"/>
  <c r="D23" i="27" l="1"/>
  <c r="D42" i="27" s="1"/>
  <c r="E23" i="27"/>
  <c r="E42" i="27" s="1"/>
  <c r="F23" i="27"/>
  <c r="F42" i="27" s="1"/>
  <c r="H100" i="28" l="1"/>
  <c r="H99" i="28"/>
  <c r="H98" i="28"/>
  <c r="A3" i="29" l="1"/>
  <c r="A2" i="29"/>
  <c r="K78" i="15" l="1"/>
  <c r="J78" i="15"/>
  <c r="I78" i="15"/>
  <c r="H78" i="15"/>
  <c r="F78" i="15"/>
  <c r="E78" i="15"/>
  <c r="K28" i="4" l="1"/>
  <c r="J28" i="4"/>
  <c r="I28" i="4"/>
  <c r="H28" i="4"/>
  <c r="B129" i="2" l="1"/>
  <c r="B130" i="2"/>
  <c r="B131" i="2"/>
  <c r="B132" i="2"/>
  <c r="B133" i="2"/>
  <c r="B128" i="2"/>
  <c r="B101" i="2"/>
  <c r="B102" i="2"/>
  <c r="B103" i="2"/>
  <c r="B104" i="2"/>
  <c r="B105" i="2"/>
  <c r="B100" i="2"/>
  <c r="D42" i="2"/>
  <c r="M40" i="2"/>
  <c r="H42" i="2"/>
  <c r="E42" i="2"/>
  <c r="M41" i="2"/>
  <c r="I42" i="2"/>
  <c r="J42" i="2"/>
  <c r="G42" i="2"/>
  <c r="K42" i="2"/>
  <c r="D44" i="2"/>
  <c r="E44" i="2"/>
  <c r="F44" i="2"/>
  <c r="G44" i="2"/>
  <c r="H44" i="2"/>
  <c r="I44" i="2"/>
  <c r="J44" i="2"/>
  <c r="J58" i="2" s="1"/>
  <c r="K44" i="2"/>
  <c r="M50" i="2"/>
  <c r="M51" i="2"/>
  <c r="M52" i="2"/>
  <c r="M53" i="2"/>
  <c r="M54" i="2"/>
  <c r="M55" i="2"/>
  <c r="D56" i="2"/>
  <c r="E56" i="2"/>
  <c r="F56" i="2"/>
  <c r="G56" i="2"/>
  <c r="H56" i="2"/>
  <c r="I56" i="2"/>
  <c r="J56" i="2"/>
  <c r="K56" i="2"/>
  <c r="D122" i="2"/>
  <c r="E122" i="2"/>
  <c r="F122" i="2"/>
  <c r="G122" i="2"/>
  <c r="H122" i="2"/>
  <c r="I122" i="2"/>
  <c r="J122" i="2"/>
  <c r="K122" i="2"/>
  <c r="J59" i="2" l="1"/>
  <c r="I58" i="2"/>
  <c r="I59" i="2"/>
  <c r="E59" i="2"/>
  <c r="M56" i="2"/>
  <c r="F58" i="2"/>
  <c r="G47" i="2"/>
  <c r="K59" i="2"/>
  <c r="G59" i="2"/>
  <c r="F59" i="2"/>
  <c r="E58" i="2"/>
  <c r="H59" i="2"/>
  <c r="K47" i="2"/>
  <c r="I46" i="2"/>
  <c r="I47" i="2"/>
  <c r="E46" i="2"/>
  <c r="E47" i="2"/>
  <c r="H46" i="2"/>
  <c r="H47" i="2"/>
  <c r="D46" i="2"/>
  <c r="D47" i="2"/>
  <c r="J47" i="2"/>
  <c r="J46" i="2"/>
  <c r="J62" i="2" s="1"/>
  <c r="M42" i="2"/>
  <c r="H58" i="2"/>
  <c r="D58" i="2"/>
  <c r="K46" i="2"/>
  <c r="G46" i="2"/>
  <c r="F42" i="2"/>
  <c r="D59" i="2"/>
  <c r="K58" i="2"/>
  <c r="G58" i="2"/>
  <c r="J63" i="2" l="1"/>
  <c r="J64" i="2" s="1"/>
  <c r="I62" i="2"/>
  <c r="E63" i="2"/>
  <c r="H63" i="2"/>
  <c r="I63" i="2"/>
  <c r="K63" i="2"/>
  <c r="G63" i="2"/>
  <c r="E62" i="2"/>
  <c r="M59" i="2"/>
  <c r="G62" i="2"/>
  <c r="D63" i="2"/>
  <c r="K62" i="2"/>
  <c r="D62" i="2"/>
  <c r="M58" i="2"/>
  <c r="F47" i="2"/>
  <c r="F63" i="2" s="1"/>
  <c r="F46" i="2"/>
  <c r="F62" i="2" s="1"/>
  <c r="H62" i="2"/>
  <c r="I64" i="2" l="1"/>
  <c r="E64" i="2"/>
  <c r="H64" i="2"/>
  <c r="K64" i="2"/>
  <c r="G64" i="2"/>
  <c r="M46" i="2"/>
  <c r="M63" i="2"/>
  <c r="F64" i="2"/>
  <c r="M62" i="2"/>
  <c r="D64" i="2"/>
  <c r="M47" i="2"/>
  <c r="M64" i="2" l="1"/>
  <c r="K94" i="2" l="1"/>
  <c r="J94" i="2"/>
  <c r="I94" i="2"/>
  <c r="H94" i="2"/>
  <c r="G94" i="2"/>
  <c r="F94" i="2"/>
  <c r="E94" i="2"/>
  <c r="D94" i="2"/>
  <c r="D105" i="28" l="1"/>
  <c r="E105" i="28" s="1"/>
  <c r="F105" i="28" s="1"/>
  <c r="G105" i="28" s="1"/>
  <c r="H105" i="28" s="1"/>
  <c r="I105" i="28" s="1"/>
  <c r="J105" i="28" s="1"/>
  <c r="A3" i="28"/>
  <c r="A2" i="28"/>
  <c r="L6" i="17" l="1"/>
  <c r="K52" i="27" l="1"/>
  <c r="J52" i="27"/>
  <c r="I52" i="27"/>
  <c r="H52" i="27"/>
  <c r="G52" i="27"/>
  <c r="F52" i="27"/>
  <c r="E52" i="27"/>
  <c r="D52" i="27"/>
  <c r="A3" i="27" l="1"/>
  <c r="A2" i="27"/>
  <c r="M6" i="1" l="1"/>
  <c r="M27" i="2" l="1"/>
  <c r="M26" i="2"/>
  <c r="M25" i="2"/>
  <c r="M24" i="2"/>
  <c r="M23" i="2"/>
  <c r="M22" i="2"/>
  <c r="K64" i="4" l="1"/>
  <c r="J64" i="4"/>
  <c r="I64" i="4"/>
  <c r="H64" i="4"/>
  <c r="F64" i="4"/>
  <c r="E64" i="4"/>
  <c r="D64" i="4"/>
  <c r="K16" i="2" l="1"/>
  <c r="J16" i="2"/>
  <c r="I16" i="2"/>
  <c r="H16" i="2"/>
  <c r="G16" i="2"/>
  <c r="F16" i="2"/>
  <c r="E16" i="2"/>
  <c r="D16" i="2"/>
  <c r="C13" i="13" l="1"/>
  <c r="C33" i="28" l="1"/>
  <c r="C36" i="28" s="1"/>
  <c r="D6" i="29"/>
  <c r="D22" i="29" s="1"/>
  <c r="D6" i="5"/>
  <c r="D6" i="20"/>
  <c r="D6" i="19"/>
  <c r="D6" i="27"/>
  <c r="D6" i="17"/>
  <c r="D6" i="11"/>
  <c r="D5" i="11" s="1"/>
  <c r="D6" i="1"/>
  <c r="D6" i="10"/>
  <c r="D40" i="10" l="1"/>
  <c r="D99" i="5"/>
  <c r="D96" i="5"/>
  <c r="D74" i="5"/>
  <c r="D75" i="5" s="1"/>
  <c r="D45" i="5" s="1"/>
  <c r="D70" i="5"/>
  <c r="D71" i="5" s="1"/>
  <c r="D44" i="5" s="1"/>
  <c r="D5" i="20"/>
  <c r="D93" i="5"/>
  <c r="D90" i="5"/>
  <c r="D87" i="5"/>
  <c r="D84" i="5"/>
  <c r="D81" i="5"/>
  <c r="C32" i="28"/>
  <c r="E6" i="29"/>
  <c r="E22" i="29" s="1"/>
  <c r="D33" i="28"/>
  <c r="D36" i="28" s="1"/>
  <c r="D5" i="29"/>
  <c r="D54" i="5"/>
  <c r="D58" i="5"/>
  <c r="D62" i="5"/>
  <c r="D50" i="5"/>
  <c r="D66" i="5"/>
  <c r="D5" i="10"/>
  <c r="D32" i="10" s="1"/>
  <c r="E6" i="10"/>
  <c r="E40" i="10" s="1"/>
  <c r="E6" i="11"/>
  <c r="E5" i="11" s="1"/>
  <c r="E6" i="19"/>
  <c r="D5" i="19"/>
  <c r="E6" i="17"/>
  <c r="D5" i="17"/>
  <c r="E6" i="20"/>
  <c r="E6" i="1"/>
  <c r="D5" i="1"/>
  <c r="D5" i="27"/>
  <c r="E6" i="27"/>
  <c r="L6" i="5"/>
  <c r="L6" i="2"/>
  <c r="K17" i="4"/>
  <c r="J17" i="4"/>
  <c r="I17" i="4"/>
  <c r="H17" i="4"/>
  <c r="G17" i="4"/>
  <c r="D6" i="3"/>
  <c r="E6" i="3" s="1"/>
  <c r="D6" i="15"/>
  <c r="D5" i="15" s="1"/>
  <c r="D6" i="4"/>
  <c r="E6" i="4" s="1"/>
  <c r="E5" i="4" s="1"/>
  <c r="E33" i="28" l="1"/>
  <c r="E36" i="28" s="1"/>
  <c r="E5" i="29"/>
  <c r="F6" i="29"/>
  <c r="F22" i="29" s="1"/>
  <c r="D28" i="17"/>
  <c r="D30" i="17" s="1"/>
  <c r="D32" i="28"/>
  <c r="F6" i="27"/>
  <c r="E5" i="27"/>
  <c r="E5" i="1"/>
  <c r="F6" i="1"/>
  <c r="E5" i="20"/>
  <c r="F6" i="20"/>
  <c r="E5" i="10"/>
  <c r="E32" i="10" s="1"/>
  <c r="F6" i="10"/>
  <c r="F40" i="10" s="1"/>
  <c r="F6" i="17"/>
  <c r="E5" i="17"/>
  <c r="E5" i="19"/>
  <c r="F6" i="19"/>
  <c r="F6" i="11"/>
  <c r="F5" i="11" s="1"/>
  <c r="E6" i="5"/>
  <c r="D5" i="4"/>
  <c r="F6" i="3"/>
  <c r="E5" i="3"/>
  <c r="D5" i="3"/>
  <c r="D5" i="5"/>
  <c r="E6" i="15"/>
  <c r="E5" i="15" s="1"/>
  <c r="F6" i="4"/>
  <c r="D33" i="17" l="1"/>
  <c r="E99" i="5"/>
  <c r="E96" i="5"/>
  <c r="E74" i="5"/>
  <c r="E75" i="5" s="1"/>
  <c r="E45" i="5" s="1"/>
  <c r="E70" i="5"/>
  <c r="E71" i="5" s="1"/>
  <c r="E44" i="5" s="1"/>
  <c r="E93" i="5"/>
  <c r="E90" i="5"/>
  <c r="E87" i="5"/>
  <c r="E84" i="5"/>
  <c r="E81" i="5"/>
  <c r="F33" i="28"/>
  <c r="F36" i="28" s="1"/>
  <c r="E32" i="28"/>
  <c r="F5" i="29"/>
  <c r="G6" i="29"/>
  <c r="D44" i="27"/>
  <c r="D48" i="27" s="1"/>
  <c r="D54" i="27" s="1"/>
  <c r="E28" i="17"/>
  <c r="E30" i="17" s="1"/>
  <c r="E5" i="5"/>
  <c r="E66" i="5"/>
  <c r="E67" i="5" s="1"/>
  <c r="E62" i="5"/>
  <c r="E63" i="5" s="1"/>
  <c r="E58" i="5"/>
  <c r="E59" i="5" s="1"/>
  <c r="E54" i="5"/>
  <c r="E55" i="5" s="1"/>
  <c r="E50" i="5"/>
  <c r="E51" i="5" s="1"/>
  <c r="F5" i="10"/>
  <c r="F32" i="10" s="1"/>
  <c r="G6" i="10"/>
  <c r="G40" i="10" s="1"/>
  <c r="F5" i="1"/>
  <c r="G6" i="1"/>
  <c r="G6" i="11"/>
  <c r="G5" i="11" s="1"/>
  <c r="G6" i="17"/>
  <c r="F5" i="17"/>
  <c r="F5" i="19"/>
  <c r="G6" i="19"/>
  <c r="G6" i="20"/>
  <c r="F5" i="20"/>
  <c r="G6" i="27"/>
  <c r="F5" i="27"/>
  <c r="F6" i="5"/>
  <c r="F5" i="3"/>
  <c r="G6" i="3"/>
  <c r="F6" i="15"/>
  <c r="F5" i="15" s="1"/>
  <c r="F5" i="4"/>
  <c r="G6" i="4"/>
  <c r="G5" i="4" s="1"/>
  <c r="E33" i="17" l="1"/>
  <c r="D37" i="17"/>
  <c r="D39" i="17" s="1"/>
  <c r="D64" i="17" s="1"/>
  <c r="F99" i="5"/>
  <c r="F96" i="5"/>
  <c r="F70" i="5"/>
  <c r="F71" i="5" s="1"/>
  <c r="F44" i="5" s="1"/>
  <c r="F74" i="5"/>
  <c r="F75" i="5" s="1"/>
  <c r="F45" i="5" s="1"/>
  <c r="G33" i="28"/>
  <c r="G36" i="28" s="1"/>
  <c r="E47" i="27"/>
  <c r="F93" i="5"/>
  <c r="F90" i="5"/>
  <c r="F87" i="5"/>
  <c r="F84" i="5"/>
  <c r="F81" i="5"/>
  <c r="F32" i="28"/>
  <c r="G5" i="29"/>
  <c r="H6" i="29"/>
  <c r="E44" i="27"/>
  <c r="E48" i="27" s="1"/>
  <c r="F47" i="27" s="1"/>
  <c r="F28" i="17"/>
  <c r="F30" i="17" s="1"/>
  <c r="F50" i="5"/>
  <c r="F51" i="5" s="1"/>
  <c r="F66" i="5"/>
  <c r="F67" i="5" s="1"/>
  <c r="F62" i="5"/>
  <c r="F63" i="5" s="1"/>
  <c r="F58" i="5"/>
  <c r="F59" i="5" s="1"/>
  <c r="F54" i="5"/>
  <c r="F55" i="5" s="1"/>
  <c r="G5" i="20"/>
  <c r="H6" i="20"/>
  <c r="G5" i="1"/>
  <c r="H6" i="1"/>
  <c r="H6" i="27"/>
  <c r="G5" i="27"/>
  <c r="G5" i="19"/>
  <c r="H6" i="19"/>
  <c r="H6" i="17"/>
  <c r="G5" i="17"/>
  <c r="G5" i="10"/>
  <c r="G32" i="10" s="1"/>
  <c r="H6" i="10"/>
  <c r="H40" i="10" s="1"/>
  <c r="H6" i="11"/>
  <c r="H5" i="11" s="1"/>
  <c r="G6" i="5"/>
  <c r="F5" i="5"/>
  <c r="H6" i="3"/>
  <c r="G5" i="3"/>
  <c r="G6" i="15"/>
  <c r="G5" i="15" s="1"/>
  <c r="H6" i="4"/>
  <c r="F33" i="17" l="1"/>
  <c r="H33" i="28"/>
  <c r="H36" i="28" s="1"/>
  <c r="G99" i="5"/>
  <c r="G96" i="5"/>
  <c r="G70" i="5"/>
  <c r="G71" i="5" s="1"/>
  <c r="G44" i="5" s="1"/>
  <c r="G74" i="5"/>
  <c r="G75" i="5" s="1"/>
  <c r="G45" i="5" s="1"/>
  <c r="G32" i="28"/>
  <c r="E54" i="27"/>
  <c r="G93" i="5"/>
  <c r="G90" i="5"/>
  <c r="G87" i="5"/>
  <c r="G84" i="5"/>
  <c r="G81" i="5"/>
  <c r="I6" i="29"/>
  <c r="H5" i="29"/>
  <c r="F44" i="27"/>
  <c r="F48" i="27" s="1"/>
  <c r="G47" i="27" s="1"/>
  <c r="G28" i="17"/>
  <c r="G30" i="17" s="1"/>
  <c r="G50" i="5"/>
  <c r="G51" i="5" s="1"/>
  <c r="G39" i="5" s="1"/>
  <c r="G66" i="5"/>
  <c r="G67" i="5" s="1"/>
  <c r="G43" i="5" s="1"/>
  <c r="G62" i="5"/>
  <c r="G63" i="5" s="1"/>
  <c r="G42" i="5" s="1"/>
  <c r="G58" i="5"/>
  <c r="G59" i="5" s="1"/>
  <c r="G41" i="5" s="1"/>
  <c r="G54" i="5"/>
  <c r="G55" i="5" s="1"/>
  <c r="G40" i="5" s="1"/>
  <c r="I6" i="11"/>
  <c r="I5" i="11" s="1"/>
  <c r="H5" i="20"/>
  <c r="I6" i="20"/>
  <c r="H5" i="10"/>
  <c r="H32" i="10" s="1"/>
  <c r="I6" i="10"/>
  <c r="I40" i="10" s="1"/>
  <c r="I6" i="17"/>
  <c r="H5" i="17"/>
  <c r="I6" i="1"/>
  <c r="H5" i="1"/>
  <c r="H5" i="19"/>
  <c r="I6" i="19"/>
  <c r="H5" i="27"/>
  <c r="I6" i="27"/>
  <c r="H5" i="4"/>
  <c r="G5" i="5"/>
  <c r="H6" i="5"/>
  <c r="I6" i="3"/>
  <c r="H5" i="3"/>
  <c r="H6" i="15"/>
  <c r="H5" i="15" s="1"/>
  <c r="I6" i="4"/>
  <c r="I5" i="4" s="1"/>
  <c r="G33" i="17" l="1"/>
  <c r="L54" i="17"/>
  <c r="H32" i="28"/>
  <c r="I33" i="28"/>
  <c r="I36" i="28" s="1"/>
  <c r="E37" i="17"/>
  <c r="E39" i="17" s="1"/>
  <c r="E64" i="17" s="1"/>
  <c r="H99" i="5"/>
  <c r="H96" i="5"/>
  <c r="G46" i="5"/>
  <c r="H74" i="5"/>
  <c r="H75" i="5" s="1"/>
  <c r="H70" i="5"/>
  <c r="H71" i="5" s="1"/>
  <c r="F54" i="27"/>
  <c r="H50" i="15"/>
  <c r="H93" i="5"/>
  <c r="H90" i="5"/>
  <c r="H87" i="5"/>
  <c r="H84" i="5"/>
  <c r="H81" i="5"/>
  <c r="J6" i="29"/>
  <c r="I5" i="29"/>
  <c r="G53" i="1"/>
  <c r="G54" i="1"/>
  <c r="G55" i="1"/>
  <c r="G52" i="1"/>
  <c r="G51" i="1"/>
  <c r="H50" i="5"/>
  <c r="H51" i="5" s="1"/>
  <c r="H39" i="5" s="1"/>
  <c r="H66" i="5"/>
  <c r="H67" i="5" s="1"/>
  <c r="H43" i="5" s="1"/>
  <c r="H62" i="5"/>
  <c r="H63" i="5" s="1"/>
  <c r="H42" i="5" s="1"/>
  <c r="H58" i="5"/>
  <c r="H59" i="5" s="1"/>
  <c r="H41" i="5" s="1"/>
  <c r="H54" i="5"/>
  <c r="H55" i="5" s="1"/>
  <c r="H40" i="5" s="1"/>
  <c r="J6" i="1"/>
  <c r="I5" i="1"/>
  <c r="J6" i="19"/>
  <c r="I5" i="19"/>
  <c r="I5" i="10"/>
  <c r="I32" i="10" s="1"/>
  <c r="J6" i="10"/>
  <c r="J40" i="10" s="1"/>
  <c r="J6" i="11"/>
  <c r="J5" i="11" s="1"/>
  <c r="J6" i="27"/>
  <c r="I5" i="27"/>
  <c r="J6" i="17"/>
  <c r="I5" i="17"/>
  <c r="J6" i="20"/>
  <c r="I5" i="20"/>
  <c r="H5" i="5"/>
  <c r="I6" i="5"/>
  <c r="L73" i="5" s="1"/>
  <c r="J6" i="3"/>
  <c r="I5" i="3"/>
  <c r="I6" i="15"/>
  <c r="I5" i="15" s="1"/>
  <c r="J6" i="4"/>
  <c r="I32" i="28" l="1"/>
  <c r="J33" i="28"/>
  <c r="J36" i="28" s="1"/>
  <c r="F37" i="17"/>
  <c r="F39" i="17" s="1"/>
  <c r="F64" i="17" s="1"/>
  <c r="J5" i="29"/>
  <c r="L69" i="5"/>
  <c r="L17" i="5"/>
  <c r="H45" i="5"/>
  <c r="H44" i="5"/>
  <c r="I99" i="5"/>
  <c r="I96" i="5"/>
  <c r="I70" i="5"/>
  <c r="I71" i="5" s="1"/>
  <c r="I44" i="5" s="1"/>
  <c r="I74" i="5"/>
  <c r="I75" i="5" s="1"/>
  <c r="I45" i="5" s="1"/>
  <c r="I87" i="5"/>
  <c r="I84" i="5"/>
  <c r="I81" i="5"/>
  <c r="I93" i="5"/>
  <c r="I90" i="5"/>
  <c r="I50" i="15"/>
  <c r="K6" i="29"/>
  <c r="J32" i="28"/>
  <c r="H55" i="1"/>
  <c r="H52" i="1"/>
  <c r="H51" i="1"/>
  <c r="H53" i="1"/>
  <c r="H54" i="1"/>
  <c r="I66" i="5"/>
  <c r="I67" i="5" s="1"/>
  <c r="I43" i="5" s="1"/>
  <c r="I62" i="5"/>
  <c r="I63" i="5" s="1"/>
  <c r="I42" i="5" s="1"/>
  <c r="I58" i="5"/>
  <c r="I59" i="5" s="1"/>
  <c r="I41" i="5" s="1"/>
  <c r="I54" i="5"/>
  <c r="I55" i="5" s="1"/>
  <c r="I40" i="5" s="1"/>
  <c r="I50" i="5"/>
  <c r="I51" i="5" s="1"/>
  <c r="I39" i="5" s="1"/>
  <c r="K6" i="20"/>
  <c r="J5" i="20"/>
  <c r="K6" i="27"/>
  <c r="J5" i="27"/>
  <c r="K6" i="19"/>
  <c r="K5" i="19" s="1"/>
  <c r="J5" i="19"/>
  <c r="J5" i="10"/>
  <c r="J32" i="10" s="1"/>
  <c r="K6" i="10"/>
  <c r="K40" i="10" s="1"/>
  <c r="K6" i="17"/>
  <c r="J5" i="17"/>
  <c r="K6" i="11"/>
  <c r="K5" i="11" s="1"/>
  <c r="K6" i="1"/>
  <c r="J5" i="1"/>
  <c r="J6" i="5"/>
  <c r="J5" i="4"/>
  <c r="I5" i="5"/>
  <c r="J5" i="3"/>
  <c r="K6" i="3"/>
  <c r="J6" i="15"/>
  <c r="J5" i="15" s="1"/>
  <c r="J82" i="15" s="1"/>
  <c r="K6" i="4"/>
  <c r="K5" i="4" s="1"/>
  <c r="K5" i="1" l="1"/>
  <c r="L45" i="5"/>
  <c r="H46" i="5"/>
  <c r="L44" i="5"/>
  <c r="L71" i="5"/>
  <c r="L75" i="5"/>
  <c r="J99" i="5"/>
  <c r="J96" i="5"/>
  <c r="I46" i="5"/>
  <c r="J70" i="5"/>
  <c r="J71" i="5" s="1"/>
  <c r="J44" i="5" s="1"/>
  <c r="J74" i="5"/>
  <c r="J75" i="5" s="1"/>
  <c r="J45" i="5" s="1"/>
  <c r="J50" i="15"/>
  <c r="J90" i="5"/>
  <c r="J87" i="5"/>
  <c r="J84" i="5"/>
  <c r="J81" i="5"/>
  <c r="J93" i="5"/>
  <c r="K5" i="29"/>
  <c r="K5" i="27"/>
  <c r="K5" i="17"/>
  <c r="K5" i="20"/>
  <c r="I51" i="1"/>
  <c r="I52" i="1"/>
  <c r="I55" i="1"/>
  <c r="I53" i="1"/>
  <c r="I54" i="1"/>
  <c r="K5" i="10"/>
  <c r="K32" i="10" s="1"/>
  <c r="J5" i="5"/>
  <c r="J66" i="5"/>
  <c r="J67" i="5" s="1"/>
  <c r="J43" i="5" s="1"/>
  <c r="J62" i="5"/>
  <c r="J63" i="5" s="1"/>
  <c r="J42" i="5" s="1"/>
  <c r="J58" i="5"/>
  <c r="J59" i="5" s="1"/>
  <c r="J41" i="5" s="1"/>
  <c r="J54" i="5"/>
  <c r="J55" i="5" s="1"/>
  <c r="J40" i="5" s="1"/>
  <c r="J50" i="5"/>
  <c r="J51" i="5" s="1"/>
  <c r="J39" i="5" s="1"/>
  <c r="K6" i="5"/>
  <c r="K5" i="3"/>
  <c r="K6" i="15"/>
  <c r="K5" i="15" s="1"/>
  <c r="K82" i="15" s="1"/>
  <c r="J46" i="5" l="1"/>
  <c r="K74" i="5"/>
  <c r="K75" i="5" s="1"/>
  <c r="K99" i="5"/>
  <c r="K96" i="5"/>
  <c r="L16" i="5"/>
  <c r="K70" i="5"/>
  <c r="K71" i="5" s="1"/>
  <c r="K93" i="5"/>
  <c r="K90" i="5"/>
  <c r="K87" i="5"/>
  <c r="K84" i="5"/>
  <c r="K81" i="5"/>
  <c r="K50" i="15"/>
  <c r="J55" i="1"/>
  <c r="J52" i="1"/>
  <c r="J51" i="1"/>
  <c r="J53" i="1"/>
  <c r="J54" i="1"/>
  <c r="K50" i="5"/>
  <c r="K51" i="5" s="1"/>
  <c r="K39" i="5" s="1"/>
  <c r="K66" i="5"/>
  <c r="K67" i="5" s="1"/>
  <c r="K43" i="5" s="1"/>
  <c r="K62" i="5"/>
  <c r="K63" i="5" s="1"/>
  <c r="K42" i="5" s="1"/>
  <c r="K58" i="5"/>
  <c r="K59" i="5" s="1"/>
  <c r="K41" i="5" s="1"/>
  <c r="K54" i="5"/>
  <c r="K55" i="5" s="1"/>
  <c r="K40" i="5" s="1"/>
  <c r="K5" i="5"/>
  <c r="M71" i="5" l="1"/>
  <c r="K44" i="5"/>
  <c r="M44" i="5" s="1"/>
  <c r="M75" i="5"/>
  <c r="K45" i="5"/>
  <c r="M45" i="5" s="1"/>
  <c r="K51" i="1"/>
  <c r="K53" i="1"/>
  <c r="K54" i="1"/>
  <c r="K55" i="1"/>
  <c r="K52" i="1"/>
  <c r="K46" i="5" l="1"/>
  <c r="C6" i="13" l="1"/>
  <c r="D36" i="10" s="1"/>
  <c r="C14" i="13"/>
  <c r="C90" i="29" s="1"/>
  <c r="C89" i="29" l="1"/>
  <c r="C87" i="29"/>
  <c r="C31" i="10"/>
  <c r="C69" i="17"/>
  <c r="C55" i="17"/>
  <c r="C45" i="5"/>
  <c r="C44" i="5"/>
  <c r="C69" i="5"/>
  <c r="C73" i="5"/>
  <c r="C35" i="28"/>
  <c r="D34" i="10" s="1"/>
  <c r="D38" i="10" s="1"/>
  <c r="D35" i="28"/>
  <c r="E34" i="10" s="1"/>
  <c r="E38" i="10" s="1"/>
  <c r="E35" i="28"/>
  <c r="F34" i="10" s="1"/>
  <c r="F38" i="10" s="1"/>
  <c r="F35" i="28"/>
  <c r="G34" i="10" s="1"/>
  <c r="G38" i="10" s="1"/>
  <c r="G35" i="28"/>
  <c r="H34" i="10" s="1"/>
  <c r="H38" i="10" s="1"/>
  <c r="I35" i="28"/>
  <c r="J34" i="10" s="1"/>
  <c r="J38" i="10" s="1"/>
  <c r="H35" i="28"/>
  <c r="I34" i="10" s="1"/>
  <c r="I38" i="10" s="1"/>
  <c r="J35" i="28"/>
  <c r="K34" i="10" s="1"/>
  <c r="K38" i="10" s="1"/>
  <c r="C8" i="20"/>
  <c r="C16" i="5"/>
  <c r="C17" i="5"/>
  <c r="C61" i="1"/>
  <c r="C82" i="29"/>
  <c r="C62" i="1"/>
  <c r="C59" i="1"/>
  <c r="C63" i="1"/>
  <c r="C54" i="29"/>
  <c r="C60" i="1"/>
  <c r="C80" i="29"/>
  <c r="C89" i="17"/>
  <c r="C68" i="17"/>
  <c r="C87" i="17"/>
  <c r="E153" i="28"/>
  <c r="E157" i="28"/>
  <c r="E154" i="28"/>
  <c r="E158" i="28"/>
  <c r="E155" i="28"/>
  <c r="E159" i="28"/>
  <c r="E156" i="28"/>
  <c r="E152" i="28"/>
  <c r="C43" i="17"/>
  <c r="C79" i="2"/>
  <c r="B46" i="1"/>
  <c r="C28" i="3"/>
  <c r="C63" i="29"/>
  <c r="C68" i="29"/>
  <c r="C73" i="29"/>
  <c r="C62" i="29"/>
  <c r="C67" i="29"/>
  <c r="C72" i="29"/>
  <c r="C69" i="29"/>
  <c r="C74" i="29"/>
  <c r="C34" i="28"/>
  <c r="D34" i="28"/>
  <c r="E34" i="28"/>
  <c r="G34" i="28"/>
  <c r="F34" i="28"/>
  <c r="H34" i="28"/>
  <c r="I34" i="28"/>
  <c r="J34" i="28"/>
  <c r="B149" i="28"/>
  <c r="C75" i="29"/>
  <c r="C49" i="10"/>
  <c r="C51" i="10"/>
  <c r="C45" i="10"/>
  <c r="C29" i="10"/>
  <c r="C25" i="10"/>
  <c r="C21" i="10"/>
  <c r="C17" i="10"/>
  <c r="C28" i="10"/>
  <c r="C24" i="10"/>
  <c r="C20" i="10"/>
  <c r="C16" i="10"/>
  <c r="C27" i="10"/>
  <c r="C23" i="10"/>
  <c r="C19" i="10"/>
  <c r="C11" i="10"/>
  <c r="C26" i="10"/>
  <c r="C22" i="10"/>
  <c r="C18" i="10"/>
  <c r="C79" i="17"/>
  <c r="C19" i="19"/>
  <c r="C18" i="19"/>
  <c r="C14" i="19"/>
  <c r="B51" i="28"/>
  <c r="B38" i="2" s="1"/>
  <c r="B116" i="2" s="1"/>
  <c r="B48" i="28"/>
  <c r="C66" i="1"/>
  <c r="C51" i="1"/>
  <c r="C55" i="1"/>
  <c r="C54" i="1"/>
  <c r="C65" i="1"/>
  <c r="C52" i="1"/>
  <c r="C56" i="1"/>
  <c r="C58" i="1"/>
  <c r="C49" i="1"/>
  <c r="C53" i="1"/>
  <c r="C57" i="1"/>
  <c r="C50" i="1"/>
  <c r="C48" i="1"/>
  <c r="C84" i="29"/>
  <c r="C42" i="29"/>
  <c r="C61" i="29"/>
  <c r="C62" i="27"/>
  <c r="C63" i="27"/>
  <c r="C61" i="27"/>
  <c r="C40" i="2"/>
  <c r="C58" i="2"/>
  <c r="C62" i="2"/>
  <c r="C70" i="2"/>
  <c r="C41" i="2"/>
  <c r="C46" i="2"/>
  <c r="C51" i="2"/>
  <c r="C53" i="2"/>
  <c r="C55" i="2"/>
  <c r="C59" i="2"/>
  <c r="C63" i="2"/>
  <c r="C71" i="2"/>
  <c r="C42" i="2"/>
  <c r="C47" i="2"/>
  <c r="C64" i="2"/>
  <c r="C50" i="2"/>
  <c r="C52" i="2"/>
  <c r="C54" i="2"/>
  <c r="C56" i="2"/>
  <c r="C69" i="2"/>
  <c r="C17" i="19"/>
  <c r="C85" i="17"/>
  <c r="C78" i="17"/>
  <c r="C50" i="10"/>
  <c r="C46" i="10"/>
  <c r="C47" i="10"/>
  <c r="C77" i="2"/>
  <c r="C36" i="2"/>
  <c r="C65" i="5"/>
  <c r="C61" i="5"/>
  <c r="C57" i="5"/>
  <c r="C53" i="5"/>
  <c r="C49" i="5"/>
  <c r="C14" i="5"/>
  <c r="C13" i="5"/>
  <c r="C15" i="5"/>
  <c r="C11" i="5"/>
  <c r="C46" i="5"/>
  <c r="C43" i="5"/>
  <c r="C42" i="5"/>
  <c r="C41" i="5"/>
  <c r="C40" i="5"/>
  <c r="C39" i="5"/>
  <c r="C12" i="5"/>
  <c r="C18" i="5"/>
  <c r="C10" i="4"/>
  <c r="C12" i="4"/>
  <c r="C11" i="4"/>
  <c r="C14" i="2"/>
  <c r="C22" i="2"/>
  <c r="C26" i="2"/>
  <c r="C31" i="2"/>
  <c r="C13" i="2"/>
  <c r="C23" i="2"/>
  <c r="C27" i="2"/>
  <c r="C34" i="2"/>
  <c r="C18" i="2"/>
  <c r="C24" i="2"/>
  <c r="C28" i="2"/>
  <c r="C35" i="2"/>
  <c r="C12" i="2"/>
  <c r="C19" i="2"/>
  <c r="C25" i="2"/>
  <c r="C30" i="2"/>
  <c r="G28" i="3" l="1"/>
  <c r="G56" i="1" s="1"/>
  <c r="I91" i="5"/>
  <c r="H94" i="5"/>
  <c r="J88" i="5"/>
  <c r="I82" i="5"/>
  <c r="G78" i="15"/>
  <c r="G88" i="5"/>
  <c r="G102" i="5" s="1"/>
  <c r="G22" i="29" s="1"/>
  <c r="K28" i="3"/>
  <c r="K56" i="1" s="1"/>
  <c r="K85" i="5"/>
  <c r="H28" i="3"/>
  <c r="H56" i="1" s="1"/>
  <c r="J91" i="5"/>
  <c r="I94" i="5"/>
  <c r="K88" i="5"/>
  <c r="J82" i="5"/>
  <c r="H85" i="5"/>
  <c r="J28" i="3"/>
  <c r="J56" i="1" s="1"/>
  <c r="K94" i="5"/>
  <c r="J85" i="5"/>
  <c r="H82" i="5"/>
  <c r="I88" i="5"/>
  <c r="H91" i="5"/>
  <c r="I85" i="5"/>
  <c r="K91" i="5"/>
  <c r="K82" i="5"/>
  <c r="J94" i="5"/>
  <c r="H88" i="5"/>
  <c r="J56" i="27"/>
  <c r="H56" i="27"/>
  <c r="I56" i="27"/>
  <c r="G56" i="27"/>
  <c r="F56" i="27"/>
  <c r="E56" i="27"/>
  <c r="D56" i="27"/>
  <c r="K56" i="27"/>
  <c r="G41" i="17"/>
  <c r="G55" i="17" s="1"/>
  <c r="G40" i="29"/>
  <c r="K41" i="17"/>
  <c r="K40" i="29"/>
  <c r="H41" i="17"/>
  <c r="H40" i="29"/>
  <c r="D41" i="17"/>
  <c r="D55" i="17" s="1"/>
  <c r="D40" i="29"/>
  <c r="J41" i="17"/>
  <c r="J40" i="29"/>
  <c r="F41" i="17"/>
  <c r="F55" i="17" s="1"/>
  <c r="F40" i="29"/>
  <c r="I41" i="17"/>
  <c r="I40" i="29"/>
  <c r="E41" i="17"/>
  <c r="E55" i="17" s="1"/>
  <c r="E40" i="29"/>
  <c r="B159" i="28"/>
  <c r="B17" i="5" s="1"/>
  <c r="B45" i="5" s="1"/>
  <c r="B160" i="28"/>
  <c r="B158" i="28"/>
  <c r="B16" i="5" s="1"/>
  <c r="B44" i="5" s="1"/>
  <c r="B157" i="28"/>
  <c r="B15" i="5" s="1"/>
  <c r="B153" i="28"/>
  <c r="B11" i="5" s="1"/>
  <c r="B156" i="28"/>
  <c r="B14" i="5" s="1"/>
  <c r="B155" i="28"/>
  <c r="B13" i="5" s="1"/>
  <c r="B154" i="28"/>
  <c r="B12" i="5" s="1"/>
  <c r="E35" i="10"/>
  <c r="K35" i="10"/>
  <c r="I35" i="10"/>
  <c r="H35" i="10"/>
  <c r="F35" i="10"/>
  <c r="D35" i="10"/>
  <c r="J35" i="10"/>
  <c r="G35" i="10"/>
  <c r="K14" i="19"/>
  <c r="B10" i="2"/>
  <c r="B88" i="2" s="1"/>
  <c r="E28" i="2"/>
  <c r="E30" i="2" s="1"/>
  <c r="F28" i="2"/>
  <c r="G28" i="2"/>
  <c r="H28" i="2"/>
  <c r="I28" i="2"/>
  <c r="J28" i="2"/>
  <c r="K28" i="2"/>
  <c r="D28" i="2"/>
  <c r="I28" i="3" l="1"/>
  <c r="I56" i="1" s="1"/>
  <c r="J102" i="5"/>
  <c r="J22" i="29" s="1"/>
  <c r="I102" i="5"/>
  <c r="I22" i="29" s="1"/>
  <c r="K102" i="5"/>
  <c r="K22" i="29" s="1"/>
  <c r="H102" i="5"/>
  <c r="H22" i="29" s="1"/>
  <c r="L55" i="17"/>
  <c r="B69" i="5"/>
  <c r="B97" i="5"/>
  <c r="B100" i="5"/>
  <c r="B73" i="5"/>
  <c r="E43" i="17"/>
  <c r="F43" i="17"/>
  <c r="D43" i="17"/>
  <c r="E14" i="19"/>
  <c r="D14" i="19"/>
  <c r="G14" i="19"/>
  <c r="F14" i="19"/>
  <c r="H14" i="19"/>
  <c r="J14" i="19"/>
  <c r="I14" i="19"/>
  <c r="B41" i="5"/>
  <c r="B57" i="5"/>
  <c r="B65" i="5"/>
  <c r="B43" i="5"/>
  <c r="B42" i="5"/>
  <c r="B61" i="5"/>
  <c r="B53" i="5"/>
  <c r="B40" i="5"/>
  <c r="B49" i="5"/>
  <c r="B39" i="5"/>
  <c r="K30" i="2"/>
  <c r="J30" i="2"/>
  <c r="I30" i="2"/>
  <c r="H30" i="2"/>
  <c r="G31" i="2"/>
  <c r="F31" i="2"/>
  <c r="E31" i="2"/>
  <c r="B82" i="5"/>
  <c r="B94" i="5"/>
  <c r="B91" i="5"/>
  <c r="B88" i="5"/>
  <c r="B85" i="5"/>
  <c r="K31" i="2"/>
  <c r="J31" i="2"/>
  <c r="M28" i="2"/>
  <c r="I31" i="2"/>
  <c r="G30" i="2"/>
  <c r="D31" i="2"/>
  <c r="H31" i="2"/>
  <c r="D30" i="2"/>
  <c r="F14" i="2"/>
  <c r="F18" i="2" s="1"/>
  <c r="M12" i="2"/>
  <c r="J14" i="2"/>
  <c r="J18" i="2" s="1"/>
  <c r="M13" i="2"/>
  <c r="F30" i="2"/>
  <c r="K14" i="2"/>
  <c r="K18" i="2" s="1"/>
  <c r="I14" i="2"/>
  <c r="I19" i="2" s="1"/>
  <c r="E14" i="2"/>
  <c r="E19" i="2" s="1"/>
  <c r="G14" i="2"/>
  <c r="G19" i="2" s="1"/>
  <c r="H14" i="2"/>
  <c r="D14" i="2"/>
  <c r="G35" i="2" l="1"/>
  <c r="E35" i="2"/>
  <c r="B53" i="1"/>
  <c r="B55" i="1"/>
  <c r="B52" i="1"/>
  <c r="B54" i="1"/>
  <c r="B51" i="1"/>
  <c r="J34" i="2"/>
  <c r="J69" i="2" s="1"/>
  <c r="K34" i="2"/>
  <c r="K69" i="2" s="1"/>
  <c r="M31" i="2"/>
  <c r="M30" i="2"/>
  <c r="I35" i="2"/>
  <c r="F19" i="2"/>
  <c r="F35" i="2" s="1"/>
  <c r="M14" i="2"/>
  <c r="J19" i="2"/>
  <c r="J35" i="2" s="1"/>
  <c r="F34" i="2"/>
  <c r="F69" i="2" s="1"/>
  <c r="G18" i="2"/>
  <c r="E18" i="2"/>
  <c r="K19" i="2"/>
  <c r="K35" i="2" s="1"/>
  <c r="I18" i="2"/>
  <c r="H18" i="2"/>
  <c r="H19" i="2"/>
  <c r="H35" i="2" s="1"/>
  <c r="D19" i="2"/>
  <c r="F70" i="2" l="1"/>
  <c r="F71" i="2" s="1"/>
  <c r="F49" i="1"/>
  <c r="G70" i="2"/>
  <c r="G49" i="1"/>
  <c r="I70" i="2"/>
  <c r="I49" i="1"/>
  <c r="H70" i="2"/>
  <c r="H49" i="1"/>
  <c r="E70" i="2"/>
  <c r="E49" i="1"/>
  <c r="K70" i="2"/>
  <c r="K71" i="2" s="1"/>
  <c r="K49" i="1"/>
  <c r="J70" i="2"/>
  <c r="J71" i="2" s="1"/>
  <c r="J49" i="1"/>
  <c r="E34" i="2"/>
  <c r="E69" i="2" s="1"/>
  <c r="H34" i="2"/>
  <c r="H69" i="2" s="1"/>
  <c r="G34" i="2"/>
  <c r="G69" i="2" s="1"/>
  <c r="I34" i="2"/>
  <c r="I69" i="2" s="1"/>
  <c r="K36" i="2"/>
  <c r="J36" i="2"/>
  <c r="D35" i="2"/>
  <c r="M19" i="2"/>
  <c r="F36" i="2"/>
  <c r="I71" i="2" l="1"/>
  <c r="E71" i="2"/>
  <c r="G71" i="2"/>
  <c r="D70" i="2"/>
  <c r="M70" i="2" s="1"/>
  <c r="D49" i="1"/>
  <c r="H71" i="2"/>
  <c r="H36" i="2"/>
  <c r="E36" i="2"/>
  <c r="G36" i="2"/>
  <c r="I36" i="2"/>
  <c r="M35" i="2"/>
  <c r="D18" i="2"/>
  <c r="H48" i="15"/>
  <c r="H80" i="15" s="1"/>
  <c r="I48" i="15"/>
  <c r="I80" i="15" s="1"/>
  <c r="J48" i="15"/>
  <c r="J80" i="15" s="1"/>
  <c r="K48" i="15"/>
  <c r="K80" i="15" s="1"/>
  <c r="E80" i="15" l="1"/>
  <c r="F80" i="15"/>
  <c r="N49" i="1"/>
  <c r="M49" i="1"/>
  <c r="D34" i="2"/>
  <c r="D69" i="2" s="1"/>
  <c r="M18" i="2"/>
  <c r="M69" i="2" l="1"/>
  <c r="D71" i="2"/>
  <c r="M71" i="2" s="1"/>
  <c r="D36" i="2"/>
  <c r="M36" i="2" s="1"/>
  <c r="M34" i="2"/>
  <c r="G45" i="4" l="1"/>
  <c r="H45" i="4"/>
  <c r="I45" i="4"/>
  <c r="J45" i="4"/>
  <c r="K45" i="4"/>
  <c r="J66" i="4" l="1"/>
  <c r="K66" i="4"/>
  <c r="I66" i="4"/>
  <c r="H66" i="4"/>
  <c r="F43" i="5" l="1"/>
  <c r="D67" i="5"/>
  <c r="F55" i="1" l="1"/>
  <c r="D43" i="5"/>
  <c r="H18" i="4"/>
  <c r="G18" i="4"/>
  <c r="K18" i="4"/>
  <c r="D45" i="4"/>
  <c r="D66" i="4" s="1"/>
  <c r="D68" i="4" s="1"/>
  <c r="E45" i="4"/>
  <c r="E66" i="4" s="1"/>
  <c r="E68" i="4" s="1"/>
  <c r="D59" i="5"/>
  <c r="I18" i="4"/>
  <c r="F45" i="4"/>
  <c r="E41" i="5"/>
  <c r="J18" i="4"/>
  <c r="B31" i="1"/>
  <c r="B37" i="1"/>
  <c r="B38" i="1"/>
  <c r="B39" i="1"/>
  <c r="B42" i="1"/>
  <c r="B30" i="1"/>
  <c r="B12" i="1"/>
  <c r="B18" i="1"/>
  <c r="B19" i="1"/>
  <c r="B20" i="1"/>
  <c r="B21" i="1"/>
  <c r="B22" i="1"/>
  <c r="B23" i="1"/>
  <c r="B11" i="1"/>
  <c r="E15" i="4" l="1"/>
  <c r="D55" i="1"/>
  <c r="E53" i="1"/>
  <c r="F18" i="4"/>
  <c r="E18" i="4"/>
  <c r="D18" i="4"/>
  <c r="F66" i="4"/>
  <c r="F68" i="4" s="1"/>
  <c r="L57" i="5"/>
  <c r="F41" i="5"/>
  <c r="L15" i="5"/>
  <c r="M57" i="5"/>
  <c r="D41" i="5"/>
  <c r="M15" i="5"/>
  <c r="M13" i="5"/>
  <c r="L13" i="5"/>
  <c r="E42" i="5"/>
  <c r="D63" i="5"/>
  <c r="F42" i="5"/>
  <c r="F54" i="1" l="1"/>
  <c r="F53" i="1"/>
  <c r="E54" i="1"/>
  <c r="D53" i="1"/>
  <c r="D17" i="4"/>
  <c r="M41" i="5"/>
  <c r="L41" i="5"/>
  <c r="E43" i="5"/>
  <c r="M65" i="5"/>
  <c r="L65" i="5"/>
  <c r="M59" i="5"/>
  <c r="L59" i="5"/>
  <c r="M61" i="5"/>
  <c r="D42" i="5"/>
  <c r="L61" i="5"/>
  <c r="M14" i="5"/>
  <c r="L14" i="5"/>
  <c r="F39" i="5"/>
  <c r="E40" i="5"/>
  <c r="D51" i="5"/>
  <c r="D39" i="5" s="1"/>
  <c r="E39" i="5"/>
  <c r="E46" i="5" l="1"/>
  <c r="D15" i="4"/>
  <c r="N53" i="1"/>
  <c r="F51" i="1"/>
  <c r="E51" i="1"/>
  <c r="E55" i="1"/>
  <c r="M53" i="1"/>
  <c r="E52" i="1"/>
  <c r="D54" i="1"/>
  <c r="F17" i="4"/>
  <c r="E17" i="4"/>
  <c r="M43" i="5"/>
  <c r="L43" i="5"/>
  <c r="M42" i="5"/>
  <c r="L42" i="5"/>
  <c r="M63" i="5"/>
  <c r="L63" i="5"/>
  <c r="M49" i="5"/>
  <c r="L49" i="5"/>
  <c r="M67" i="5"/>
  <c r="L67" i="5"/>
  <c r="M11" i="5"/>
  <c r="L11" i="5"/>
  <c r="D36" i="19"/>
  <c r="D35" i="19"/>
  <c r="N55" i="1" l="1"/>
  <c r="N54" i="1"/>
  <c r="M55" i="1"/>
  <c r="G15" i="4"/>
  <c r="M54" i="1"/>
  <c r="D51" i="1"/>
  <c r="M39" i="5"/>
  <c r="L39" i="5"/>
  <c r="D55" i="5"/>
  <c r="L51" i="5"/>
  <c r="M51" i="5"/>
  <c r="M12" i="5"/>
  <c r="M18" i="5" s="1"/>
  <c r="L12" i="5"/>
  <c r="L18" i="5" s="1"/>
  <c r="A3" i="3"/>
  <c r="C11" i="13"/>
  <c r="C12" i="13"/>
  <c r="C10" i="13"/>
  <c r="M51" i="1" l="1"/>
  <c r="I47" i="29"/>
  <c r="E47" i="29"/>
  <c r="G47" i="29"/>
  <c r="H47" i="29"/>
  <c r="D47" i="29"/>
  <c r="K47" i="29"/>
  <c r="J47" i="29"/>
  <c r="F47" i="29"/>
  <c r="I61" i="17"/>
  <c r="E61" i="17"/>
  <c r="H61" i="17"/>
  <c r="D61" i="17"/>
  <c r="K61" i="17"/>
  <c r="G61" i="17"/>
  <c r="J61" i="17"/>
  <c r="F61" i="17"/>
  <c r="H42" i="10"/>
  <c r="F42" i="10"/>
  <c r="I42" i="10"/>
  <c r="D42" i="10"/>
  <c r="K42" i="10"/>
  <c r="G42" i="10"/>
  <c r="J42" i="10"/>
  <c r="E42" i="10"/>
  <c r="K41" i="10"/>
  <c r="G41" i="10"/>
  <c r="D41" i="10"/>
  <c r="F41" i="10"/>
  <c r="E41" i="10"/>
  <c r="H41" i="10"/>
  <c r="J41" i="10"/>
  <c r="I41" i="10"/>
  <c r="K15" i="4"/>
  <c r="I15" i="4"/>
  <c r="J15" i="4"/>
  <c r="H15" i="4"/>
  <c r="N51" i="1"/>
  <c r="J65" i="27"/>
  <c r="F65" i="27"/>
  <c r="I65" i="27"/>
  <c r="E65" i="27"/>
  <c r="H65" i="27"/>
  <c r="D65" i="27"/>
  <c r="K65" i="27"/>
  <c r="G65" i="27"/>
  <c r="H58" i="27"/>
  <c r="D58" i="27"/>
  <c r="E58" i="27"/>
  <c r="K58" i="27"/>
  <c r="G58" i="27"/>
  <c r="I58" i="27"/>
  <c r="J58" i="27"/>
  <c r="F58" i="27"/>
  <c r="D40" i="5"/>
  <c r="D46" i="5" s="1"/>
  <c r="L53" i="5"/>
  <c r="M53" i="5"/>
  <c r="F40" i="5"/>
  <c r="F46" i="5" s="1"/>
  <c r="D6" i="2"/>
  <c r="D78" i="2" s="1"/>
  <c r="A3" i="17"/>
  <c r="D77" i="2" l="1"/>
  <c r="E43" i="10"/>
  <c r="E47" i="10" s="1"/>
  <c r="D43" i="10"/>
  <c r="D47" i="10" s="1"/>
  <c r="D63" i="27" s="1"/>
  <c r="I43" i="10"/>
  <c r="I47" i="10" s="1"/>
  <c r="I63" i="27" s="1"/>
  <c r="G43" i="10"/>
  <c r="G47" i="10" s="1"/>
  <c r="G63" i="27" s="1"/>
  <c r="F43" i="10"/>
  <c r="F47" i="10" s="1"/>
  <c r="F63" i="27" s="1"/>
  <c r="J43" i="10"/>
  <c r="J47" i="10" s="1"/>
  <c r="J63" i="27" s="1"/>
  <c r="K43" i="10"/>
  <c r="K47" i="10" s="1"/>
  <c r="K63" i="27" s="1"/>
  <c r="H43" i="10"/>
  <c r="H47" i="10" s="1"/>
  <c r="H63" i="27" s="1"/>
  <c r="F15" i="4"/>
  <c r="D52" i="1"/>
  <c r="F52" i="1"/>
  <c r="M40" i="5"/>
  <c r="M46" i="5" s="1"/>
  <c r="L40" i="5"/>
  <c r="L46" i="5" s="1"/>
  <c r="M55" i="5"/>
  <c r="L55" i="5"/>
  <c r="E6" i="2"/>
  <c r="D5" i="2"/>
  <c r="E77" i="2" l="1"/>
  <c r="E78" i="2"/>
  <c r="E46" i="10"/>
  <c r="E50" i="10" s="1"/>
  <c r="E63" i="27"/>
  <c r="D79" i="2"/>
  <c r="D50" i="1" s="1"/>
  <c r="E45" i="10"/>
  <c r="E49" i="10" s="1"/>
  <c r="H45" i="10"/>
  <c r="H49" i="10" s="1"/>
  <c r="H79" i="17" s="1"/>
  <c r="H46" i="10"/>
  <c r="H50" i="10" s="1"/>
  <c r="G45" i="10"/>
  <c r="G49" i="10" s="1"/>
  <c r="G79" i="17" s="1"/>
  <c r="G46" i="10"/>
  <c r="G50" i="10" s="1"/>
  <c r="K45" i="10"/>
  <c r="K49" i="10" s="1"/>
  <c r="K79" i="17" s="1"/>
  <c r="K46" i="10"/>
  <c r="K50" i="10" s="1"/>
  <c r="J46" i="10"/>
  <c r="J50" i="10" s="1"/>
  <c r="J45" i="10"/>
  <c r="J49" i="10" s="1"/>
  <c r="J79" i="17" s="1"/>
  <c r="I46" i="10"/>
  <c r="I50" i="10" s="1"/>
  <c r="I45" i="10"/>
  <c r="I49" i="10" s="1"/>
  <c r="I79" i="17" s="1"/>
  <c r="F45" i="10"/>
  <c r="F49" i="10" s="1"/>
  <c r="F79" i="17" s="1"/>
  <c r="F46" i="10"/>
  <c r="F50" i="10" s="1"/>
  <c r="M52" i="1"/>
  <c r="N52" i="1"/>
  <c r="F6" i="2"/>
  <c r="E5" i="2"/>
  <c r="F85" i="17" l="1"/>
  <c r="F86" i="29" s="1"/>
  <c r="F87" i="29" s="1"/>
  <c r="D23" i="29"/>
  <c r="E79" i="2"/>
  <c r="E50" i="1" s="1"/>
  <c r="F77" i="2"/>
  <c r="F78" i="2"/>
  <c r="E65" i="1"/>
  <c r="E51" i="10"/>
  <c r="E79" i="17"/>
  <c r="J65" i="1"/>
  <c r="H65" i="1"/>
  <c r="G65" i="1"/>
  <c r="F65" i="1"/>
  <c r="F51" i="10"/>
  <c r="I51" i="10"/>
  <c r="G51" i="10"/>
  <c r="J51" i="10"/>
  <c r="K51" i="10"/>
  <c r="K65" i="1"/>
  <c r="H51" i="10"/>
  <c r="H48" i="1"/>
  <c r="F48" i="1"/>
  <c r="J48" i="1"/>
  <c r="K48" i="1"/>
  <c r="E48" i="1"/>
  <c r="G48" i="1"/>
  <c r="I65" i="1"/>
  <c r="G6" i="2"/>
  <c r="F5" i="2"/>
  <c r="A3" i="13"/>
  <c r="A2" i="13"/>
  <c r="A3" i="19"/>
  <c r="E85" i="17" l="1"/>
  <c r="E86" i="29" s="1"/>
  <c r="E87" i="29" s="1"/>
  <c r="E23" i="29"/>
  <c r="F79" i="2"/>
  <c r="F50" i="1" s="1"/>
  <c r="G77" i="2"/>
  <c r="G78" i="2"/>
  <c r="I48" i="1"/>
  <c r="H6" i="2"/>
  <c r="H78" i="2" s="1"/>
  <c r="G5" i="2"/>
  <c r="F23" i="29" l="1"/>
  <c r="G79" i="2"/>
  <c r="G50" i="1" s="1"/>
  <c r="H77" i="2"/>
  <c r="I6" i="2"/>
  <c r="H5" i="2"/>
  <c r="A3" i="15"/>
  <c r="A2" i="15"/>
  <c r="G23" i="29" l="1"/>
  <c r="I77" i="2"/>
  <c r="I78" i="2"/>
  <c r="H79" i="2"/>
  <c r="H50" i="1" s="1"/>
  <c r="J6" i="2"/>
  <c r="I5" i="2"/>
  <c r="A3" i="14"/>
  <c r="A2" i="14"/>
  <c r="A3" i="21"/>
  <c r="A2" i="21"/>
  <c r="A3" i="20"/>
  <c r="A2" i="20"/>
  <c r="A2" i="19"/>
  <c r="A3" i="11"/>
  <c r="A2" i="11"/>
  <c r="A3" i="10"/>
  <c r="A2" i="10"/>
  <c r="A2" i="17"/>
  <c r="A3" i="2"/>
  <c r="A2" i="2"/>
  <c r="A2" i="3"/>
  <c r="A3" i="5"/>
  <c r="A2" i="5"/>
  <c r="A3" i="4"/>
  <c r="A2" i="4"/>
  <c r="A3" i="1"/>
  <c r="A2" i="1"/>
  <c r="H23" i="29" l="1"/>
  <c r="I79" i="2"/>
  <c r="I50" i="1" s="1"/>
  <c r="M50" i="1" s="1"/>
  <c r="J77" i="2"/>
  <c r="J78" i="2"/>
  <c r="K6" i="2"/>
  <c r="K78" i="2" s="1"/>
  <c r="J5" i="2"/>
  <c r="I23" i="29" l="1"/>
  <c r="J79" i="2"/>
  <c r="J50" i="1" s="1"/>
  <c r="L54" i="2"/>
  <c r="K77" i="2"/>
  <c r="L41" i="2"/>
  <c r="L56" i="2"/>
  <c r="L77" i="2"/>
  <c r="L35" i="2"/>
  <c r="L31" i="2"/>
  <c r="L47" i="2"/>
  <c r="L46" i="2"/>
  <c r="L27" i="2"/>
  <c r="L24" i="2"/>
  <c r="L34" i="2"/>
  <c r="L58" i="2"/>
  <c r="L69" i="2"/>
  <c r="L18" i="2"/>
  <c r="L71" i="2"/>
  <c r="L79" i="2"/>
  <c r="L22" i="2"/>
  <c r="L51" i="2"/>
  <c r="L59" i="2"/>
  <c r="L63" i="2"/>
  <c r="L36" i="2"/>
  <c r="L52" i="2"/>
  <c r="L23" i="2"/>
  <c r="L70" i="2"/>
  <c r="L26" i="2"/>
  <c r="L40" i="2"/>
  <c r="L19" i="2"/>
  <c r="L62" i="2"/>
  <c r="L30" i="2"/>
  <c r="L55" i="2"/>
  <c r="L53" i="2"/>
  <c r="L50" i="2"/>
  <c r="L25" i="2"/>
  <c r="L64" i="2"/>
  <c r="K14" i="4"/>
  <c r="K26" i="4" s="1"/>
  <c r="E14" i="4"/>
  <c r="D14" i="4"/>
  <c r="H14" i="4"/>
  <c r="H26" i="4" s="1"/>
  <c r="G14" i="4"/>
  <c r="G26" i="4" s="1"/>
  <c r="I14" i="4"/>
  <c r="I26" i="4" s="1"/>
  <c r="F14" i="4"/>
  <c r="J14" i="4"/>
  <c r="J26" i="4" s="1"/>
  <c r="E86" i="2"/>
  <c r="L13" i="2"/>
  <c r="L12" i="2"/>
  <c r="K5" i="2"/>
  <c r="L28" i="2"/>
  <c r="G28" i="4" l="1"/>
  <c r="E26" i="4"/>
  <c r="E28" i="4" s="1"/>
  <c r="F26" i="4"/>
  <c r="F28" i="4" s="1"/>
  <c r="D26" i="4"/>
  <c r="D28" i="4" s="1"/>
  <c r="M77" i="2"/>
  <c r="J23" i="29"/>
  <c r="K79" i="2"/>
  <c r="K50" i="1" s="1"/>
  <c r="E58" i="10"/>
  <c r="E57" i="10"/>
  <c r="E54" i="10"/>
  <c r="E53" i="10"/>
  <c r="L42" i="2"/>
  <c r="F86" i="2"/>
  <c r="F101" i="2" s="1"/>
  <c r="H86" i="2"/>
  <c r="H128" i="2" s="1"/>
  <c r="I86" i="2"/>
  <c r="I105" i="2" s="1"/>
  <c r="K86" i="2"/>
  <c r="K119" i="2" s="1"/>
  <c r="D86" i="2"/>
  <c r="G86" i="2"/>
  <c r="G119" i="2" s="1"/>
  <c r="J86" i="2"/>
  <c r="J105" i="2" s="1"/>
  <c r="E119" i="2"/>
  <c r="E118" i="2"/>
  <c r="E105" i="2"/>
  <c r="E101" i="2"/>
  <c r="E128" i="2"/>
  <c r="E129" i="2"/>
  <c r="E104" i="2"/>
  <c r="E100" i="2"/>
  <c r="E130" i="2"/>
  <c r="E131" i="2"/>
  <c r="E132" i="2"/>
  <c r="E103" i="2"/>
  <c r="E133" i="2"/>
  <c r="E102" i="2"/>
  <c r="E91" i="2"/>
  <c r="E90" i="2"/>
  <c r="L14" i="2"/>
  <c r="E82" i="15" l="1"/>
  <c r="K23" i="29"/>
  <c r="M79" i="2"/>
  <c r="E81" i="15"/>
  <c r="D128" i="2"/>
  <c r="D118" i="2"/>
  <c r="E55" i="10"/>
  <c r="E59" i="10"/>
  <c r="F132" i="2"/>
  <c r="F103" i="2"/>
  <c r="I58" i="10"/>
  <c r="G58" i="10"/>
  <c r="H58" i="10"/>
  <c r="J58" i="10"/>
  <c r="F58" i="10"/>
  <c r="K58" i="10"/>
  <c r="I57" i="10"/>
  <c r="I54" i="10"/>
  <c r="I53" i="10"/>
  <c r="H57" i="10"/>
  <c r="H54" i="10"/>
  <c r="H53" i="10"/>
  <c r="G57" i="10"/>
  <c r="G54" i="10"/>
  <c r="G53" i="10"/>
  <c r="J57" i="10"/>
  <c r="J54" i="10"/>
  <c r="J53" i="10"/>
  <c r="F57" i="10"/>
  <c r="F54" i="10"/>
  <c r="F53" i="10"/>
  <c r="K57" i="10"/>
  <c r="K54" i="10"/>
  <c r="K53" i="10"/>
  <c r="F119" i="2"/>
  <c r="F118" i="2"/>
  <c r="F104" i="2"/>
  <c r="I118" i="2"/>
  <c r="F131" i="2"/>
  <c r="I101" i="2"/>
  <c r="I131" i="2"/>
  <c r="I133" i="2"/>
  <c r="F129" i="2"/>
  <c r="F133" i="2"/>
  <c r="F128" i="2"/>
  <c r="F91" i="2"/>
  <c r="F130" i="2"/>
  <c r="F105" i="2"/>
  <c r="I103" i="2"/>
  <c r="I130" i="2"/>
  <c r="F90" i="2"/>
  <c r="F82" i="15" s="1"/>
  <c r="F102" i="2"/>
  <c r="F100" i="2"/>
  <c r="I102" i="2"/>
  <c r="I100" i="2"/>
  <c r="I119" i="2"/>
  <c r="H131" i="2"/>
  <c r="H100" i="2"/>
  <c r="H90" i="2"/>
  <c r="H101" i="2"/>
  <c r="H102" i="2"/>
  <c r="H118" i="2"/>
  <c r="I90" i="2"/>
  <c r="I82" i="15" s="1"/>
  <c r="I129" i="2"/>
  <c r="I128" i="2"/>
  <c r="K118" i="2"/>
  <c r="K120" i="2" s="1"/>
  <c r="K124" i="2" s="1"/>
  <c r="H133" i="2"/>
  <c r="H129" i="2"/>
  <c r="I91" i="2"/>
  <c r="I132" i="2"/>
  <c r="I104" i="2"/>
  <c r="G118" i="2"/>
  <c r="G120" i="2" s="1"/>
  <c r="G125" i="2" s="1"/>
  <c r="K133" i="2"/>
  <c r="K131" i="2"/>
  <c r="K129" i="2"/>
  <c r="K90" i="2"/>
  <c r="K91" i="2"/>
  <c r="K100" i="2"/>
  <c r="K101" i="2"/>
  <c r="K102" i="2"/>
  <c r="K103" i="2"/>
  <c r="K104" i="2"/>
  <c r="K105" i="2"/>
  <c r="H132" i="2"/>
  <c r="H103" i="2"/>
  <c r="H104" i="2"/>
  <c r="H105" i="2"/>
  <c r="J118" i="2"/>
  <c r="K132" i="2"/>
  <c r="K130" i="2"/>
  <c r="K128" i="2"/>
  <c r="H91" i="2"/>
  <c r="H119" i="2"/>
  <c r="H130" i="2"/>
  <c r="D132" i="2"/>
  <c r="D131" i="2"/>
  <c r="D100" i="2"/>
  <c r="D102" i="2"/>
  <c r="D129" i="2"/>
  <c r="D91" i="2"/>
  <c r="D101" i="2"/>
  <c r="D104" i="2"/>
  <c r="D133" i="2"/>
  <c r="D103" i="2"/>
  <c r="D105" i="2"/>
  <c r="D90" i="2"/>
  <c r="D119" i="2"/>
  <c r="D130" i="2"/>
  <c r="G101" i="2"/>
  <c r="J129" i="2"/>
  <c r="J91" i="2"/>
  <c r="G103" i="2"/>
  <c r="J131" i="2"/>
  <c r="G131" i="2"/>
  <c r="J132" i="2"/>
  <c r="J130" i="2"/>
  <c r="J128" i="2"/>
  <c r="J119" i="2"/>
  <c r="J90" i="2"/>
  <c r="J102" i="2"/>
  <c r="J100" i="2"/>
  <c r="J101" i="2"/>
  <c r="G90" i="2"/>
  <c r="G100" i="2"/>
  <c r="J133" i="2"/>
  <c r="J103" i="2"/>
  <c r="J104" i="2"/>
  <c r="G132" i="2"/>
  <c r="G129" i="2"/>
  <c r="G91" i="2"/>
  <c r="G133" i="2"/>
  <c r="G104" i="2"/>
  <c r="G105" i="2"/>
  <c r="G102" i="2"/>
  <c r="G130" i="2"/>
  <c r="G128" i="2"/>
  <c r="E92" i="2"/>
  <c r="E96" i="2" s="1"/>
  <c r="N50" i="1"/>
  <c r="E106" i="2"/>
  <c r="E134" i="2"/>
  <c r="E120" i="2"/>
  <c r="E14" i="20"/>
  <c r="F14" i="20"/>
  <c r="D14" i="20"/>
  <c r="H82" i="15" l="1"/>
  <c r="E55" i="27"/>
  <c r="E57" i="27"/>
  <c r="I81" i="15"/>
  <c r="G81" i="15"/>
  <c r="J81" i="15"/>
  <c r="H81" i="15"/>
  <c r="K81" i="15"/>
  <c r="F16" i="20"/>
  <c r="E16" i="20"/>
  <c r="D16" i="20"/>
  <c r="D81" i="15"/>
  <c r="F81" i="15"/>
  <c r="L128" i="2"/>
  <c r="L118" i="2"/>
  <c r="H92" i="2"/>
  <c r="H96" i="2" s="1"/>
  <c r="F55" i="10"/>
  <c r="I55" i="10"/>
  <c r="K55" i="10"/>
  <c r="H55" i="10"/>
  <c r="G55" i="10"/>
  <c r="J55" i="10"/>
  <c r="F120" i="2"/>
  <c r="F124" i="2" s="1"/>
  <c r="F59" i="10"/>
  <c r="H59" i="10"/>
  <c r="J59" i="10"/>
  <c r="I59" i="10"/>
  <c r="K59" i="10"/>
  <c r="G59" i="10"/>
  <c r="I120" i="2"/>
  <c r="I124" i="2" s="1"/>
  <c r="F134" i="2"/>
  <c r="F137" i="2" s="1"/>
  <c r="L129" i="2"/>
  <c r="I106" i="2"/>
  <c r="I108" i="2" s="1"/>
  <c r="F92" i="2"/>
  <c r="F97" i="2" s="1"/>
  <c r="D120" i="2"/>
  <c r="D124" i="2" s="1"/>
  <c r="F106" i="2"/>
  <c r="F108" i="2" s="1"/>
  <c r="I92" i="2"/>
  <c r="I97" i="2" s="1"/>
  <c r="I134" i="2"/>
  <c r="I137" i="2" s="1"/>
  <c r="H120" i="2"/>
  <c r="H124" i="2" s="1"/>
  <c r="K134" i="2"/>
  <c r="K136" i="2" s="1"/>
  <c r="K140" i="2" s="1"/>
  <c r="H134" i="2"/>
  <c r="H136" i="2" s="1"/>
  <c r="K106" i="2"/>
  <c r="K108" i="2" s="1"/>
  <c r="H106" i="2"/>
  <c r="H109" i="2" s="1"/>
  <c r="K92" i="2"/>
  <c r="K97" i="2" s="1"/>
  <c r="M91" i="2"/>
  <c r="J120" i="2"/>
  <c r="J125" i="2" s="1"/>
  <c r="L105" i="2"/>
  <c r="L101" i="2"/>
  <c r="L100" i="2"/>
  <c r="L130" i="2"/>
  <c r="L103" i="2"/>
  <c r="L91" i="2"/>
  <c r="L131" i="2"/>
  <c r="L90" i="2"/>
  <c r="L104" i="2"/>
  <c r="L102" i="2"/>
  <c r="L132" i="2"/>
  <c r="M118" i="2"/>
  <c r="D92" i="2"/>
  <c r="D96" i="2" s="1"/>
  <c r="L119" i="2"/>
  <c r="M130" i="2"/>
  <c r="M105" i="2"/>
  <c r="M103" i="2"/>
  <c r="D134" i="2"/>
  <c r="D136" i="2" s="1"/>
  <c r="M102" i="2"/>
  <c r="M100" i="2"/>
  <c r="D106" i="2"/>
  <c r="D108" i="2" s="1"/>
  <c r="L133" i="2"/>
  <c r="M131" i="2"/>
  <c r="M90" i="2"/>
  <c r="J134" i="2"/>
  <c r="J137" i="2" s="1"/>
  <c r="M129" i="2"/>
  <c r="M132" i="2"/>
  <c r="J106" i="2"/>
  <c r="J108" i="2" s="1"/>
  <c r="M101" i="2"/>
  <c r="M133" i="2"/>
  <c r="G106" i="2"/>
  <c r="M128" i="2"/>
  <c r="M104" i="2"/>
  <c r="K125" i="2"/>
  <c r="M119" i="2"/>
  <c r="J92" i="2"/>
  <c r="J97" i="2" s="1"/>
  <c r="G92" i="2"/>
  <c r="G134" i="2"/>
  <c r="G136" i="2" s="1"/>
  <c r="G124" i="2"/>
  <c r="E97" i="2"/>
  <c r="E125" i="2"/>
  <c r="E124" i="2"/>
  <c r="E136" i="2"/>
  <c r="E137" i="2"/>
  <c r="E109" i="2"/>
  <c r="E108" i="2"/>
  <c r="E112" i="2" s="1"/>
  <c r="G96" i="2" l="1"/>
  <c r="K109" i="2"/>
  <c r="K113" i="2" s="1"/>
  <c r="E62" i="27"/>
  <c r="E66" i="1" s="1"/>
  <c r="E30" i="1" s="1"/>
  <c r="E48" i="29"/>
  <c r="E59" i="27"/>
  <c r="E61" i="27"/>
  <c r="E64" i="27" s="1"/>
  <c r="E62" i="17" s="1"/>
  <c r="E69" i="17" s="1"/>
  <c r="F55" i="27"/>
  <c r="F57" i="27"/>
  <c r="H8" i="20"/>
  <c r="H57" i="1" s="1"/>
  <c r="H58" i="1" s="1"/>
  <c r="E8" i="20"/>
  <c r="E57" i="1" s="1"/>
  <c r="D8" i="20"/>
  <c r="D57" i="1" s="1"/>
  <c r="F8" i="20"/>
  <c r="F57" i="1" s="1"/>
  <c r="I8" i="20"/>
  <c r="I57" i="1" s="1"/>
  <c r="I58" i="1" s="1"/>
  <c r="J8" i="20"/>
  <c r="J57" i="1" s="1"/>
  <c r="J58" i="1" s="1"/>
  <c r="G8" i="20"/>
  <c r="G57" i="1" s="1"/>
  <c r="G58" i="1" s="1"/>
  <c r="K8" i="20"/>
  <c r="K57" i="1" s="1"/>
  <c r="K58" i="1" s="1"/>
  <c r="L120" i="2"/>
  <c r="H97" i="2"/>
  <c r="H113" i="2" s="1"/>
  <c r="I125" i="2"/>
  <c r="I141" i="2" s="1"/>
  <c r="F136" i="2"/>
  <c r="F140" i="2" s="1"/>
  <c r="F125" i="2"/>
  <c r="F141" i="2" s="1"/>
  <c r="F96" i="2"/>
  <c r="F112" i="2" s="1"/>
  <c r="I109" i="2"/>
  <c r="I113" i="2" s="1"/>
  <c r="D125" i="2"/>
  <c r="F109" i="2"/>
  <c r="F113" i="2" s="1"/>
  <c r="I96" i="2"/>
  <c r="I112" i="2" s="1"/>
  <c r="I136" i="2"/>
  <c r="I140" i="2" s="1"/>
  <c r="K137" i="2"/>
  <c r="K141" i="2" s="1"/>
  <c r="K142" i="2" s="1"/>
  <c r="H125" i="2"/>
  <c r="H140" i="2"/>
  <c r="H137" i="2"/>
  <c r="K96" i="2"/>
  <c r="K112" i="2" s="1"/>
  <c r="K147" i="2" s="1"/>
  <c r="H108" i="2"/>
  <c r="H112" i="2" s="1"/>
  <c r="M92" i="2"/>
  <c r="J124" i="2"/>
  <c r="L92" i="2"/>
  <c r="L134" i="2"/>
  <c r="D97" i="2"/>
  <c r="L106" i="2"/>
  <c r="M120" i="2"/>
  <c r="D109" i="2"/>
  <c r="D137" i="2"/>
  <c r="M106" i="2"/>
  <c r="G137" i="2"/>
  <c r="G141" i="2" s="1"/>
  <c r="G108" i="2"/>
  <c r="G112" i="2" s="1"/>
  <c r="M134" i="2"/>
  <c r="J136" i="2"/>
  <c r="J109" i="2"/>
  <c r="J113" i="2" s="1"/>
  <c r="J96" i="2"/>
  <c r="J112" i="2" s="1"/>
  <c r="G109" i="2"/>
  <c r="G97" i="2"/>
  <c r="G140" i="2"/>
  <c r="E113" i="2"/>
  <c r="E114" i="2" s="1"/>
  <c r="J141" i="2"/>
  <c r="E141" i="2"/>
  <c r="D140" i="2"/>
  <c r="L124" i="2"/>
  <c r="D112" i="2"/>
  <c r="E140" i="2"/>
  <c r="E147" i="2" s="1"/>
  <c r="E34" i="1" l="1"/>
  <c r="E29" i="1"/>
  <c r="E31" i="1"/>
  <c r="E36" i="1"/>
  <c r="E33" i="1"/>
  <c r="E32" i="1"/>
  <c r="E35" i="1"/>
  <c r="E66" i="27"/>
  <c r="E65" i="17"/>
  <c r="E38" i="1"/>
  <c r="F48" i="29"/>
  <c r="F61" i="27"/>
  <c r="F64" i="27" s="1"/>
  <c r="F59" i="27"/>
  <c r="F62" i="27"/>
  <c r="F66" i="1" s="1"/>
  <c r="M57" i="1"/>
  <c r="N57" i="1"/>
  <c r="L136" i="2"/>
  <c r="L96" i="2"/>
  <c r="M125" i="2"/>
  <c r="D141" i="2"/>
  <c r="D142" i="2" s="1"/>
  <c r="L125" i="2"/>
  <c r="I114" i="2"/>
  <c r="I148" i="2"/>
  <c r="H147" i="2"/>
  <c r="M136" i="2"/>
  <c r="L108" i="2"/>
  <c r="H141" i="2"/>
  <c r="H142" i="2" s="1"/>
  <c r="K114" i="2"/>
  <c r="J140" i="2"/>
  <c r="J142" i="2" s="1"/>
  <c r="M124" i="2"/>
  <c r="L97" i="2"/>
  <c r="M97" i="2"/>
  <c r="D113" i="2"/>
  <c r="G142" i="2"/>
  <c r="L109" i="2"/>
  <c r="M137" i="2"/>
  <c r="I147" i="2"/>
  <c r="L137" i="2"/>
  <c r="H114" i="2"/>
  <c r="M108" i="2"/>
  <c r="M96" i="2"/>
  <c r="M109" i="2"/>
  <c r="K148" i="2"/>
  <c r="K149" i="2" s="1"/>
  <c r="G113" i="2"/>
  <c r="G148" i="2" s="1"/>
  <c r="E148" i="2"/>
  <c r="E149" i="2" s="1"/>
  <c r="J148" i="2"/>
  <c r="F142" i="2"/>
  <c r="F147" i="2"/>
  <c r="I142" i="2"/>
  <c r="F148" i="2"/>
  <c r="D147" i="2"/>
  <c r="M112" i="2"/>
  <c r="L112" i="2"/>
  <c r="L140" i="2"/>
  <c r="E142" i="2"/>
  <c r="G147" i="2"/>
  <c r="J114" i="2"/>
  <c r="F114" i="2"/>
  <c r="B13" i="1"/>
  <c r="B32" i="1"/>
  <c r="B16" i="1"/>
  <c r="B35" i="1"/>
  <c r="B14" i="1"/>
  <c r="B33" i="1"/>
  <c r="B15" i="1"/>
  <c r="B34" i="1"/>
  <c r="B17" i="1"/>
  <c r="B36" i="1"/>
  <c r="E66" i="17" l="1"/>
  <c r="E68" i="17" s="1"/>
  <c r="E87" i="17" s="1"/>
  <c r="E51" i="29"/>
  <c r="F34" i="1"/>
  <c r="F29" i="1"/>
  <c r="F33" i="1"/>
  <c r="F35" i="1"/>
  <c r="F31" i="1"/>
  <c r="F36" i="1"/>
  <c r="F30" i="1"/>
  <c r="F32" i="1"/>
  <c r="F38" i="1"/>
  <c r="F66" i="27"/>
  <c r="F62" i="17"/>
  <c r="F69" i="17" s="1"/>
  <c r="H148" i="2"/>
  <c r="H149" i="2" s="1"/>
  <c r="I149" i="2"/>
  <c r="D148" i="2"/>
  <c r="M141" i="2"/>
  <c r="L141" i="2"/>
  <c r="M140" i="2"/>
  <c r="J147" i="2"/>
  <c r="M147" i="2" s="1"/>
  <c r="L113" i="2"/>
  <c r="D114" i="2"/>
  <c r="M113" i="2"/>
  <c r="G114" i="2"/>
  <c r="G149" i="2"/>
  <c r="F149" i="2"/>
  <c r="M142" i="2"/>
  <c r="L142" i="2"/>
  <c r="L147" i="2"/>
  <c r="G10" i="1"/>
  <c r="H10" i="1"/>
  <c r="E10" i="1"/>
  <c r="K10" i="1"/>
  <c r="F10" i="1"/>
  <c r="J10" i="1"/>
  <c r="I10" i="1"/>
  <c r="E88" i="29" l="1"/>
  <c r="E89" i="29" s="1"/>
  <c r="E90" i="29" s="1"/>
  <c r="F65" i="17"/>
  <c r="F66" i="17" s="1"/>
  <c r="F68" i="17" s="1"/>
  <c r="F87" i="17" s="1"/>
  <c r="E89" i="17"/>
  <c r="M148" i="2"/>
  <c r="D149" i="2"/>
  <c r="L149" i="2" s="1"/>
  <c r="L148" i="2"/>
  <c r="J149" i="2"/>
  <c r="M114" i="2"/>
  <c r="L114" i="2"/>
  <c r="I12" i="1"/>
  <c r="I16" i="1"/>
  <c r="I15" i="1"/>
  <c r="I13" i="1"/>
  <c r="I14" i="1"/>
  <c r="I17" i="1"/>
  <c r="J13" i="1"/>
  <c r="J17" i="1"/>
  <c r="J12" i="1"/>
  <c r="J16" i="1"/>
  <c r="J14" i="1"/>
  <c r="J15" i="1"/>
  <c r="H15" i="1"/>
  <c r="H14" i="1"/>
  <c r="H12" i="1"/>
  <c r="H13" i="1"/>
  <c r="H17" i="1"/>
  <c r="H16" i="1"/>
  <c r="E12" i="1"/>
  <c r="E16" i="1"/>
  <c r="E15" i="1"/>
  <c r="E17" i="1"/>
  <c r="E14" i="1"/>
  <c r="E13" i="1"/>
  <c r="F13" i="1"/>
  <c r="F17" i="1"/>
  <c r="F12" i="1"/>
  <c r="F16" i="1"/>
  <c r="F15" i="1"/>
  <c r="F14" i="1"/>
  <c r="K14" i="1"/>
  <c r="K13" i="1"/>
  <c r="K17" i="1"/>
  <c r="K15" i="1"/>
  <c r="K12" i="1"/>
  <c r="K16" i="1"/>
  <c r="G14" i="1"/>
  <c r="G13" i="1"/>
  <c r="G17" i="1"/>
  <c r="G12" i="1"/>
  <c r="G16" i="1"/>
  <c r="G15" i="1"/>
  <c r="F19" i="1"/>
  <c r="I19" i="1"/>
  <c r="I18" i="1"/>
  <c r="E19" i="1"/>
  <c r="J18" i="1"/>
  <c r="J19" i="1"/>
  <c r="K19" i="1"/>
  <c r="K18" i="1"/>
  <c r="H18" i="1"/>
  <c r="H19" i="1"/>
  <c r="G18" i="1"/>
  <c r="G19" i="1"/>
  <c r="F88" i="29" l="1"/>
  <c r="F89" i="29" s="1"/>
  <c r="F90" i="29" s="1"/>
  <c r="E60" i="1"/>
  <c r="E59" i="1"/>
  <c r="F51" i="29"/>
  <c r="G35" i="29"/>
  <c r="H35" i="29"/>
  <c r="I35" i="29"/>
  <c r="J35" i="29"/>
  <c r="K35" i="29"/>
  <c r="F89" i="17"/>
  <c r="M149" i="2"/>
  <c r="F60" i="1" l="1"/>
  <c r="F59" i="1"/>
  <c r="E21" i="1"/>
  <c r="E40" i="1"/>
  <c r="E11" i="1"/>
  <c r="H11" i="1"/>
  <c r="I11" i="1"/>
  <c r="J11" i="1"/>
  <c r="K11" i="1"/>
  <c r="F40" i="1" l="1"/>
  <c r="F21" i="1"/>
  <c r="K20" i="1"/>
  <c r="H20" i="1"/>
  <c r="I20" i="1"/>
  <c r="J20" i="1"/>
  <c r="F11" i="1" l="1"/>
  <c r="G11" i="1" l="1"/>
  <c r="G20" i="1" l="1"/>
  <c r="D45" i="10" l="1"/>
  <c r="D49" i="10" s="1"/>
  <c r="D46" i="10"/>
  <c r="D50" i="10" s="1"/>
  <c r="D53" i="10" l="1"/>
  <c r="D79" i="17"/>
  <c r="D58" i="10"/>
  <c r="D48" i="1"/>
  <c r="D65" i="1"/>
  <c r="D54" i="10"/>
  <c r="N11" i="1" l="1"/>
  <c r="M11" i="1"/>
  <c r="M15" i="1"/>
  <c r="N15" i="1"/>
  <c r="M17" i="1"/>
  <c r="N17" i="1"/>
  <c r="N16" i="1"/>
  <c r="M13" i="1"/>
  <c r="N13" i="1"/>
  <c r="N14" i="1"/>
  <c r="M16" i="1"/>
  <c r="M14" i="1"/>
  <c r="M12" i="1"/>
  <c r="N12" i="1"/>
  <c r="N19" i="1"/>
  <c r="M19" i="1"/>
  <c r="N10" i="1"/>
  <c r="M10" i="1"/>
  <c r="D85" i="17"/>
  <c r="D86" i="29" s="1"/>
  <c r="D87" i="29" s="1"/>
  <c r="D55" i="10"/>
  <c r="L79" i="17"/>
  <c r="M79" i="17"/>
  <c r="D15" i="1"/>
  <c r="D17" i="1"/>
  <c r="D19" i="1"/>
  <c r="D14" i="1"/>
  <c r="D12" i="1"/>
  <c r="D13" i="1"/>
  <c r="D11" i="1"/>
  <c r="D16" i="1"/>
  <c r="D51" i="10"/>
  <c r="D57" i="10"/>
  <c r="D59" i="10" s="1"/>
  <c r="D10" i="1"/>
  <c r="N48" i="1"/>
  <c r="M48" i="1"/>
  <c r="D55" i="27" l="1"/>
  <c r="D57" i="27"/>
  <c r="D61" i="27" s="1"/>
  <c r="D59" i="27" l="1"/>
  <c r="D62" i="27"/>
  <c r="D66" i="1" s="1"/>
  <c r="D48" i="29"/>
  <c r="D64" i="27"/>
  <c r="D62" i="17" s="1"/>
  <c r="D69" i="17" s="1"/>
  <c r="D34" i="1" l="1"/>
  <c r="D31" i="1"/>
  <c r="D36" i="1"/>
  <c r="D33" i="1"/>
  <c r="D35" i="1"/>
  <c r="D38" i="1"/>
  <c r="D30" i="1"/>
  <c r="D32" i="1"/>
  <c r="D29" i="1"/>
  <c r="D65" i="17"/>
  <c r="D66" i="27"/>
  <c r="D66" i="17" l="1"/>
  <c r="D68" i="17" s="1"/>
  <c r="D51" i="29"/>
  <c r="D78" i="15"/>
  <c r="D80" i="15" s="1"/>
  <c r="D82" i="15" s="1"/>
  <c r="D87" i="17" l="1"/>
  <c r="D88" i="29" l="1"/>
  <c r="D89" i="29" s="1"/>
  <c r="D89" i="17"/>
  <c r="D90" i="29" l="1"/>
  <c r="D59" i="1"/>
  <c r="D21" i="1" s="1"/>
  <c r="D60" i="1" l="1"/>
  <c r="D40" i="1" l="1"/>
  <c r="G13" i="11" l="1"/>
  <c r="D13" i="11" l="1"/>
  <c r="F13" i="11" l="1"/>
  <c r="E13" i="11"/>
  <c r="G64" i="4" l="1"/>
  <c r="G66" i="4" s="1"/>
  <c r="G68" i="4" s="1"/>
  <c r="E28" i="3" l="1"/>
  <c r="E56" i="1" s="1"/>
  <c r="E37" i="1" l="1"/>
  <c r="E39" i="1" s="1"/>
  <c r="E58" i="1"/>
  <c r="E18" i="1"/>
  <c r="E20" i="1" s="1"/>
  <c r="D28" i="3" l="1"/>
  <c r="D56" i="1" s="1"/>
  <c r="D18" i="1" l="1"/>
  <c r="D20" i="1" s="1"/>
  <c r="D58" i="1"/>
  <c r="D37" i="1"/>
  <c r="D39" i="1" s="1"/>
  <c r="F28" i="3"/>
  <c r="F56" i="1" s="1"/>
  <c r="N18" i="1" l="1"/>
  <c r="N56" i="1"/>
  <c r="N58" i="1" s="1"/>
  <c r="M56" i="1"/>
  <c r="M58" i="1" s="1"/>
  <c r="M18" i="1"/>
  <c r="F18" i="1"/>
  <c r="F20" i="1" s="1"/>
  <c r="F58" i="1"/>
  <c r="F37" i="1"/>
  <c r="F39" i="1" s="1"/>
  <c r="M20" i="1" l="1"/>
  <c r="N20" i="1"/>
  <c r="E50" i="15"/>
  <c r="F50" i="15" l="1"/>
  <c r="D50" i="15" l="1"/>
  <c r="F69" i="29" l="1"/>
  <c r="I69" i="29"/>
  <c r="K69" i="29"/>
  <c r="J69" i="29"/>
  <c r="D69" i="29" l="1"/>
  <c r="F71" i="29"/>
  <c r="F74" i="29" s="1"/>
  <c r="F75" i="29" s="1"/>
  <c r="G69" i="29"/>
  <c r="J71" i="29"/>
  <c r="J74" i="29" s="1"/>
  <c r="J75" i="29" s="1"/>
  <c r="I71" i="29"/>
  <c r="I74" i="29" s="1"/>
  <c r="I75" i="29" s="1"/>
  <c r="E69" i="29"/>
  <c r="K71" i="29"/>
  <c r="K74" i="29" s="1"/>
  <c r="K75" i="29" s="1"/>
  <c r="H69" i="29"/>
  <c r="G71" i="29" l="1"/>
  <c r="G74" i="29" s="1"/>
  <c r="G75" i="29" s="1"/>
  <c r="H71" i="29"/>
  <c r="H74" i="29" s="1"/>
  <c r="H75" i="29" s="1"/>
  <c r="E71" i="29"/>
  <c r="E74" i="29" s="1"/>
  <c r="E75" i="29" s="1"/>
  <c r="D71" i="29"/>
  <c r="D74" i="29" s="1"/>
  <c r="D75" i="29" s="1"/>
  <c r="G18" i="15" l="1"/>
  <c r="G23" i="15" s="1"/>
  <c r="G46" i="15" l="1"/>
  <c r="G48" i="15" s="1"/>
  <c r="G80" i="15" l="1"/>
  <c r="G82" i="15" s="1"/>
  <c r="G50" i="15"/>
  <c r="E35" i="29" l="1"/>
  <c r="E38" i="29" s="1"/>
  <c r="E50" i="29" l="1"/>
  <c r="E52" i="29" s="1"/>
  <c r="E54" i="29" s="1"/>
  <c r="E82" i="29" s="1"/>
  <c r="E61" i="1" s="1"/>
  <c r="E42" i="29"/>
  <c r="E80" i="29" s="1"/>
  <c r="D35" i="29"/>
  <c r="D38" i="29" s="1"/>
  <c r="E84" i="29" l="1"/>
  <c r="E62" i="1" s="1"/>
  <c r="E41" i="1" s="1"/>
  <c r="E42" i="1" s="1"/>
  <c r="D50" i="29"/>
  <c r="D52" i="29" s="1"/>
  <c r="D54" i="29" s="1"/>
  <c r="D82" i="29" s="1"/>
  <c r="D61" i="1" s="1"/>
  <c r="D42" i="29"/>
  <c r="D80" i="29" s="1"/>
  <c r="E22" i="1"/>
  <c r="E23" i="1" s="1"/>
  <c r="E63" i="1" l="1"/>
  <c r="D84" i="29"/>
  <c r="D62" i="1" s="1"/>
  <c r="D41" i="1" s="1"/>
  <c r="D42" i="1" s="1"/>
  <c r="D22" i="1"/>
  <c r="D23" i="1" s="1"/>
  <c r="D63" i="1" l="1"/>
  <c r="F35" i="29"/>
  <c r="F38" i="29" s="1"/>
  <c r="H38" i="29"/>
  <c r="F50" i="29" l="1"/>
  <c r="F52" i="29" s="1"/>
  <c r="F54" i="29" s="1"/>
  <c r="F82" i="29" s="1"/>
  <c r="F61" i="1" s="1"/>
  <c r="F42" i="29"/>
  <c r="F80" i="29" s="1"/>
  <c r="H50" i="29"/>
  <c r="H42" i="29"/>
  <c r="H80" i="29" s="1"/>
  <c r="F84" i="29" l="1"/>
  <c r="F62" i="1" s="1"/>
  <c r="F41" i="1" s="1"/>
  <c r="F42" i="1" s="1"/>
  <c r="F22" i="1"/>
  <c r="F23" i="1" s="1"/>
  <c r="F63" i="1" l="1"/>
  <c r="I38" i="29"/>
  <c r="K38" i="29"/>
  <c r="J38" i="29"/>
  <c r="G38" i="29"/>
  <c r="I50" i="29" l="1"/>
  <c r="I42" i="29"/>
  <c r="I80" i="29" s="1"/>
  <c r="J42" i="29"/>
  <c r="J80" i="29" s="1"/>
  <c r="J50" i="29"/>
  <c r="G50" i="29"/>
  <c r="G42" i="29"/>
  <c r="G80" i="29" s="1"/>
  <c r="K42" i="29"/>
  <c r="K80" i="29" s="1"/>
  <c r="K50" i="29"/>
  <c r="G23" i="27" l="1"/>
  <c r="G42" i="27" l="1"/>
  <c r="I54" i="17" l="1"/>
  <c r="I55" i="17" s="1"/>
  <c r="G44" i="27"/>
  <c r="G48" i="27" s="1"/>
  <c r="H54" i="17"/>
  <c r="H55" i="17" l="1"/>
  <c r="G54" i="27"/>
  <c r="H47" i="27"/>
  <c r="J54" i="17"/>
  <c r="J55" i="17" s="1"/>
  <c r="G55" i="27" l="1"/>
  <c r="G57" i="27"/>
  <c r="G37" i="17"/>
  <c r="G39" i="17" s="1"/>
  <c r="K54" i="17"/>
  <c r="K55" i="17" s="1"/>
  <c r="M55" i="17" s="1"/>
  <c r="G43" i="17" l="1"/>
  <c r="G64" i="17"/>
  <c r="M54" i="17"/>
  <c r="G62" i="27"/>
  <c r="G66" i="1" s="1"/>
  <c r="G61" i="27"/>
  <c r="G64" i="27" s="1"/>
  <c r="G48" i="29"/>
  <c r="G59" i="27"/>
  <c r="G62" i="17" l="1"/>
  <c r="G66" i="27"/>
  <c r="G30" i="1"/>
  <c r="M36" i="1"/>
  <c r="M30" i="1"/>
  <c r="M32" i="1"/>
  <c r="M35" i="1"/>
  <c r="M31" i="1"/>
  <c r="G36" i="1"/>
  <c r="G29" i="1"/>
  <c r="G32" i="1"/>
  <c r="M34" i="1"/>
  <c r="M38" i="1"/>
  <c r="G38" i="1"/>
  <c r="M33" i="1"/>
  <c r="G31" i="1"/>
  <c r="M37" i="1"/>
  <c r="G33" i="1"/>
  <c r="M29" i="1"/>
  <c r="G37" i="1"/>
  <c r="G35" i="1"/>
  <c r="G34" i="1"/>
  <c r="L43" i="17"/>
  <c r="G85" i="17"/>
  <c r="G86" i="29" l="1"/>
  <c r="G87" i="29" s="1"/>
  <c r="L85" i="17"/>
  <c r="G39" i="1"/>
  <c r="G65" i="17"/>
  <c r="G69" i="17"/>
  <c r="L69" i="17" s="1"/>
  <c r="M39" i="1"/>
  <c r="G51" i="29" l="1"/>
  <c r="G52" i="29" s="1"/>
  <c r="G54" i="29" s="1"/>
  <c r="G82" i="29" s="1"/>
  <c r="G66" i="17"/>
  <c r="G68" i="17" s="1"/>
  <c r="L68" i="17" l="1"/>
  <c r="G87" i="17"/>
  <c r="G84" i="29"/>
  <c r="L87" i="17" l="1"/>
  <c r="G88" i="29"/>
  <c r="G89" i="29" s="1"/>
  <c r="G89" i="17"/>
  <c r="G90" i="29" l="1"/>
  <c r="G62" i="1" s="1"/>
  <c r="G61" i="1"/>
  <c r="L89" i="17"/>
  <c r="G60" i="1"/>
  <c r="M60" i="1" s="1"/>
  <c r="G59" i="1"/>
  <c r="M59" i="1" l="1"/>
  <c r="G63" i="1"/>
  <c r="G21" i="1"/>
  <c r="M21" i="1"/>
  <c r="M40" i="1"/>
  <c r="G40" i="1"/>
  <c r="G22" i="1"/>
  <c r="M61" i="1"/>
  <c r="M41" i="1"/>
  <c r="M22" i="1"/>
  <c r="G41" i="1"/>
  <c r="M62" i="1"/>
  <c r="G42" i="1" l="1"/>
  <c r="G23" i="1"/>
  <c r="M23" i="1"/>
  <c r="M42" i="1"/>
  <c r="M63" i="1"/>
  <c r="K23" i="27" l="1"/>
  <c r="K42" i="27" l="1"/>
  <c r="K8" i="27"/>
  <c r="J23" i="27"/>
  <c r="J8" i="27"/>
  <c r="I23" i="27"/>
  <c r="I8" i="27"/>
  <c r="H23" i="27"/>
  <c r="I42" i="27" l="1"/>
  <c r="J42" i="27"/>
  <c r="K44" i="27"/>
  <c r="K48" i="27" s="1"/>
  <c r="H42" i="27"/>
  <c r="I28" i="17" l="1"/>
  <c r="I30" i="17" s="1"/>
  <c r="I33" i="17" s="1"/>
  <c r="J28" i="17"/>
  <c r="J30" i="17" s="1"/>
  <c r="J33" i="17" s="1"/>
  <c r="I44" i="27"/>
  <c r="I48" i="27" s="1"/>
  <c r="J47" i="27" s="1"/>
  <c r="K28" i="17"/>
  <c r="K30" i="17" s="1"/>
  <c r="K33" i="17" s="1"/>
  <c r="H28" i="17"/>
  <c r="H30" i="17" s="1"/>
  <c r="J44" i="27"/>
  <c r="J48" i="27" s="1"/>
  <c r="K47" i="27" s="1"/>
  <c r="K54" i="27" s="1"/>
  <c r="H44" i="27"/>
  <c r="H48" i="27" s="1"/>
  <c r="K55" i="27" l="1"/>
  <c r="K57" i="27"/>
  <c r="K37" i="17"/>
  <c r="K39" i="17" s="1"/>
  <c r="H33" i="17"/>
  <c r="I47" i="27"/>
  <c r="I54" i="27" s="1"/>
  <c r="H54" i="27"/>
  <c r="J54" i="27"/>
  <c r="K64" i="17" l="1"/>
  <c r="K43" i="17"/>
  <c r="K85" i="17" s="1"/>
  <c r="K61" i="27"/>
  <c r="K64" i="27" s="1"/>
  <c r="K48" i="29"/>
  <c r="K62" i="27"/>
  <c r="K66" i="1" s="1"/>
  <c r="K59" i="27"/>
  <c r="J37" i="17"/>
  <c r="J39" i="17" s="1"/>
  <c r="J57" i="27"/>
  <c r="J55" i="27"/>
  <c r="H37" i="17"/>
  <c r="H39" i="17" s="1"/>
  <c r="H57" i="27"/>
  <c r="H55" i="27"/>
  <c r="I57" i="27"/>
  <c r="I37" i="17"/>
  <c r="I39" i="17" s="1"/>
  <c r="I55" i="27"/>
  <c r="J62" i="27" l="1"/>
  <c r="J66" i="1" s="1"/>
  <c r="J61" i="27"/>
  <c r="J64" i="27" s="1"/>
  <c r="J48" i="29"/>
  <c r="J59" i="27"/>
  <c r="H48" i="29"/>
  <c r="H62" i="27"/>
  <c r="H66" i="1" s="1"/>
  <c r="H61" i="27"/>
  <c r="H64" i="27" s="1"/>
  <c r="H59" i="27"/>
  <c r="H43" i="17"/>
  <c r="H64" i="17"/>
  <c r="K86" i="29"/>
  <c r="K87" i="29" s="1"/>
  <c r="J64" i="17"/>
  <c r="J43" i="17"/>
  <c r="J85" i="17" s="1"/>
  <c r="K62" i="17"/>
  <c r="K66" i="27"/>
  <c r="I64" i="17"/>
  <c r="I43" i="17"/>
  <c r="I85" i="17" s="1"/>
  <c r="I62" i="27"/>
  <c r="I66" i="1" s="1"/>
  <c r="I61" i="27"/>
  <c r="I64" i="27" s="1"/>
  <c r="I48" i="29"/>
  <c r="I59" i="27"/>
  <c r="K33" i="1"/>
  <c r="K38" i="1"/>
  <c r="K35" i="1"/>
  <c r="K31" i="1"/>
  <c r="K30" i="1"/>
  <c r="K36" i="1"/>
  <c r="K34" i="1"/>
  <c r="K29" i="1"/>
  <c r="K37" i="1"/>
  <c r="K32" i="1"/>
  <c r="I62" i="17" l="1"/>
  <c r="I66" i="27"/>
  <c r="I33" i="1"/>
  <c r="I36" i="1"/>
  <c r="I31" i="1"/>
  <c r="I34" i="1"/>
  <c r="I37" i="1"/>
  <c r="I38" i="1"/>
  <c r="I35" i="1"/>
  <c r="I32" i="1"/>
  <c r="I29" i="1"/>
  <c r="I30" i="1"/>
  <c r="K65" i="17"/>
  <c r="K69" i="17"/>
  <c r="H62" i="17"/>
  <c r="H66" i="27"/>
  <c r="K39" i="1"/>
  <c r="I86" i="29"/>
  <c r="I87" i="29" s="1"/>
  <c r="J86" i="29"/>
  <c r="J87" i="29" s="1"/>
  <c r="H35" i="1"/>
  <c r="H33" i="1"/>
  <c r="H29" i="1"/>
  <c r="H30" i="1"/>
  <c r="H37" i="1"/>
  <c r="H32" i="1"/>
  <c r="H31" i="1"/>
  <c r="H36" i="1"/>
  <c r="H34" i="1"/>
  <c r="H38" i="1"/>
  <c r="N35" i="1"/>
  <c r="N36" i="1"/>
  <c r="N32" i="1"/>
  <c r="N37" i="1"/>
  <c r="N30" i="1"/>
  <c r="N34" i="1"/>
  <c r="N31" i="1"/>
  <c r="N33" i="1"/>
  <c r="N38" i="1"/>
  <c r="N29" i="1"/>
  <c r="J62" i="17"/>
  <c r="J66" i="27"/>
  <c r="H85" i="17"/>
  <c r="M43" i="17"/>
  <c r="J31" i="1"/>
  <c r="J30" i="1"/>
  <c r="J37" i="1"/>
  <c r="J36" i="1"/>
  <c r="J33" i="1"/>
  <c r="J34" i="1"/>
  <c r="J38" i="1"/>
  <c r="J32" i="1"/>
  <c r="J29" i="1"/>
  <c r="J35" i="1"/>
  <c r="H86" i="29" l="1"/>
  <c r="H87" i="29" s="1"/>
  <c r="M85" i="17"/>
  <c r="H65" i="17"/>
  <c r="H69" i="17"/>
  <c r="N39" i="1"/>
  <c r="J65" i="17"/>
  <c r="J69" i="17"/>
  <c r="I39" i="1"/>
  <c r="J39" i="1"/>
  <c r="H39" i="1"/>
  <c r="K51" i="29"/>
  <c r="K52" i="29" s="1"/>
  <c r="K54" i="29" s="1"/>
  <c r="K82" i="29" s="1"/>
  <c r="K66" i="17"/>
  <c r="K68" i="17" s="1"/>
  <c r="K87" i="17" s="1"/>
  <c r="I65" i="17"/>
  <c r="I69" i="17"/>
  <c r="M69" i="17" l="1"/>
  <c r="J51" i="29"/>
  <c r="J52" i="29" s="1"/>
  <c r="J54" i="29" s="1"/>
  <c r="J82" i="29" s="1"/>
  <c r="J66" i="17"/>
  <c r="J68" i="17" s="1"/>
  <c r="J87" i="17" s="1"/>
  <c r="H51" i="29"/>
  <c r="H52" i="29" s="1"/>
  <c r="H54" i="29" s="1"/>
  <c r="H82" i="29" s="1"/>
  <c r="H66" i="17"/>
  <c r="H68" i="17" s="1"/>
  <c r="I51" i="29"/>
  <c r="I52" i="29" s="1"/>
  <c r="I54" i="29" s="1"/>
  <c r="I82" i="29" s="1"/>
  <c r="I66" i="17"/>
  <c r="I68" i="17" s="1"/>
  <c r="I87" i="17" s="1"/>
  <c r="K88" i="29"/>
  <c r="K89" i="29" s="1"/>
  <c r="K90" i="29" s="1"/>
  <c r="K89" i="17"/>
  <c r="K84" i="29"/>
  <c r="K60" i="1" l="1"/>
  <c r="K62" i="1"/>
  <c r="K61" i="1"/>
  <c r="K22" i="1" s="1"/>
  <c r="K59" i="1"/>
  <c r="K21" i="1" s="1"/>
  <c r="H87" i="17"/>
  <c r="M68" i="17"/>
  <c r="H84" i="29"/>
  <c r="I88" i="29"/>
  <c r="I89" i="29" s="1"/>
  <c r="I90" i="29" s="1"/>
  <c r="I89" i="17"/>
  <c r="J88" i="29"/>
  <c r="J89" i="29" s="1"/>
  <c r="J90" i="29" s="1"/>
  <c r="J89" i="17"/>
  <c r="I84" i="29"/>
  <c r="J84" i="29"/>
  <c r="J60" i="1" l="1"/>
  <c r="K23" i="1"/>
  <c r="J62" i="1"/>
  <c r="I61" i="1"/>
  <c r="I22" i="1" s="1"/>
  <c r="I62" i="1"/>
  <c r="I59" i="1"/>
  <c r="I21" i="1" s="1"/>
  <c r="K40" i="1"/>
  <c r="K63" i="1"/>
  <c r="J59" i="1"/>
  <c r="J21" i="1" s="1"/>
  <c r="K41" i="1"/>
  <c r="H88" i="29"/>
  <c r="H89" i="29" s="1"/>
  <c r="H59" i="1" s="1"/>
  <c r="M87" i="17"/>
  <c r="H89" i="17"/>
  <c r="J61" i="1"/>
  <c r="J22" i="1" s="1"/>
  <c r="I60" i="1"/>
  <c r="I41" i="1" l="1"/>
  <c r="J40" i="1"/>
  <c r="J23" i="1"/>
  <c r="I40" i="1"/>
  <c r="I42" i="1" s="1"/>
  <c r="K42" i="1"/>
  <c r="M89" i="17"/>
  <c r="I63" i="1"/>
  <c r="J63" i="1"/>
  <c r="H21" i="1"/>
  <c r="N59" i="1"/>
  <c r="N21" i="1"/>
  <c r="J41" i="1"/>
  <c r="H90" i="29"/>
  <c r="H62" i="1" s="1"/>
  <c r="N62" i="1" s="1"/>
  <c r="H61" i="1"/>
  <c r="I23" i="1"/>
  <c r="J42" i="1" l="1"/>
  <c r="H22" i="1"/>
  <c r="H23" i="1" s="1"/>
  <c r="H41" i="1"/>
  <c r="N41" i="1"/>
  <c r="N22" i="1"/>
  <c r="N61" i="1"/>
  <c r="H60" i="1"/>
  <c r="N23" i="1" l="1"/>
  <c r="N60" i="1"/>
  <c r="N63" i="1" s="1"/>
  <c r="H63" i="1"/>
  <c r="N40" i="1"/>
  <c r="H40" i="1"/>
  <c r="H42" i="1" s="1"/>
  <c r="N42" i="1" l="1"/>
</calcChain>
</file>

<file path=xl/sharedStrings.xml><?xml version="1.0" encoding="utf-8"?>
<sst xmlns="http://schemas.openxmlformats.org/spreadsheetml/2006/main" count="1342" uniqueCount="610">
  <si>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</si>
  <si>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</si>
  <si>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</si>
  <si>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</si>
  <si>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</si>
  <si>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</si>
  <si>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</si>
  <si>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</si>
  <si>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</si>
  <si>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</si>
  <si>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</si>
  <si>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</si>
  <si>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</si>
  <si>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</si>
  <si>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</si>
  <si>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</si>
  <si>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</si>
  <si>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</si>
  <si>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</si>
  <si>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</si>
  <si>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</si>
  <si>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</si>
  <si>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</si>
  <si>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</si>
  <si>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</si>
  <si>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</si>
  <si>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</si>
  <si>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</si>
  <si>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</si>
  <si>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</si>
  <si>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</si>
  <si>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</si>
  <si>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</si>
  <si>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</si>
  <si>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</si>
  <si>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</si>
  <si>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</si>
  <si>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</si>
  <si>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</si>
  <si>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</si>
  <si>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</si>
  <si>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</si>
  <si>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</si>
  <si>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</si>
  <si>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</si>
  <si>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</si>
  <si>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</si>
  <si>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</si>
  <si>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</si>
  <si>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</si>
  <si>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</si>
  <si>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</si>
  <si>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</si>
  <si>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</si>
  <si>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</si>
  <si>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</si>
  <si>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</si>
  <si>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</si>
  <si>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</si>
  <si>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</si>
  <si>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</si>
  <si>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</si>
  <si>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</si>
  <si>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</si>
  <si>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</si>
  <si>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</si>
  <si>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</si>
  <si>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</si>
  <si>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</si>
  <si>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</si>
  <si>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</si>
  <si>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</si>
  <si>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</si>
  <si>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</si>
  <si>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</si>
  <si>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</si>
  <si>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</si>
  <si>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</si>
  <si>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</si>
  <si>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</si>
  <si>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</si>
  <si>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</si>
  <si>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</si>
  <si>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</si>
  <si>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</si>
  <si>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</si>
  <si>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</si>
  <si>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</si>
  <si>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</si>
  <si>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</si>
  <si>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</si>
  <si>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</si>
  <si>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</si>
  <si>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</si>
  <si>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</si>
  <si>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</si>
  <si>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</si>
  <si>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</si>
  <si>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</si>
  <si>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</si>
  <si>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</si>
  <si>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</si>
  <si>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</si>
  <si>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</si>
  <si>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</si>
  <si>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</si>
  <si>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</si>
  <si>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</si>
  <si>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</si>
  <si>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</si>
  <si>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</si>
  <si>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</si>
  <si>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</si>
  <si>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</si>
  <si>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</si>
  <si>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</si>
  <si>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</si>
  <si>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</si>
  <si>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</si>
  <si>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</si>
  <si>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</si>
  <si>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</si>
  <si>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</si>
  <si>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</si>
  <si>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</si>
  <si>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</si>
  <si>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</si>
  <si>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</si>
  <si>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</si>
  <si>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</si>
  <si>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</si>
  <si>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</si>
  <si>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</si>
  <si>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</si>
  <si>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</si>
  <si>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</si>
  <si>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</si>
  <si>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</si>
  <si>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</si>
  <si>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</si>
  <si>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</si>
  <si>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</si>
  <si>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</si>
  <si>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</si>
  <si>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</si>
  <si>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</si>
  <si>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</si>
  <si>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</si>
  <si>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</si>
  <si>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</si>
  <si>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</si>
  <si>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</si>
  <si>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</si>
  <si>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</si>
  <si>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</si>
  <si>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</si>
  <si>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</si>
  <si>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</si>
  <si>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</si>
  <si>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</si>
  <si>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</si>
  <si>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</si>
  <si>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</si>
  <si>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</si>
  <si>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</si>
  <si>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</si>
  <si>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</si>
  <si>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</si>
  <si>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</si>
  <si>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</si>
  <si>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</si>
  <si>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</si>
  <si>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</si>
  <si>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</si>
  <si>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</si>
  <si>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</si>
  <si>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</si>
  <si>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</si>
  <si>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</si>
  <si>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</si>
  <si>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</si>
  <si>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</si>
  <si>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</si>
  <si>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</si>
  <si>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</si>
  <si>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</si>
  <si>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</si>
  <si>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</si>
  <si>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</si>
  <si>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</si>
  <si>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</si>
  <si>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</si>
  <si>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</si>
  <si>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</si>
  <si>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</si>
  <si>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</si>
  <si>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</si>
  <si>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</si>
  <si>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</si>
  <si>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</si>
  <si>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</si>
  <si>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</si>
  <si>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</si>
  <si>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</si>
  <si>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</si>
  <si>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</si>
  <si>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</si>
  <si>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</si>
  <si>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</si>
  <si>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</si>
  <si>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</si>
  <si>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</si>
  <si>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</si>
  <si>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</si>
  <si>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</si>
  <si>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</si>
  <si>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</si>
  <si>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</si>
  <si>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</si>
  <si>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</si>
  <si>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</si>
  <si>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</si>
  <si>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</si>
  <si>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</si>
  <si>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</si>
  <si>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</si>
  <si>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</si>
  <si>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</si>
  <si>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</si>
  <si>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</si>
  <si>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</si>
  <si>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</si>
  <si>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</si>
  <si>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</si>
  <si>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</si>
  <si>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</si>
  <si>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</si>
  <si>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</si>
  <si>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</si>
  <si>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</si>
  <si>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</si>
  <si>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</si>
  <si>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</si>
  <si>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</si>
  <si>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</si>
  <si>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</si>
  <si>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</si>
  <si>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</si>
  <si>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</si>
  <si>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</si>
  <si>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</si>
  <si>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</si>
  <si>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</si>
  <si>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</si>
  <si>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</si>
  <si>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</si>
  <si>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</si>
  <si>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</si>
  <si>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</si>
  <si>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</si>
  <si>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</si>
  <si>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</si>
  <si>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</si>
  <si>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</si>
  <si>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</si>
  <si>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</si>
  <si>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</si>
  <si>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</si>
  <si>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</si>
  <si>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</si>
  <si>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</si>
  <si>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</si>
  <si>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</si>
  <si>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</si>
  <si>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</si>
  <si>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</si>
  <si>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</si>
  <si>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</si>
  <si>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</si>
  <si>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</si>
  <si>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</si>
  <si>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</si>
  <si>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</si>
  <si>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</si>
  <si>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</si>
  <si>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</si>
  <si>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</si>
  <si>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</si>
  <si>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</si>
  <si>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</si>
  <si>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</si>
  <si>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</si>
  <si>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</si>
  <si>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</si>
  <si>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</si>
  <si>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</si>
  <si>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</si>
  <si>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</si>
  <si>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</si>
  <si>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</si>
  <si>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</si>
  <si>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</si>
  <si>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</si>
  <si>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</si>
  <si>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</si>
  <si>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</si>
  <si>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</si>
  <si>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</si>
  <si>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</si>
  <si>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</si>
  <si>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</si>
  <si>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</si>
  <si>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</si>
  <si>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</si>
  <si>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</si>
  <si>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</si>
  <si>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</si>
  <si>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</si>
  <si>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</si>
  <si>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</si>
  <si>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</si>
  <si>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</si>
  <si>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</si>
  <si>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</si>
  <si>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</si>
  <si>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</si>
  <si>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</si>
  <si>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</si>
  <si>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</si>
  <si>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</si>
  <si>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</si>
  <si>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</si>
  <si>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</si>
  <si>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</si>
  <si>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</si>
  <si>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</si>
  <si>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</si>
  <si>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</si>
  <si>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</si>
  <si>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</si>
  <si>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</si>
  <si>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</si>
  <si>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</si>
  <si>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</si>
  <si>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</si>
  <si>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</si>
  <si>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</si>
  <si>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</si>
  <si>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</si>
  <si>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</si>
  <si>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</si>
  <si>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</si>
  <si>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4. Other adjustment (Overwrite)</t>
  </si>
  <si>
    <t>5. Other adjustment (Overwrite)</t>
  </si>
  <si>
    <t>6. Other adjustment (Overwrite)</t>
  </si>
  <si>
    <t>7. Other adjustment (Overwrite)</t>
  </si>
  <si>
    <t>8. Other adjustment (Overwrite)</t>
  </si>
  <si>
    <t>9. Other adjustment (Overwrite)</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</si>
  <si>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</si>
  <si>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</si>
  <si>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</si>
  <si>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</si>
  <si>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</si>
  <si>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</si>
  <si>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</si>
  <si>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</si>
  <si>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</si>
  <si>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</si>
  <si>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</si>
  <si>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</si>
  <si>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</si>
  <si>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</si>
  <si>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</si>
  <si>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</si>
  <si>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</si>
  <si>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</si>
  <si>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</si>
  <si>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</si>
  <si>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</si>
  <si>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</si>
  <si>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</si>
  <si>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</si>
  <si>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</si>
  <si>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</si>
  <si>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</si>
  <si>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</si>
  <si>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</si>
  <si>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</si>
  <si>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</si>
  <si>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</si>
  <si>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</si>
  <si>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</si>
  <si>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</si>
  <si>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</si>
  <si>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</si>
  <si>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</si>
  <si>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</si>
  <si>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</si>
  <si>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</si>
  <si>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</si>
  <si>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</si>
  <si>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</si>
  <si>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</si>
  <si>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</si>
  <si>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</si>
  <si>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</si>
  <si>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</si>
  <si>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</si>
  <si>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</si>
  <si>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</si>
  <si>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</si>
  <si>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</si>
  <si>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</si>
  <si>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</si>
  <si>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</si>
  <si>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</si>
  <si>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</si>
  <si>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</si>
  <si>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</si>
  <si>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</si>
  <si>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</si>
  <si>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</si>
  <si>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</si>
  <si>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</si>
  <si>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</si>
  <si>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</si>
  <si>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</si>
  <si>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</si>
  <si>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</si>
  <si>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</si>
  <si>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</si>
  <si>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</si>
  <si>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</si>
  <si>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</si>
  <si>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</si>
  <si>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</si>
  <si>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</si>
  <si>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</si>
  <si>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</si>
  <si>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</si>
  <si>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</si>
  <si>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</si>
  <si>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</si>
  <si>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</si>
  <si>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</si>
  <si>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</si>
  <si>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</si>
  <si>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</si>
  <si>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</si>
  <si>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</si>
  <si>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</si>
  <si>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</si>
  <si>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</si>
  <si>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</si>
  <si>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</si>
  <si>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</si>
  <si>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</si>
  <si>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</si>
  <si>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</si>
  <si>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</si>
  <si>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</si>
  <si>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</si>
  <si>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</si>
  <si>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</si>
  <si>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</si>
  <si>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</si>
  <si>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</si>
  <si>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</si>
  <si>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</si>
  <si>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</si>
  <si>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</si>
  <si>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</si>
  <si>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</si>
  <si>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</si>
  <si>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</si>
  <si>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</si>
  <si>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</si>
  <si>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</si>
  <si>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</si>
  <si>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</si>
  <si>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</si>
  <si>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</si>
  <si>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</si>
  <si>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</si>
  <si>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</si>
  <si>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</si>
  <si>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</si>
  <si>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</si>
  <si>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</si>
  <si>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</si>
  <si>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</si>
  <si>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</si>
  <si>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</si>
  <si>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</si>
  <si>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</si>
  <si>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</si>
  <si>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</si>
  <si>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</si>
  <si>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</si>
  <si>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</si>
  <si>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</si>
  <si>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</si>
  <si>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</si>
  <si>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</si>
  <si>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</si>
  <si>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</si>
  <si>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</si>
  <si>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</si>
  <si>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</si>
  <si>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</si>
  <si>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</si>
  <si>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</si>
  <si>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</si>
  <si>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</si>
  <si>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</si>
  <si>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</si>
  <si>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</si>
  <si>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</si>
  <si>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</si>
  <si>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</si>
  <si>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</si>
  <si>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</si>
  <si>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</si>
  <si>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</si>
  <si>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</si>
  <si>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</si>
  <si>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</si>
  <si>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</si>
  <si>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</si>
  <si>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</si>
  <si>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</si>
  <si>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</si>
  <si>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</si>
  <si>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</si>
  <si>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</si>
  <si>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</si>
  <si>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</si>
  <si>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RPI 3 month lag</t>
  </si>
  <si>
    <t>LIBOR 1 month</t>
  </si>
  <si>
    <t>(Discount)/premium on issue</t>
  </si>
  <si>
    <t>Other amounts due to/(from) group companies</t>
  </si>
  <si>
    <t>R8- Net Debt</t>
  </si>
  <si>
    <t xml:space="preserve">Restricted cash balances - Excluded from the 'Net Debt per Regulatory Definition' per the 2018 RIGs Ofgem consultation and retrospectively removed from 2016 &amp; 2017 </t>
  </si>
  <si>
    <t>RPI 2 month lag</t>
  </si>
  <si>
    <t>Dividend paid not related to Regulated business per WPD methodology</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</si>
  <si>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</si>
  <si>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</si>
  <si>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</si>
  <si>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</si>
  <si>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</si>
  <si>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</si>
  <si>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DPCR4 residual distribution losses incentive (WPD and SSE owned licencees)</t>
  </si>
  <si>
    <t>Item reported as Turnover in Reg Accounts, but excluded from Revenue Return</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</si>
  <si>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</si>
  <si>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</si>
  <si>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</si>
  <si>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</si>
  <si>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</si>
  <si>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</si>
  <si>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</si>
  <si>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</si>
  <si>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</si>
  <si>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</si>
  <si>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</si>
  <si>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</si>
  <si>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</si>
  <si>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</si>
  <si>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</si>
  <si>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</si>
  <si>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</si>
  <si>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</si>
  <si>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</si>
  <si>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</si>
  <si>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</si>
  <si>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FRS101 adjustment - ARO</t>
  </si>
  <si>
    <t>Interest capitalised</t>
  </si>
  <si>
    <t>Interest associated to Long term loans (Not for benefit of regulated business or distribution in nature)</t>
  </si>
  <si>
    <t>RPI true up</t>
  </si>
  <si>
    <t>DPCR5 legacy revenue adjustment</t>
  </si>
  <si>
    <t>Revenue profiling adjustment</t>
  </si>
  <si>
    <t>Enduring value adjustments</t>
  </si>
  <si>
    <t>R1-RoRE</t>
  </si>
  <si>
    <t>Data</t>
  </si>
  <si>
    <t>Cells D22, E22, D23 and E23:a change has been made to automate the calculation of Tax on incentives and Tax on IQI (rows 22 and 23), which in the March version published were captured within the headings ‘Incentive revenue adjustment’ and ‘Remove tax charge on incentives’. As a result of the automation of this calculation within the spreadsheet, the historic values have been updated – in the March 2019 version the total for these adjustments was £2.0m and £2.0m for 2015/16 and 2016/17; the total for the equivalent values in rows 22 and 23 is now £2.1m and £2.1m for 2015/16 and 2016/17 respectively.</t>
  </si>
  <si>
    <t xml:space="preserve">Inserted new row above row 26 and linked new row 26 to 'R8a - Net Debt input' row 284, amended in row 42 (previously 41) to pick sum from row 26, as directed by Ofgem 14/06/2019. </t>
  </si>
  <si>
    <t>May 2019 Publication</t>
  </si>
  <si>
    <t>2019 performance has yet to be finalised by Ofgem and is therefore subject to change.</t>
  </si>
  <si>
    <r>
      <t xml:space="preserve">At the time of submission Electricity Distribution targets had not been finalised/confirmed by Ofgem for the final four years of ED1 (2020 through to and 2023). Targets for forecast years reflect those noted within Ofgems TTC consultation document. </t>
    </r>
    <r>
      <rPr>
        <u/>
        <sz val="10"/>
        <color theme="8" tint="-0.249977111117893"/>
        <rFont val="Verdana"/>
        <family val="2"/>
      </rPr>
      <t>https://www.ofgem.gov.uk/publications-and-updates/electricity-time-connect-incentive-targets-consultation-regulatory-years-201920-202021-202122-and-202223</t>
    </r>
  </si>
  <si>
    <t>Specified Street Works</t>
  </si>
  <si>
    <t>Appendix 2</t>
  </si>
  <si>
    <t>Values in cells D33 and E33 have updated as incorrect values entered in error in the 2017/18 submission (2017/18 submission: £-2.0m and -£0.9m; 2018/19 submission: -£2.3m and -£1.8m respectively).</t>
  </si>
  <si>
    <t>Values in cell D28 and E28 have been updated slightly to align with the latest PCFM (2017/18 submission: £0.144m and £0.519 ; 2018/19 submission: £0.144m and £0.524m respectively)</t>
  </si>
  <si>
    <t xml:space="preserve">Due to changes in the row headings in this table from the version published by Ofgem in March 2019, and the addition of row 11, historic values in rows 9 and 10 have not been linked to the 2017/18 submission of the RFPR but rather linked to the Revenue returns which will be submitted in July 2019. This ensures that the total value in row 12 is consistent with the 2017/18 version of the RFPR. Further, as row 23 has been added into the 2018/19 version of the RFPR tables, historic values were not included in the 2017/18 submission. </t>
  </si>
  <si>
    <t xml:space="preserve">Note that as row 35 “Memo: Net interest (RIIO-1) Definition that relates to non-cash principal inflation accretion on bonds and loans” has been added into the 2018/19 version of the RFPR tables, historic values were not included in the 2017/18 submission. </t>
  </si>
  <si>
    <t>R8 - Net debt</t>
  </si>
  <si>
    <t>Note that as row 8 has been added into the 2018/19 version of the RFPR tables, historic values were not included in the 2017/18 submission</t>
  </si>
  <si>
    <t>R8a - Net debt input</t>
  </si>
  <si>
    <t xml:space="preserve">Ofgem requested in May 2019 that restricted cash balances should be reported within row 18 and therefore be broken out from row 13 ‘Cash at bank and in hand (-ve)’. Therefore values in rows 13 and 18 differ from values in the 2017/18 RFPR submission, although the total in row 19 remains unchanged. </t>
  </si>
  <si>
    <t>In the 2018/19 RFPR RIGs, unamortised issue costs are now required to be included within section B having previously being required to be excluded per the 2017/18 RFPR RIGs. Therefore, values in rows 25-27 have been restated from the 2017/18 RFPR submission to meet this change in requirement. Unamortised issue costs are now subsequently removed within row 285 which has therefore also been updated from the 2017/18 submission.</t>
  </si>
  <si>
    <t xml:space="preserve">As the RIGs require row 61 to include values from the latest published PCFM, values in row 61 have been updated to reflect the PCFM published as part of the November 2018 Annual Iteration Process.   </t>
  </si>
  <si>
    <t xml:space="preserve">Values in row 72 and 73 have been updated to better reflect the breakdown of the difference between the Tax allowance per the latest published PCFM and the forecast Tax allowance. </t>
  </si>
  <si>
    <t xml:space="preserve">Ofgem has introduced new rows 86 and 88 therefore data in these rows was not included in the R10 – Tax worksheet in the 2017/18 RFPR submission. </t>
  </si>
  <si>
    <t>General</t>
  </si>
  <si>
    <t>Note that in the 2017/18 submission, 2018/19 values were forecast values; these have now been updated in the 2018/19 submission with actual values. Similarly, forecast data beyond 2018/19 has been updated in the 2018/19 submission to reflect more recent views of forecast performance.</t>
  </si>
  <si>
    <t xml:space="preserve">Cells E23 and F23 have been updated to include the latest actual RPI data, as required by Mick Watson's email dated 12/06/2019. </t>
  </si>
  <si>
    <t xml:space="preserve">Formatting amended in cells M10 to N23 and cells M29 to N42 to percentages, as directed by Ofgem 14/06/2019. </t>
  </si>
  <si>
    <t xml:space="preserve">As the RIGs require rows 11, 19 and 22  to include values from the latest published PCFM, values in these rows have been updated to reflect the PCFM published as part of the November 2018 Annual Iteration Process.   </t>
  </si>
  <si>
    <t xml:space="preserve">The outcome of the consultation process for the 2018/19 Incentive on Connections Engagement has not yet been concluded. </t>
  </si>
  <si>
    <t>GMP equalisation not in the RRP</t>
  </si>
  <si>
    <t>NOT PUBLISHED</t>
  </si>
</sst>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s>
  <fonts count="249">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
      <u/>
      <sz val="10"/>
      <color theme="8" tint="-0.249977111117893"/>
      <name val="Verdana"/>
      <family val="2"/>
    </font>
  </fonts>
  <fills count="120">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rgb="FFFFFFCC"/>
        <bgColor rgb="FF00000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89">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0" fontId="0" fillId="3" borderId="0" xfId="0" applyFont="1" applyFill="1" applyAlignment="1">
      <alignment horizontal="left" vertical="top" indent="1"/>
    </xf>
    <xf numFmtId="168" fontId="5" fillId="119" borderId="0" xfId="0" applyNumberFormat="1" applyFont="1" applyFill="1" applyBorder="1" applyAlignment="1">
      <alignment horizontal="left" vertical="center" indent="1"/>
    </xf>
    <xf numFmtId="0" fontId="0" fillId="3" borderId="0" xfId="0" applyFont="1" applyFill="1" applyAlignment="1">
      <alignment horizontal="left" vertical="top" indent="1"/>
    </xf>
    <xf numFmtId="0" fontId="0" fillId="0" borderId="67" xfId="0" applyFill="1" applyBorder="1" applyAlignment="1">
      <alignment horizontal="left" vertical="center" wrapText="1"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10" xfId="92" applyBorder="1" applyAlignment="1">
      <alignment horizontal="center"/>
    </xf>
    <xf numFmtId="0" fontId="29" fillId="0" borderId="32" xfId="92" applyBorder="1" applyAlignment="1">
      <alignment horizontal="center"/>
    </xf>
    <xf numFmtId="0" fontId="29" fillId="0" borderId="11"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11"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80">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aylorjo/AppData/Local/Microsoft/Windows/INetCache/Content.Outlook/TA0MFAPA/Pension%20RIGs%20data%20tables%20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D1%20RRPs\RRP%202018%2019\RFPR\FOR%20SUBMISSION\201819%20RFPR%20-%20WPD%20EMID%20submission%20-%20Jul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801759/PU797_Forecast_for_the_UK_Economy_May_2019_cover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D8" sqref="D8"/>
      <selection pane="bottomLeft" activeCell="A3" sqref="A3"/>
    </sheetView>
  </sheetViews>
  <sheetFormatPr defaultRowHeight="12.75"/>
  <cols>
    <col min="1" max="1" width="8.375" customWidth="1"/>
    <col min="2" max="2" width="27.125" customWidth="1"/>
    <col min="3" max="6" width="14.125" customWidth="1"/>
    <col min="7" max="7" width="14.125" style="223" customWidth="1"/>
    <col min="8" max="11" width="14.125" customWidth="1"/>
  </cols>
  <sheetData>
    <row r="1" spans="1:11" s="32" customFormat="1" ht="20.25">
      <c r="A1" s="30" t="s">
        <v>307</v>
      </c>
      <c r="B1" s="28"/>
      <c r="C1" s="28"/>
      <c r="D1" s="265"/>
      <c r="E1" s="266"/>
      <c r="F1" s="28"/>
      <c r="G1" s="574"/>
      <c r="H1" s="28"/>
      <c r="I1" s="28"/>
      <c r="J1" s="28"/>
      <c r="K1" s="28"/>
    </row>
    <row r="2" spans="1:11" s="32" customFormat="1" ht="20.25">
      <c r="A2" s="30" t="str">
        <f>'RFPR cover'!C5</f>
        <v>WPD-SWALES</v>
      </c>
      <c r="B2" s="28"/>
      <c r="C2" s="28"/>
      <c r="D2" s="266"/>
      <c r="E2" s="266"/>
      <c r="F2" s="28"/>
      <c r="G2" s="574"/>
      <c r="H2" s="28"/>
      <c r="I2" s="28"/>
      <c r="J2" s="28"/>
      <c r="K2" s="28"/>
    </row>
    <row r="3" spans="1:11" s="32" customFormat="1" ht="20.25">
      <c r="A3" s="30">
        <f>'RFPR cover'!C7</f>
        <v>2019</v>
      </c>
      <c r="B3" s="28"/>
      <c r="C3" s="28"/>
      <c r="D3" s="266"/>
      <c r="E3" s="266"/>
      <c r="F3" s="28"/>
      <c r="G3" s="574"/>
      <c r="H3" s="28"/>
      <c r="I3" s="28"/>
      <c r="J3" s="28"/>
      <c r="K3" s="28"/>
    </row>
    <row r="4" spans="1:11" ht="14.25">
      <c r="A4" s="31"/>
      <c r="B4" s="31"/>
      <c r="C4" s="31"/>
      <c r="D4" s="31"/>
      <c r="E4" s="31"/>
      <c r="H4" s="10"/>
      <c r="I4" s="10"/>
      <c r="J4" s="10"/>
    </row>
    <row r="5" spans="1:11" ht="13.5" customHeight="1">
      <c r="A5" s="31"/>
      <c r="B5" s="79" t="s">
        <v>62</v>
      </c>
      <c r="C5" s="46" t="s">
        <v>248</v>
      </c>
      <c r="D5" s="357"/>
      <c r="E5" s="19"/>
      <c r="F5" s="11"/>
      <c r="G5" s="575" t="s">
        <v>0</v>
      </c>
      <c r="H5" s="10"/>
      <c r="I5" s="10"/>
      <c r="J5" s="10"/>
    </row>
    <row r="6" spans="1:11" ht="13.5" customHeight="1">
      <c r="A6" s="31"/>
      <c r="B6" s="79" t="s">
        <v>189</v>
      </c>
      <c r="C6" s="84" t="str">
        <f>INDEX(Data!$A$73:$A$100,MATCH($C$5,Data!$B$73:$B$100,0),0)&amp;"1"</f>
        <v>ED1</v>
      </c>
      <c r="D6" s="19"/>
      <c r="E6" s="19"/>
      <c r="F6" s="9"/>
      <c r="G6" s="575" t="s">
        <v>1</v>
      </c>
      <c r="H6" s="10"/>
      <c r="I6" s="10"/>
      <c r="J6" s="10"/>
    </row>
    <row r="7" spans="1:11" ht="25.5">
      <c r="A7" s="31"/>
      <c r="B7" s="80" t="s">
        <v>188</v>
      </c>
      <c r="C7" s="85">
        <v>2019</v>
      </c>
      <c r="D7" s="18"/>
      <c r="E7" s="19"/>
      <c r="F7" s="8"/>
      <c r="G7" s="576" t="s">
        <v>2</v>
      </c>
      <c r="H7" s="10"/>
      <c r="I7" s="10"/>
      <c r="J7" s="10"/>
    </row>
    <row r="8" spans="1:11" ht="14.25">
      <c r="A8" s="31"/>
      <c r="B8" s="79" t="s">
        <v>37</v>
      </c>
      <c r="C8" s="86">
        <v>1</v>
      </c>
      <c r="D8" s="19"/>
      <c r="E8" s="18"/>
      <c r="F8" s="7"/>
      <c r="G8" s="575" t="s">
        <v>3</v>
      </c>
      <c r="H8" s="10"/>
      <c r="I8" s="10"/>
      <c r="J8" s="10"/>
    </row>
    <row r="9" spans="1:11" ht="14.25">
      <c r="A9" s="31"/>
      <c r="B9" s="79" t="s">
        <v>38</v>
      </c>
      <c r="C9" s="87">
        <v>43677</v>
      </c>
      <c r="D9" s="18"/>
      <c r="E9" s="18"/>
      <c r="F9" s="6"/>
      <c r="G9" s="575" t="s">
        <v>4</v>
      </c>
      <c r="H9" s="10"/>
      <c r="I9" s="10"/>
      <c r="J9" s="10"/>
    </row>
    <row r="10" spans="1:11" ht="14.25">
      <c r="A10" s="31"/>
      <c r="B10" s="79" t="s">
        <v>70</v>
      </c>
      <c r="C10" s="88">
        <f>SUMIF(Data!$B$72:$B$100,C5,Data!$C$72:$C$100)</f>
        <v>6.4000000000000001E-2</v>
      </c>
      <c r="D10" s="18"/>
      <c r="E10" s="18"/>
      <c r="F10" s="5"/>
      <c r="G10" s="575" t="s">
        <v>5</v>
      </c>
      <c r="H10" s="10"/>
      <c r="I10" s="10"/>
      <c r="J10" s="10"/>
    </row>
    <row r="11" spans="1:11" ht="14.25">
      <c r="A11" s="31"/>
      <c r="B11" s="79" t="s">
        <v>71</v>
      </c>
      <c r="C11" s="89">
        <f>SUMIF(Data!$B$72:$B$100,C5,Data!$D$72:$D$100)</f>
        <v>0.7</v>
      </c>
      <c r="D11" s="19"/>
      <c r="E11" s="19"/>
      <c r="F11" s="4"/>
      <c r="G11" s="575" t="s">
        <v>6</v>
      </c>
      <c r="H11" s="10"/>
      <c r="I11" s="10"/>
      <c r="J11" s="10"/>
    </row>
    <row r="12" spans="1:11">
      <c r="A12" s="31"/>
      <c r="B12" s="79" t="s">
        <v>115</v>
      </c>
      <c r="C12" s="88">
        <f>SUMIF(Data!$B$72:$B$100,C5,Data!$E$72:$E$100)</f>
        <v>0.65</v>
      </c>
      <c r="D12" s="18"/>
      <c r="E12" s="18"/>
      <c r="F12" s="18"/>
      <c r="G12" s="577"/>
    </row>
    <row r="13" spans="1:11">
      <c r="A13" s="31"/>
      <c r="B13" s="79" t="s">
        <v>512</v>
      </c>
      <c r="C13" s="84">
        <f>INDEX(Data!$G$73:$G$100,MATCH($C$5,Data!$B$73:$B$100,0),0)</f>
        <v>2016</v>
      </c>
      <c r="D13" s="18"/>
      <c r="E13" s="18"/>
      <c r="F13" s="78" t="s">
        <v>191</v>
      </c>
    </row>
    <row r="14" spans="1:11">
      <c r="A14" s="31"/>
      <c r="B14" s="81" t="s">
        <v>185</v>
      </c>
      <c r="C14" s="84" t="str">
        <f>INDEX(Data!$H$73:$H$100,MATCH($C$5,Data!$B$73:$B$100,0),0)</f>
        <v>£m 12/13</v>
      </c>
      <c r="D14" s="18"/>
      <c r="E14" s="18"/>
      <c r="F14" s="91">
        <v>0.1</v>
      </c>
      <c r="G14" s="577"/>
    </row>
    <row r="15" spans="1:11">
      <c r="A15" s="31"/>
      <c r="B15" s="18"/>
      <c r="C15" s="18"/>
      <c r="D15" s="18"/>
      <c r="E15" s="18"/>
      <c r="F15" s="18"/>
      <c r="G15" s="577"/>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90" zoomScaleNormal="90" workbookViewId="0">
      <pane ySplit="6" topLeftCell="A7" activePane="bottomLeft" state="frozen"/>
      <selection activeCell="D8" sqref="D8"/>
      <selection pane="bottomLeft" activeCell="A3" sqref="A3"/>
    </sheetView>
  </sheetViews>
  <sheetFormatPr defaultRowHeight="12.75"/>
  <cols>
    <col min="1" max="1" width="8.375" customWidth="1"/>
    <col min="2" max="2" width="79.625" customWidth="1"/>
    <col min="3" max="3" width="14.125" style="144" customWidth="1"/>
    <col min="4" max="11" width="11.125" customWidth="1"/>
    <col min="12" max="12" width="5" customWidth="1"/>
  </cols>
  <sheetData>
    <row r="1" spans="1:12" s="32" customFormat="1" ht="20.25">
      <c r="A1" s="268" t="s">
        <v>100</v>
      </c>
      <c r="B1" s="269"/>
      <c r="C1" s="292"/>
      <c r="D1" s="269"/>
      <c r="E1" s="269"/>
      <c r="F1" s="269"/>
      <c r="G1" s="269"/>
      <c r="H1" s="269"/>
      <c r="I1" s="270"/>
      <c r="J1" s="270"/>
      <c r="K1" s="271"/>
      <c r="L1" s="272"/>
    </row>
    <row r="2" spans="1:12" s="32" customFormat="1" ht="20.25">
      <c r="A2" s="126" t="str">
        <f>'RFPR cover'!C5</f>
        <v>WPD-SWALES</v>
      </c>
      <c r="B2" s="30"/>
      <c r="C2" s="142"/>
      <c r="D2" s="30"/>
      <c r="E2" s="30"/>
      <c r="F2" s="30"/>
      <c r="G2" s="30"/>
      <c r="H2" s="30"/>
      <c r="I2" s="27"/>
      <c r="J2" s="27"/>
      <c r="K2" s="27"/>
      <c r="L2" s="127"/>
    </row>
    <row r="3" spans="1:12" s="38" customFormat="1" ht="23.25">
      <c r="A3" s="293">
        <f>'RFPR cover'!C7</f>
        <v>2019</v>
      </c>
      <c r="B3" s="932" t="str">
        <f>'R1 - RoRE'!B3</f>
        <v/>
      </c>
      <c r="C3" s="295"/>
      <c r="D3" s="294"/>
      <c r="E3" s="294"/>
      <c r="F3" s="294"/>
      <c r="G3" s="294"/>
      <c r="H3" s="294"/>
      <c r="I3" s="267"/>
      <c r="J3" s="267"/>
      <c r="K3" s="267"/>
      <c r="L3" s="275"/>
    </row>
    <row r="4" spans="1:12" s="2" customFormat="1" ht="12.75" customHeight="1">
      <c r="C4" s="144"/>
    </row>
    <row r="5" spans="1:12" s="2" customFormat="1">
      <c r="B5" s="3"/>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row>
    <row r="7" spans="1:12" s="2" customFormat="1">
      <c r="C7" s="144"/>
    </row>
    <row r="8" spans="1:12" s="2" customFormat="1">
      <c r="B8" s="52" t="s">
        <v>134</v>
      </c>
      <c r="C8" s="145"/>
      <c r="D8" s="58"/>
      <c r="E8" s="58"/>
      <c r="F8" s="58"/>
      <c r="G8" s="58"/>
      <c r="H8" s="58"/>
      <c r="I8" s="58"/>
      <c r="J8" s="58"/>
      <c r="K8" s="58"/>
    </row>
    <row r="9" spans="1:12" s="2" customFormat="1">
      <c r="B9" s="235" t="s">
        <v>519</v>
      </c>
      <c r="C9" s="160" t="s">
        <v>128</v>
      </c>
      <c r="D9" s="621">
        <v>0.24104860999999994</v>
      </c>
      <c r="E9" s="622">
        <v>0.84581513000000019</v>
      </c>
      <c r="F9" s="622">
        <v>1.1605999999999999</v>
      </c>
      <c r="G9" s="622">
        <v>0.7145999999999999</v>
      </c>
      <c r="H9" s="622">
        <v>1.0858892899999999</v>
      </c>
      <c r="I9" s="622">
        <v>1.0858892899999999</v>
      </c>
      <c r="J9" s="622">
        <v>0.86871143200000001</v>
      </c>
      <c r="K9" s="622">
        <v>0.6080980024</v>
      </c>
    </row>
    <row r="10" spans="1:12" s="2" customFormat="1">
      <c r="B10" s="235" t="s">
        <v>500</v>
      </c>
      <c r="C10" s="160" t="s">
        <v>128</v>
      </c>
      <c r="D10" s="623">
        <v>0</v>
      </c>
      <c r="E10" s="624">
        <v>0</v>
      </c>
      <c r="F10" s="624">
        <v>0</v>
      </c>
      <c r="G10" s="624">
        <v>0</v>
      </c>
      <c r="H10" s="624">
        <v>0</v>
      </c>
      <c r="I10" s="624">
        <v>0</v>
      </c>
      <c r="J10" s="624">
        <v>0</v>
      </c>
      <c r="K10" s="624">
        <v>0</v>
      </c>
    </row>
    <row r="11" spans="1:12" s="2" customFormat="1">
      <c r="B11" s="235" t="s">
        <v>518</v>
      </c>
      <c r="C11" s="160" t="s">
        <v>128</v>
      </c>
      <c r="D11" s="875">
        <v>2.4104860999999995E-2</v>
      </c>
      <c r="E11" s="876">
        <v>8.4581513000000025E-2</v>
      </c>
      <c r="F11" s="876">
        <v>0.10855999999999999</v>
      </c>
      <c r="G11" s="876">
        <v>7.1459999999999996E-2</v>
      </c>
      <c r="H11" s="876">
        <v>0.108588929</v>
      </c>
      <c r="I11" s="876">
        <v>0.108588929</v>
      </c>
      <c r="J11" s="876">
        <v>8.6871143200000001E-2</v>
      </c>
      <c r="K11" s="876">
        <v>6.0809800240000003E-2</v>
      </c>
    </row>
    <row r="12" spans="1:12" s="12" customFormat="1">
      <c r="B12" s="52" t="s">
        <v>132</v>
      </c>
      <c r="C12" s="160" t="s">
        <v>128</v>
      </c>
      <c r="D12" s="637">
        <f>D9-D10-D11</f>
        <v>0.21694374899999994</v>
      </c>
      <c r="E12" s="638">
        <f t="shared" ref="E12:K12" si="1">E9-E10-E11</f>
        <v>0.76123361700000014</v>
      </c>
      <c r="F12" s="638">
        <f t="shared" si="1"/>
        <v>1.0520399999999999</v>
      </c>
      <c r="G12" s="638">
        <f t="shared" si="1"/>
        <v>0.64313999999999993</v>
      </c>
      <c r="H12" s="638">
        <f t="shared" si="1"/>
        <v>0.97730036099999995</v>
      </c>
      <c r="I12" s="638">
        <f t="shared" si="1"/>
        <v>0.97730036099999995</v>
      </c>
      <c r="J12" s="638">
        <f t="shared" si="1"/>
        <v>0.78184028880000001</v>
      </c>
      <c r="K12" s="638">
        <f t="shared" si="1"/>
        <v>0.54728820215999996</v>
      </c>
      <c r="L12" s="2"/>
    </row>
    <row r="13" spans="1:12" s="12" customFormat="1">
      <c r="B13" s="52"/>
      <c r="C13" s="144"/>
      <c r="D13" s="53"/>
      <c r="E13" s="53"/>
      <c r="F13" s="53"/>
      <c r="G13" s="53"/>
      <c r="H13" s="53"/>
      <c r="I13" s="53"/>
      <c r="J13" s="53"/>
      <c r="K13" s="53"/>
      <c r="L13" s="2"/>
    </row>
    <row r="14" spans="1:12" s="2" customFormat="1">
      <c r="B14" s="52" t="s">
        <v>156</v>
      </c>
      <c r="C14" s="145"/>
      <c r="D14" s="58"/>
      <c r="E14" s="58"/>
      <c r="F14" s="58"/>
      <c r="G14" s="58"/>
      <c r="H14" s="58"/>
      <c r="I14" s="58"/>
      <c r="J14" s="58"/>
      <c r="K14" s="58"/>
    </row>
    <row r="15" spans="1:12" s="2" customFormat="1" ht="12.95" customHeight="1">
      <c r="B15" s="235" t="s">
        <v>521</v>
      </c>
      <c r="C15" s="160" t="s">
        <v>128</v>
      </c>
      <c r="D15" s="621">
        <v>0.77248340000000004</v>
      </c>
      <c r="E15" s="622">
        <v>4.1034769999999998E-2</v>
      </c>
      <c r="F15" s="622">
        <v>0.11890733000000001</v>
      </c>
      <c r="G15" s="622">
        <v>0.32313185999999999</v>
      </c>
      <c r="H15" s="622">
        <v>4.4316729999999999E-2</v>
      </c>
      <c r="I15" s="622">
        <v>4.4316729999999999E-2</v>
      </c>
      <c r="J15" s="622">
        <v>4.4316729999999999E-2</v>
      </c>
      <c r="K15" s="622">
        <v>4.4316729999999999E-2</v>
      </c>
    </row>
    <row r="16" spans="1:12" s="2" customFormat="1">
      <c r="B16" s="235" t="s">
        <v>520</v>
      </c>
      <c r="C16" s="160" t="s">
        <v>128</v>
      </c>
      <c r="D16" s="623">
        <v>0</v>
      </c>
      <c r="E16" s="624">
        <v>0</v>
      </c>
      <c r="F16" s="624">
        <v>0</v>
      </c>
      <c r="G16" s="624">
        <v>0</v>
      </c>
      <c r="H16" s="624">
        <v>0</v>
      </c>
      <c r="I16" s="624">
        <v>0</v>
      </c>
      <c r="J16" s="624">
        <v>0</v>
      </c>
      <c r="K16" s="624">
        <v>0</v>
      </c>
    </row>
    <row r="17" spans="2:12" s="12" customFormat="1">
      <c r="B17" s="52" t="s">
        <v>133</v>
      </c>
      <c r="C17" s="160" t="s">
        <v>128</v>
      </c>
      <c r="D17" s="637">
        <f>D15-D16</f>
        <v>0.77248340000000004</v>
      </c>
      <c r="E17" s="637">
        <f t="shared" ref="E17:K17" si="2">E15-E16</f>
        <v>4.1034769999999998E-2</v>
      </c>
      <c r="F17" s="637">
        <f t="shared" si="2"/>
        <v>0.11890733000000001</v>
      </c>
      <c r="G17" s="637">
        <f t="shared" si="2"/>
        <v>0.32313185999999999</v>
      </c>
      <c r="H17" s="637">
        <f t="shared" si="2"/>
        <v>4.4316729999999999E-2</v>
      </c>
      <c r="I17" s="637">
        <f t="shared" si="2"/>
        <v>4.4316729999999999E-2</v>
      </c>
      <c r="J17" s="637">
        <f t="shared" si="2"/>
        <v>4.4316729999999999E-2</v>
      </c>
      <c r="K17" s="637">
        <f t="shared" si="2"/>
        <v>4.4316729999999999E-2</v>
      </c>
      <c r="L17" s="2"/>
    </row>
    <row r="18" spans="2:12" s="12" customFormat="1">
      <c r="B18" s="52"/>
      <c r="C18" s="144"/>
      <c r="D18" s="53"/>
      <c r="E18" s="53"/>
      <c r="F18" s="53"/>
      <c r="G18" s="53"/>
      <c r="H18" s="53"/>
      <c r="I18" s="53"/>
      <c r="J18" s="53"/>
      <c r="K18" s="53"/>
      <c r="L18" s="2"/>
    </row>
    <row r="19" spans="2:12" s="2" customFormat="1">
      <c r="B19" s="52" t="s">
        <v>157</v>
      </c>
      <c r="C19" s="145"/>
      <c r="D19" s="58"/>
      <c r="E19" s="58"/>
      <c r="F19" s="58"/>
      <c r="G19" s="58"/>
      <c r="H19" s="58"/>
      <c r="I19" s="58"/>
      <c r="J19" s="58"/>
      <c r="K19" s="58"/>
    </row>
    <row r="20" spans="2:12" s="2" customFormat="1">
      <c r="B20" s="235" t="s">
        <v>449</v>
      </c>
      <c r="C20" s="160" t="s">
        <v>128</v>
      </c>
      <c r="D20" s="621">
        <v>0</v>
      </c>
      <c r="E20" s="622">
        <v>0</v>
      </c>
      <c r="F20" s="622">
        <v>0</v>
      </c>
      <c r="G20" s="622">
        <v>0</v>
      </c>
      <c r="H20" s="622">
        <v>1.8394727887197301E-2</v>
      </c>
      <c r="I20" s="622">
        <v>5.6715544758201085E-2</v>
      </c>
      <c r="J20" s="622">
        <v>2.2788164094983299</v>
      </c>
      <c r="K20" s="622">
        <v>3.011397453962056</v>
      </c>
    </row>
    <row r="21" spans="2:12" s="2" customFormat="1">
      <c r="B21" s="235" t="s">
        <v>518</v>
      </c>
      <c r="C21" s="160" t="s">
        <v>128</v>
      </c>
      <c r="D21" s="659">
        <v>0</v>
      </c>
      <c r="E21" s="660">
        <v>0</v>
      </c>
      <c r="F21" s="660">
        <v>0</v>
      </c>
      <c r="G21" s="660">
        <v>0</v>
      </c>
      <c r="H21" s="660">
        <v>2.0438586541330333E-3</v>
      </c>
      <c r="I21" s="660">
        <v>6.3017271953556752E-3</v>
      </c>
      <c r="J21" s="660">
        <v>0.25320182326501006</v>
      </c>
      <c r="K21" s="660">
        <v>0.33459971711986364</v>
      </c>
    </row>
    <row r="22" spans="2:12" s="2" customFormat="1">
      <c r="B22" s="36"/>
      <c r="C22" s="146"/>
      <c r="D22" s="36"/>
      <c r="E22" s="36"/>
      <c r="F22" s="36"/>
      <c r="G22" s="36"/>
      <c r="H22" s="36"/>
      <c r="I22" s="36"/>
      <c r="J22" s="36"/>
      <c r="K22" s="36"/>
    </row>
    <row r="23" spans="2:12" s="2" customFormat="1">
      <c r="B23" s="235" t="s">
        <v>503</v>
      </c>
      <c r="C23" s="160" t="s">
        <v>128</v>
      </c>
      <c r="D23" s="659">
        <v>0.78400000000000003</v>
      </c>
      <c r="E23" s="660">
        <v>0</v>
      </c>
      <c r="F23" s="660">
        <v>0.4375</v>
      </c>
      <c r="G23" s="660">
        <v>0</v>
      </c>
      <c r="H23" s="660">
        <v>0</v>
      </c>
      <c r="I23" s="660">
        <v>0</v>
      </c>
      <c r="J23" s="660">
        <v>0</v>
      </c>
      <c r="K23" s="660">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395</v>
      </c>
      <c r="C27" s="146"/>
      <c r="D27" s="36"/>
      <c r="E27" s="36"/>
      <c r="F27" s="36"/>
      <c r="G27" s="36"/>
      <c r="H27" s="36"/>
      <c r="I27" s="36"/>
      <c r="J27" s="36"/>
      <c r="K27" s="36"/>
    </row>
    <row r="28" spans="2:12" s="2" customFormat="1">
      <c r="B28" s="235" t="s">
        <v>501</v>
      </c>
      <c r="C28" s="163" t="str">
        <f>'RFPR cover'!$C$14</f>
        <v>£m 12/13</v>
      </c>
      <c r="D28" s="707">
        <f>(SUM(D10,D11,D21)-D23)/Data!C34</f>
        <v>-0.71666805354301499</v>
      </c>
      <c r="E28" s="707">
        <f>(SUM(E10,E11,E21)-E23)/Data!D34</f>
        <v>7.8096628174718491E-2</v>
      </c>
      <c r="F28" s="707">
        <f>(SUM(F10,F11,F21)-F23)/Data!E34</f>
        <v>-0.292764832234784</v>
      </c>
      <c r="G28" s="707">
        <f>(SUM(G10,G11,G21)-G23)/Data!F34</f>
        <v>6.1715431615062051E-2</v>
      </c>
      <c r="H28" s="707">
        <f>(SUM(H10,H11,H21)-H23)/Data!G34</f>
        <v>9.310252173275925E-2</v>
      </c>
      <c r="I28" s="707">
        <f>(SUM(I10,I11,I21)-I23)/Data!H34</f>
        <v>9.4075126959629524E-2</v>
      </c>
      <c r="J28" s="707">
        <f>(SUM(J10,J11,J21)-J23)/Data!I34</f>
        <v>0.27028353463470134</v>
      </c>
      <c r="K28" s="707">
        <f>(SUM(K10,K11,K21)-K23)/Data!J34</f>
        <v>0.30488864832558632</v>
      </c>
      <c r="L28" s="36"/>
    </row>
  </sheetData>
  <conditionalFormatting sqref="D6:K6">
    <cfRule type="expression" dxfId="40" priority="24">
      <formula>AND(D$5="Actuals",E$5="Forecast")</formula>
    </cfRule>
  </conditionalFormatting>
  <conditionalFormatting sqref="D5:K5">
    <cfRule type="expression" dxfId="39"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0"/>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2" customFormat="1" ht="20.25">
      <c r="A1" s="268" t="s">
        <v>265</v>
      </c>
      <c r="B1" s="269"/>
      <c r="C1" s="269"/>
      <c r="D1" s="269"/>
      <c r="E1" s="269"/>
      <c r="F1" s="269"/>
      <c r="G1" s="269"/>
      <c r="H1" s="269"/>
      <c r="I1" s="270"/>
      <c r="J1" s="270"/>
      <c r="K1" s="271"/>
      <c r="L1" s="271"/>
      <c r="M1" s="271"/>
      <c r="N1" s="272"/>
    </row>
    <row r="2" spans="1:14" s="32" customFormat="1" ht="20.25">
      <c r="A2" s="126" t="str">
        <f>'RFPR cover'!C5</f>
        <v>WPD-SWALES</v>
      </c>
      <c r="B2" s="30"/>
      <c r="C2" s="30"/>
      <c r="D2" s="30"/>
      <c r="E2" s="30"/>
      <c r="F2" s="30"/>
      <c r="G2" s="30"/>
      <c r="H2" s="30"/>
      <c r="I2" s="27"/>
      <c r="J2" s="27"/>
      <c r="K2" s="27"/>
      <c r="L2" s="27"/>
      <c r="M2" s="27"/>
      <c r="N2" s="127"/>
    </row>
    <row r="3" spans="1:14" s="32" customFormat="1" ht="23.25">
      <c r="A3" s="273">
        <f>'RFPR cover'!C7</f>
        <v>2019</v>
      </c>
      <c r="B3" s="932" t="str">
        <f>'R1 - RoRE'!B3</f>
        <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4" s="2" customFormat="1" ht="25.5">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103" t="str">
        <f>"Cumulative to "&amp;'RFPR cover'!$C$7</f>
        <v>Cumulative to 2019</v>
      </c>
      <c r="M6" s="296" t="s">
        <v>109</v>
      </c>
    </row>
    <row r="7" spans="1:14" s="2" customFormat="1"/>
    <row r="8" spans="1:14">
      <c r="B8" s="505" t="s">
        <v>303</v>
      </c>
      <c r="C8" s="160" t="s">
        <v>128</v>
      </c>
      <c r="D8" s="366">
        <v>40.399945660000029</v>
      </c>
      <c r="E8" s="406">
        <v>37.929775999999997</v>
      </c>
      <c r="F8" s="406">
        <v>38.74622334</v>
      </c>
      <c r="G8" s="406">
        <v>37.508987189999999</v>
      </c>
      <c r="H8" s="406">
        <v>37.385393860116821</v>
      </c>
      <c r="I8" s="406">
        <v>31.094399507105003</v>
      </c>
      <c r="J8" s="406">
        <v>22.462923280695204</v>
      </c>
      <c r="K8" s="407">
        <v>22.19419556356387</v>
      </c>
      <c r="L8" s="36"/>
      <c r="M8" s="36"/>
    </row>
    <row r="9" spans="1:14">
      <c r="B9" s="14"/>
      <c r="C9" s="160"/>
      <c r="D9" s="239"/>
      <c r="E9" s="239"/>
      <c r="F9" s="239"/>
      <c r="G9" s="239"/>
      <c r="H9" s="239"/>
      <c r="I9" s="239"/>
      <c r="J9" s="239"/>
      <c r="K9" s="239"/>
      <c r="L9" s="36"/>
      <c r="M9" s="36"/>
    </row>
    <row r="10" spans="1:14">
      <c r="B10" s="14" t="s">
        <v>479</v>
      </c>
      <c r="C10" s="16"/>
      <c r="D10" s="240"/>
      <c r="E10" s="240"/>
      <c r="F10" s="240"/>
      <c r="G10" s="240"/>
      <c r="H10" s="240"/>
      <c r="I10" s="240"/>
      <c r="J10" s="240"/>
      <c r="K10" s="240"/>
      <c r="L10" s="36"/>
      <c r="M10" s="36"/>
    </row>
    <row r="11" spans="1:14">
      <c r="B11" s="390" t="s">
        <v>12</v>
      </c>
      <c r="C11" s="160" t="s">
        <v>128</v>
      </c>
      <c r="D11" s="398">
        <v>0</v>
      </c>
      <c r="E11" s="399">
        <v>0</v>
      </c>
      <c r="F11" s="399">
        <v>0</v>
      </c>
      <c r="G11" s="399">
        <v>0</v>
      </c>
      <c r="H11" s="399">
        <v>0</v>
      </c>
      <c r="I11" s="399">
        <v>0</v>
      </c>
      <c r="J11" s="399">
        <v>0</v>
      </c>
      <c r="K11" s="403">
        <v>0</v>
      </c>
      <c r="L11" s="36"/>
      <c r="M11" s="36"/>
    </row>
    <row r="12" spans="1:14">
      <c r="B12" s="390" t="s">
        <v>13</v>
      </c>
      <c r="C12" s="160" t="s">
        <v>128</v>
      </c>
      <c r="D12" s="365">
        <v>0.65096399999999999</v>
      </c>
      <c r="E12" s="400">
        <v>0.65096399999999999</v>
      </c>
      <c r="F12" s="400">
        <v>0.65100000000000002</v>
      </c>
      <c r="G12" s="400">
        <v>0.65096399999999999</v>
      </c>
      <c r="H12" s="400">
        <v>0.6509640000000001</v>
      </c>
      <c r="I12" s="400">
        <v>0.6509640000000001</v>
      </c>
      <c r="J12" s="400">
        <v>0.6509640000000001</v>
      </c>
      <c r="K12" s="404">
        <v>0.6509640000000001</v>
      </c>
      <c r="L12" s="36"/>
      <c r="M12" s="36"/>
    </row>
    <row r="13" spans="1:14">
      <c r="B13" s="390" t="s">
        <v>14</v>
      </c>
      <c r="C13" s="160" t="s">
        <v>128</v>
      </c>
      <c r="D13" s="365">
        <v>0</v>
      </c>
      <c r="E13" s="400">
        <v>0</v>
      </c>
      <c r="F13" s="400">
        <v>0</v>
      </c>
      <c r="G13" s="400">
        <v>0</v>
      </c>
      <c r="H13" s="400">
        <v>0</v>
      </c>
      <c r="I13" s="400">
        <v>0</v>
      </c>
      <c r="J13" s="400">
        <v>0</v>
      </c>
      <c r="K13" s="404">
        <v>0</v>
      </c>
      <c r="L13" s="36"/>
      <c r="M13" s="36"/>
    </row>
    <row r="14" spans="1:14">
      <c r="B14" s="390" t="s">
        <v>15</v>
      </c>
      <c r="C14" s="160" t="s">
        <v>128</v>
      </c>
      <c r="D14" s="365">
        <v>0</v>
      </c>
      <c r="E14" s="400">
        <v>0</v>
      </c>
      <c r="F14" s="400">
        <v>0</v>
      </c>
      <c r="G14" s="400">
        <v>0</v>
      </c>
      <c r="H14" s="400">
        <v>0</v>
      </c>
      <c r="I14" s="400">
        <v>0</v>
      </c>
      <c r="J14" s="400">
        <v>0</v>
      </c>
      <c r="K14" s="404">
        <v>0</v>
      </c>
      <c r="L14" s="36"/>
      <c r="M14" s="36"/>
    </row>
    <row r="15" spans="1:14">
      <c r="B15" s="390" t="s">
        <v>16</v>
      </c>
      <c r="C15" s="160" t="s">
        <v>128</v>
      </c>
      <c r="D15" s="365">
        <v>0</v>
      </c>
      <c r="E15" s="400">
        <v>0</v>
      </c>
      <c r="F15" s="400">
        <v>0</v>
      </c>
      <c r="G15" s="400">
        <v>0</v>
      </c>
      <c r="H15" s="400">
        <v>0</v>
      </c>
      <c r="I15" s="400">
        <v>0</v>
      </c>
      <c r="J15" s="400">
        <v>0</v>
      </c>
      <c r="K15" s="404">
        <v>0</v>
      </c>
      <c r="L15" s="36"/>
      <c r="M15" s="36"/>
    </row>
    <row r="16" spans="1:14">
      <c r="B16" s="390" t="s">
        <v>17</v>
      </c>
      <c r="C16" s="160" t="s">
        <v>128</v>
      </c>
      <c r="D16" s="365">
        <v>-4.5399999999999991</v>
      </c>
      <c r="E16" s="400">
        <v>-2.3637000000000015</v>
      </c>
      <c r="F16" s="400">
        <v>-1.1879999999999999</v>
      </c>
      <c r="G16" s="400">
        <v>-1.1460000000000008</v>
      </c>
      <c r="H16" s="400">
        <v>0.63792566496283243</v>
      </c>
      <c r="I16" s="400">
        <v>1.6780275271127572</v>
      </c>
      <c r="J16" s="400">
        <v>2.0578872963726234</v>
      </c>
      <c r="K16" s="404">
        <v>2.4533424207872265</v>
      </c>
      <c r="L16" s="36"/>
    </row>
    <row r="17" spans="2:12">
      <c r="B17" s="390" t="s">
        <v>283</v>
      </c>
      <c r="C17" s="160" t="s">
        <v>128</v>
      </c>
      <c r="D17" s="365">
        <v>-0.44992667999999958</v>
      </c>
      <c r="E17" s="400">
        <v>-0.44992668000000008</v>
      </c>
      <c r="F17" s="400">
        <v>-0.22220000000000001</v>
      </c>
      <c r="G17" s="400">
        <v>-0.16238268000000006</v>
      </c>
      <c r="H17" s="400">
        <v>-0.16021696381736877</v>
      </c>
      <c r="I17" s="400">
        <v>-0.12023114694739184</v>
      </c>
      <c r="J17" s="400">
        <v>-5.8123973500872061E-2</v>
      </c>
      <c r="K17" s="404">
        <v>-5.8123973500872284E-2</v>
      </c>
      <c r="L17" s="36"/>
    </row>
    <row r="18" spans="2:12" ht="12.75" customHeight="1">
      <c r="B18" s="390" t="s">
        <v>18</v>
      </c>
      <c r="C18" s="160" t="s">
        <v>128</v>
      </c>
      <c r="D18" s="365">
        <v>0</v>
      </c>
      <c r="E18" s="400">
        <v>0</v>
      </c>
      <c r="F18" s="400">
        <v>0</v>
      </c>
      <c r="G18" s="400">
        <v>0</v>
      </c>
      <c r="H18" s="400">
        <v>0</v>
      </c>
      <c r="I18" s="400">
        <v>0</v>
      </c>
      <c r="J18" s="400">
        <v>0</v>
      </c>
      <c r="K18" s="404">
        <v>0</v>
      </c>
      <c r="L18" s="36"/>
    </row>
    <row r="19" spans="2:12">
      <c r="B19" s="390" t="s">
        <v>575</v>
      </c>
      <c r="C19" s="160" t="s">
        <v>128</v>
      </c>
      <c r="D19" s="365">
        <v>0.22500000000000001</v>
      </c>
      <c r="E19" s="400">
        <v>0.44400000000000001</v>
      </c>
      <c r="F19" s="400">
        <v>0.51500000000000001</v>
      </c>
      <c r="G19" s="400">
        <v>0.95199999999999996</v>
      </c>
      <c r="H19" s="400">
        <v>2.4000000000000021E-2</v>
      </c>
      <c r="I19" s="400">
        <v>2.4000000000000021E-2</v>
      </c>
      <c r="J19" s="400">
        <v>2.4000000000000021E-2</v>
      </c>
      <c r="K19" s="404">
        <v>2.4000000000000021E-2</v>
      </c>
      <c r="L19" s="36"/>
    </row>
    <row r="20" spans="2:12">
      <c r="B20" s="390" t="s">
        <v>574</v>
      </c>
      <c r="C20" s="160" t="s">
        <v>128</v>
      </c>
      <c r="D20" s="365">
        <v>-0.1663</v>
      </c>
      <c r="E20" s="400">
        <v>-8.6062E-2</v>
      </c>
      <c r="F20" s="400">
        <v>-0.11700000000000001</v>
      </c>
      <c r="G20" s="400">
        <v>-0.17080633000000001</v>
      </c>
      <c r="H20" s="400">
        <v>-0.15268799999999999</v>
      </c>
      <c r="I20" s="400">
        <v>-0.15268799999999999</v>
      </c>
      <c r="J20" s="400">
        <v>-0.15268799999999999</v>
      </c>
      <c r="K20" s="404">
        <v>-0.15268799999999999</v>
      </c>
      <c r="L20" s="36"/>
    </row>
    <row r="21" spans="2:12">
      <c r="B21" s="390" t="s">
        <v>576</v>
      </c>
      <c r="C21" s="160" t="s">
        <v>128</v>
      </c>
      <c r="D21" s="365">
        <v>0</v>
      </c>
      <c r="E21" s="400">
        <v>0</v>
      </c>
      <c r="F21" s="400">
        <v>0</v>
      </c>
      <c r="G21" s="400">
        <v>0.26216957000000002</v>
      </c>
      <c r="H21" s="400">
        <v>0</v>
      </c>
      <c r="I21" s="400">
        <v>0</v>
      </c>
      <c r="J21" s="400">
        <v>0</v>
      </c>
      <c r="K21" s="404">
        <v>0</v>
      </c>
      <c r="L21" s="36"/>
    </row>
    <row r="22" spans="2:12">
      <c r="B22" s="390" t="s">
        <v>352</v>
      </c>
      <c r="C22" s="160" t="s">
        <v>128</v>
      </c>
      <c r="D22" s="365">
        <v>0</v>
      </c>
      <c r="E22" s="400">
        <v>0</v>
      </c>
      <c r="F22" s="400">
        <v>0</v>
      </c>
      <c r="G22" s="400">
        <v>0</v>
      </c>
      <c r="H22" s="400">
        <v>0</v>
      </c>
      <c r="I22" s="400">
        <v>0</v>
      </c>
      <c r="J22" s="400">
        <v>0</v>
      </c>
      <c r="K22" s="404">
        <v>0</v>
      </c>
      <c r="L22" s="36"/>
    </row>
    <row r="23" spans="2:12">
      <c r="B23" s="390" t="s">
        <v>353</v>
      </c>
      <c r="C23" s="160" t="s">
        <v>128</v>
      </c>
      <c r="D23" s="365">
        <v>0</v>
      </c>
      <c r="E23" s="400">
        <v>0</v>
      </c>
      <c r="F23" s="400">
        <v>0</v>
      </c>
      <c r="G23" s="400">
        <v>0</v>
      </c>
      <c r="H23" s="400">
        <v>0</v>
      </c>
      <c r="I23" s="400">
        <v>0</v>
      </c>
      <c r="J23" s="400">
        <v>0</v>
      </c>
      <c r="K23" s="404">
        <v>0</v>
      </c>
      <c r="L23" s="36"/>
    </row>
    <row r="24" spans="2:12">
      <c r="B24" s="390" t="s">
        <v>354</v>
      </c>
      <c r="C24" s="160" t="s">
        <v>128</v>
      </c>
      <c r="D24" s="365">
        <v>0</v>
      </c>
      <c r="E24" s="400">
        <v>0</v>
      </c>
      <c r="F24" s="400">
        <v>0</v>
      </c>
      <c r="G24" s="400">
        <v>0</v>
      </c>
      <c r="H24" s="400">
        <v>0</v>
      </c>
      <c r="I24" s="400">
        <v>0</v>
      </c>
      <c r="J24" s="400">
        <v>0</v>
      </c>
      <c r="K24" s="404">
        <v>0</v>
      </c>
      <c r="L24" s="36"/>
    </row>
    <row r="25" spans="2:12">
      <c r="B25" s="390" t="s">
        <v>355</v>
      </c>
      <c r="C25" s="160" t="s">
        <v>128</v>
      </c>
      <c r="D25" s="365">
        <v>0</v>
      </c>
      <c r="E25" s="400">
        <v>0</v>
      </c>
      <c r="F25" s="400">
        <v>0</v>
      </c>
      <c r="G25" s="400">
        <v>0</v>
      </c>
      <c r="H25" s="400">
        <v>0</v>
      </c>
      <c r="I25" s="400">
        <v>0</v>
      </c>
      <c r="J25" s="400">
        <v>0</v>
      </c>
      <c r="K25" s="404">
        <v>0</v>
      </c>
      <c r="L25" s="36"/>
    </row>
    <row r="26" spans="2:12">
      <c r="B26" s="390" t="s">
        <v>356</v>
      </c>
      <c r="C26" s="160" t="s">
        <v>128</v>
      </c>
      <c r="D26" s="365">
        <v>0</v>
      </c>
      <c r="E26" s="400">
        <v>0</v>
      </c>
      <c r="F26" s="400">
        <v>0</v>
      </c>
      <c r="G26" s="400">
        <v>0</v>
      </c>
      <c r="H26" s="400">
        <v>0</v>
      </c>
      <c r="I26" s="400">
        <v>0</v>
      </c>
      <c r="J26" s="400">
        <v>0</v>
      </c>
      <c r="K26" s="404">
        <v>0</v>
      </c>
      <c r="L26" s="36"/>
    </row>
    <row r="27" spans="2:12">
      <c r="B27" s="390" t="s">
        <v>357</v>
      </c>
      <c r="C27" s="160" t="s">
        <v>128</v>
      </c>
      <c r="D27" s="401">
        <v>0</v>
      </c>
      <c r="E27" s="402">
        <v>0</v>
      </c>
      <c r="F27" s="402">
        <v>0</v>
      </c>
      <c r="G27" s="402">
        <v>0</v>
      </c>
      <c r="H27" s="402">
        <v>0</v>
      </c>
      <c r="I27" s="402">
        <v>0</v>
      </c>
      <c r="J27" s="402">
        <v>0</v>
      </c>
      <c r="K27" s="405">
        <v>0</v>
      </c>
      <c r="L27" s="36"/>
    </row>
    <row r="28" spans="2:12">
      <c r="B28" s="13" t="s">
        <v>19</v>
      </c>
      <c r="C28" s="160" t="s">
        <v>128</v>
      </c>
      <c r="D28" s="150">
        <f t="shared" ref="D28:K28" si="1">SUM(D8,D11:D27)</f>
        <v>36.119682980000036</v>
      </c>
      <c r="E28" s="151">
        <f t="shared" si="1"/>
        <v>36.125051320000004</v>
      </c>
      <c r="F28" s="151">
        <f t="shared" si="1"/>
        <v>38.385023340000004</v>
      </c>
      <c r="G28" s="151">
        <f t="shared" si="1"/>
        <v>37.894931749999998</v>
      </c>
      <c r="H28" s="151">
        <f t="shared" si="1"/>
        <v>38.385378561262293</v>
      </c>
      <c r="I28" s="151">
        <f t="shared" si="1"/>
        <v>33.174471887270371</v>
      </c>
      <c r="J28" s="151">
        <f t="shared" si="1"/>
        <v>24.984962603566952</v>
      </c>
      <c r="K28" s="152">
        <f t="shared" si="1"/>
        <v>25.111690010850221</v>
      </c>
      <c r="L28" s="36"/>
    </row>
    <row r="29" spans="2:12">
      <c r="B29" s="391" t="s">
        <v>305</v>
      </c>
      <c r="C29" s="160" t="s">
        <v>128</v>
      </c>
      <c r="D29" s="408"/>
      <c r="E29" s="409"/>
      <c r="F29" s="409"/>
      <c r="G29" s="708"/>
      <c r="H29" s="708">
        <v>2.9746500000000005</v>
      </c>
      <c r="I29" s="708">
        <v>5.9984988095238112</v>
      </c>
      <c r="J29" s="708">
        <v>9.0605196428571411</v>
      </c>
      <c r="K29" s="709">
        <v>9.7173961904761921</v>
      </c>
      <c r="L29" s="36"/>
    </row>
    <row r="30" spans="2:12">
      <c r="B30" s="364" t="s">
        <v>304</v>
      </c>
      <c r="C30" s="160" t="s">
        <v>128</v>
      </c>
      <c r="D30" s="150">
        <f>SUM(D28:D29)</f>
        <v>36.119682980000036</v>
      </c>
      <c r="E30" s="151">
        <f t="shared" ref="E30:K30" si="2">SUM(E28:E29)</f>
        <v>36.125051320000004</v>
      </c>
      <c r="F30" s="151">
        <f t="shared" si="2"/>
        <v>38.385023340000004</v>
      </c>
      <c r="G30" s="151">
        <f t="shared" si="2"/>
        <v>37.894931749999998</v>
      </c>
      <c r="H30" s="151">
        <f t="shared" si="2"/>
        <v>41.360028561262297</v>
      </c>
      <c r="I30" s="151">
        <f t="shared" si="2"/>
        <v>39.172970696794181</v>
      </c>
      <c r="J30" s="151">
        <f t="shared" si="2"/>
        <v>34.045482246424093</v>
      </c>
      <c r="K30" s="152">
        <f t="shared" si="2"/>
        <v>34.829086201326412</v>
      </c>
    </row>
    <row r="31" spans="2:12">
      <c r="B31" s="223" t="s">
        <v>21</v>
      </c>
      <c r="C31" s="160" t="s">
        <v>128</v>
      </c>
      <c r="D31" s="613">
        <v>35.989462640000035</v>
      </c>
      <c r="E31" s="614">
        <v>36.022937700000007</v>
      </c>
      <c r="F31" s="614">
        <v>38.432645340000001</v>
      </c>
      <c r="G31" s="614">
        <v>38.165904509999997</v>
      </c>
      <c r="H31" s="614">
        <v>41.368831751262299</v>
      </c>
      <c r="I31" s="614">
        <v>39.181773886794183</v>
      </c>
      <c r="J31" s="614">
        <v>34.054285436424095</v>
      </c>
      <c r="K31" s="710">
        <v>34.837889391326414</v>
      </c>
    </row>
    <row r="32" spans="2:12">
      <c r="B32" s="223" t="s">
        <v>473</v>
      </c>
      <c r="C32" s="160" t="s">
        <v>128</v>
      </c>
      <c r="D32" s="617">
        <v>0.13022034000000005</v>
      </c>
      <c r="E32" s="618">
        <v>0.10211361999999999</v>
      </c>
      <c r="F32" s="618">
        <v>-4.7622000000000005E-2</v>
      </c>
      <c r="G32" s="618">
        <v>-0.27097276000000003</v>
      </c>
      <c r="H32" s="618">
        <v>-8.8031899999999955E-3</v>
      </c>
      <c r="I32" s="618">
        <v>-8.8031899999999955E-3</v>
      </c>
      <c r="J32" s="618">
        <v>-8.8031899999999955E-3</v>
      </c>
      <c r="K32" s="711">
        <v>-8.8031899999999955E-3</v>
      </c>
    </row>
    <row r="33" spans="2:14">
      <c r="B33" s="223"/>
      <c r="D33" s="236" t="str">
        <f>IF(ABS(D30-SUM(D31:D32))&lt;'RFPR cover'!$F$14,"OK","ERROR")</f>
        <v>OK</v>
      </c>
      <c r="E33" s="237" t="str">
        <f>IF(ABS(E30-SUM(E31:E32))&lt;'RFPR cover'!$F$14,"OK","ERROR")</f>
        <v>OK</v>
      </c>
      <c r="F33" s="237" t="str">
        <f>IF(ABS(F30-SUM(F31:F32))&lt;'RFPR cover'!$F$14,"OK","ERROR")</f>
        <v>OK</v>
      </c>
      <c r="G33" s="237" t="str">
        <f>IF(ABS(G30-SUM(G31:G32))&lt;'RFPR cover'!$F$14,"OK","ERROR")</f>
        <v>OK</v>
      </c>
      <c r="H33" s="237" t="str">
        <f>IF(ABS(H30-SUM(H31:H32))&lt;'RFPR cover'!$F$14,"OK","ERROR")</f>
        <v>OK</v>
      </c>
      <c r="I33" s="237" t="str">
        <f>IF(ABS(I30-SUM(I31:I32))&lt;'RFPR cover'!$F$14,"OK","ERROR")</f>
        <v>OK</v>
      </c>
      <c r="J33" s="237" t="str">
        <f>IF(ABS(J30-SUM(J31:J32))&lt;'RFPR cover'!$F$14,"OK","ERROR")</f>
        <v>OK</v>
      </c>
      <c r="K33" s="238" t="str">
        <f>IF(ABS(K30-SUM(K31:K32))&lt;'RFPR cover'!$F$14,"OK","ERROR")</f>
        <v>OK</v>
      </c>
    </row>
    <row r="34" spans="2:14">
      <c r="D34" s="23"/>
      <c r="E34" s="23"/>
      <c r="F34" s="23"/>
      <c r="G34" s="23"/>
      <c r="H34" s="23"/>
      <c r="I34" s="23"/>
      <c r="J34" s="23"/>
      <c r="K34" s="23"/>
    </row>
    <row r="35" spans="2:14">
      <c r="B35" s="223" t="s">
        <v>536</v>
      </c>
      <c r="C35" s="160" t="s">
        <v>128</v>
      </c>
      <c r="D35" s="613">
        <v>0</v>
      </c>
      <c r="E35" s="614">
        <v>-0.17449999999999999</v>
      </c>
      <c r="F35" s="614">
        <v>2.1995</v>
      </c>
      <c r="G35" s="614">
        <v>1.800465</v>
      </c>
      <c r="H35" s="614">
        <v>2.20041845625</v>
      </c>
      <c r="I35" s="614">
        <v>2.3872182659109376</v>
      </c>
      <c r="J35" s="614">
        <v>2.6744963270953681</v>
      </c>
      <c r="K35" s="710">
        <v>2.8009436400146308</v>
      </c>
    </row>
    <row r="36" spans="2:14">
      <c r="D36" s="23"/>
      <c r="E36" s="23"/>
      <c r="F36" s="23"/>
      <c r="G36" s="23"/>
      <c r="H36" s="23"/>
      <c r="I36" s="23"/>
      <c r="J36" s="23"/>
      <c r="K36" s="23"/>
    </row>
    <row r="37" spans="2:14">
      <c r="B37" s="223" t="s">
        <v>82</v>
      </c>
      <c r="C37" s="160" t="s">
        <v>128</v>
      </c>
      <c r="D37" s="909">
        <f>('R8 - Net Debt'!D54-AVERAGE('R8 - Net Debt'!D8,'R8 - Net Debt'!D10))*(Data!C36-1)</f>
        <v>6.5063876827374933</v>
      </c>
      <c r="E37" s="909">
        <f>('R8 - Net Debt'!E54-AVERAGE('R8 - Net Debt'!E8,'R8 - Net Debt'!E10))*(Data!D36-1)</f>
        <v>13.470689027439542</v>
      </c>
      <c r="F37" s="909">
        <f>('R8 - Net Debt'!F54-AVERAGE('R8 - Net Debt'!F8,'R8 - Net Debt'!F10))*(Data!E36-1)</f>
        <v>23.983423229136559</v>
      </c>
      <c r="G37" s="909">
        <f>('R8 - Net Debt'!G54-AVERAGE('R8 - Net Debt'!G8,'R8 - Net Debt'!G10))*(Data!F36-1)</f>
        <v>20.115239259919562</v>
      </c>
      <c r="H37" s="909">
        <f>('R8 - Net Debt'!H54-AVERAGE('R8 - Net Debt'!H8,'R8 - Net Debt'!H10))*(Data!G36-1)</f>
        <v>18.645760854607108</v>
      </c>
      <c r="I37" s="909">
        <f>('R8 - Net Debt'!I54-AVERAGE('R8 - Net Debt'!I8,'R8 - Net Debt'!I10))*(Data!H36-1)</f>
        <v>21.845340919072903</v>
      </c>
      <c r="J37" s="909">
        <f>('R8 - Net Debt'!J54-AVERAGE('R8 - Net Debt'!J8,'R8 - Net Debt'!J10))*(Data!I36-1)</f>
        <v>24.646198083740273</v>
      </c>
      <c r="K37" s="909">
        <f>('R8 - Net Debt'!K54-AVERAGE('R8 - Net Debt'!K8,'R8 - Net Debt'!K10))*(Data!J36-1)</f>
        <v>25.752758148172404</v>
      </c>
      <c r="N37" s="341"/>
    </row>
    <row r="38" spans="2:14" s="32" customFormat="1">
      <c r="B38" s="222"/>
      <c r="C38" s="848"/>
      <c r="D38" s="850"/>
      <c r="E38" s="850"/>
      <c r="F38" s="850"/>
      <c r="G38" s="850"/>
      <c r="H38" s="850"/>
      <c r="I38" s="850"/>
      <c r="J38" s="850"/>
      <c r="K38" s="850"/>
      <c r="L38"/>
      <c r="M38"/>
      <c r="N38" s="849"/>
    </row>
    <row r="39" spans="2:14">
      <c r="B39" s="223" t="s">
        <v>487</v>
      </c>
      <c r="C39" s="160" t="s">
        <v>128</v>
      </c>
      <c r="D39" s="104">
        <f t="shared" ref="D39:K39" si="3">D30-D37</f>
        <v>29.613295297262543</v>
      </c>
      <c r="E39" s="104">
        <f t="shared" si="3"/>
        <v>22.654362292560464</v>
      </c>
      <c r="F39" s="104">
        <f t="shared" si="3"/>
        <v>14.401600110863445</v>
      </c>
      <c r="G39" s="104">
        <f t="shared" si="3"/>
        <v>17.779692490080436</v>
      </c>
      <c r="H39" s="104">
        <f t="shared" si="3"/>
        <v>22.714267706655189</v>
      </c>
      <c r="I39" s="104">
        <f t="shared" si="3"/>
        <v>17.327629777721278</v>
      </c>
      <c r="J39" s="104">
        <f t="shared" si="3"/>
        <v>9.3992841626838199</v>
      </c>
      <c r="K39" s="104">
        <f t="shared" si="3"/>
        <v>9.0763280531540076</v>
      </c>
    </row>
    <row r="40" spans="2:14">
      <c r="B40" s="223"/>
      <c r="C40" s="160"/>
      <c r="D40" s="160"/>
      <c r="E40" s="160"/>
      <c r="F40" s="160"/>
      <c r="G40" s="160"/>
      <c r="H40" s="160"/>
      <c r="I40" s="160"/>
      <c r="J40" s="160"/>
      <c r="K40" s="160"/>
      <c r="L40" s="160"/>
      <c r="N40" s="341"/>
    </row>
    <row r="41" spans="2:14">
      <c r="B41" s="878" t="s">
        <v>377</v>
      </c>
      <c r="C41" s="160" t="s">
        <v>127</v>
      </c>
      <c r="D41" s="531">
        <f>Data!C34</f>
        <v>1.0603167467048125</v>
      </c>
      <c r="E41" s="531">
        <f>Data!D34</f>
        <v>1.0830366813119445</v>
      </c>
      <c r="F41" s="531">
        <f>Data!E34</f>
        <v>1.1235639113109226</v>
      </c>
      <c r="G41" s="531">
        <f>Data!F34</f>
        <v>1.1578951670583426</v>
      </c>
      <c r="H41" s="531">
        <f>Data!G34</f>
        <v>1.1882899151936241</v>
      </c>
      <c r="I41" s="531">
        <f>Data!H34</f>
        <v>1.2212649603402472</v>
      </c>
      <c r="J41" s="531">
        <f>Data!I34</f>
        <v>1.2582082253905398</v>
      </c>
      <c r="K41" s="531">
        <f>Data!J34</f>
        <v>1.296898128321299</v>
      </c>
      <c r="L41" s="160"/>
      <c r="N41" s="341"/>
    </row>
    <row r="42" spans="2:14">
      <c r="L42" s="163"/>
      <c r="M42" s="163"/>
      <c r="N42" s="163"/>
    </row>
    <row r="43" spans="2:14">
      <c r="B43" s="859" t="s">
        <v>433</v>
      </c>
      <c r="C43" s="164" t="str">
        <f>'RFPR cover'!$C$14</f>
        <v>£m 12/13</v>
      </c>
      <c r="D43" s="153">
        <f t="shared" ref="D43:K43" si="4">D39/D41</f>
        <v>27.928725439160448</v>
      </c>
      <c r="E43" s="154">
        <f t="shared" si="4"/>
        <v>20.917446918896538</v>
      </c>
      <c r="F43" s="154">
        <f t="shared" si="4"/>
        <v>12.817784521096199</v>
      </c>
      <c r="G43" s="154">
        <f t="shared" si="4"/>
        <v>15.35518326348155</v>
      </c>
      <c r="H43" s="154">
        <f t="shared" si="4"/>
        <v>19.115089185078244</v>
      </c>
      <c r="I43" s="154">
        <f t="shared" si="4"/>
        <v>14.188264087175448</v>
      </c>
      <c r="J43" s="154">
        <f t="shared" si="4"/>
        <v>7.4703725289717786</v>
      </c>
      <c r="K43" s="155">
        <f t="shared" si="4"/>
        <v>6.9984895921643275</v>
      </c>
      <c r="L43" s="716">
        <f>SUM(D43:INDEX(D43:K43,0,MATCH('RFPR cover'!$C$7,$D$6:$K$6,0)))</f>
        <v>77.01914014263474</v>
      </c>
      <c r="M43" s="717">
        <f>SUM(D43:K43)</f>
        <v>124.79135553602455</v>
      </c>
    </row>
    <row r="44" spans="2:14">
      <c r="B44" s="223"/>
      <c r="C44" s="67"/>
      <c r="D44" s="831"/>
      <c r="E44" s="831"/>
      <c r="F44" s="831"/>
      <c r="G44" s="831"/>
      <c r="H44" s="831"/>
      <c r="I44" s="831"/>
      <c r="J44" s="831"/>
      <c r="K44" s="831"/>
      <c r="L44" s="854"/>
      <c r="M44" s="854"/>
    </row>
    <row r="45" spans="2:14">
      <c r="B45" s="859" t="s">
        <v>524</v>
      </c>
      <c r="C45" s="160"/>
      <c r="D45" s="831"/>
      <c r="E45" s="831"/>
      <c r="F45" s="831"/>
      <c r="G45" s="831"/>
      <c r="H45" s="831"/>
      <c r="I45" s="831"/>
      <c r="J45" s="831"/>
      <c r="K45" s="831"/>
      <c r="L45" s="854"/>
      <c r="M45" s="854"/>
    </row>
    <row r="46" spans="2:14">
      <c r="B46" s="390" t="s">
        <v>508</v>
      </c>
      <c r="C46" s="160" t="s">
        <v>128</v>
      </c>
      <c r="D46" s="906">
        <v>0.44992667999999958</v>
      </c>
      <c r="E46" s="906">
        <v>0.44992668000000008</v>
      </c>
      <c r="F46" s="906">
        <v>0.22220000000000001</v>
      </c>
      <c r="G46" s="906">
        <v>0.16238268000000006</v>
      </c>
      <c r="H46" s="906">
        <v>0.16021696381736877</v>
      </c>
      <c r="I46" s="906">
        <v>0.12023114694739184</v>
      </c>
      <c r="J46" s="906">
        <v>5.8123973500872061E-2</v>
      </c>
      <c r="K46" s="906">
        <v>5.8123973500872284E-2</v>
      </c>
      <c r="L46" s="907">
        <v>1.2844360399999997</v>
      </c>
      <c r="M46" s="908">
        <v>1.6811320977665045</v>
      </c>
    </row>
    <row r="47" spans="2:14">
      <c r="B47" s="390" t="s">
        <v>527</v>
      </c>
      <c r="C47" s="160" t="s">
        <v>128</v>
      </c>
      <c r="D47" s="906">
        <v>0</v>
      </c>
      <c r="E47" s="906">
        <v>0</v>
      </c>
      <c r="F47" s="906">
        <v>0</v>
      </c>
      <c r="G47" s="906">
        <v>0</v>
      </c>
      <c r="H47" s="906">
        <v>0</v>
      </c>
      <c r="I47" s="906">
        <v>0</v>
      </c>
      <c r="J47" s="906">
        <v>0</v>
      </c>
      <c r="K47" s="906">
        <v>0</v>
      </c>
      <c r="L47" s="907">
        <v>0</v>
      </c>
      <c r="M47" s="908">
        <v>0</v>
      </c>
    </row>
    <row r="48" spans="2:14">
      <c r="B48" s="390" t="s">
        <v>528</v>
      </c>
      <c r="C48" s="160" t="s">
        <v>128</v>
      </c>
      <c r="D48" s="906">
        <v>0</v>
      </c>
      <c r="E48" s="906">
        <v>0</v>
      </c>
      <c r="F48" s="906">
        <v>0</v>
      </c>
      <c r="G48" s="906">
        <v>0</v>
      </c>
      <c r="H48" s="906">
        <v>0</v>
      </c>
      <c r="I48" s="906">
        <v>0</v>
      </c>
      <c r="J48" s="906">
        <v>0</v>
      </c>
      <c r="K48" s="906">
        <v>0</v>
      </c>
      <c r="L48" s="907">
        <v>0</v>
      </c>
      <c r="M48" s="908">
        <v>0</v>
      </c>
    </row>
    <row r="49" spans="1:14">
      <c r="B49" s="390" t="s">
        <v>509</v>
      </c>
      <c r="C49" s="160" t="s">
        <v>128</v>
      </c>
      <c r="D49" s="906">
        <v>0</v>
      </c>
      <c r="E49" s="906">
        <v>0</v>
      </c>
      <c r="F49" s="906">
        <v>0</v>
      </c>
      <c r="G49" s="906">
        <v>0</v>
      </c>
      <c r="H49" s="906">
        <v>0</v>
      </c>
      <c r="I49" s="906">
        <v>0</v>
      </c>
      <c r="J49" s="906">
        <v>0</v>
      </c>
      <c r="K49" s="906">
        <v>0</v>
      </c>
      <c r="L49" s="907">
        <v>0</v>
      </c>
      <c r="M49" s="908">
        <v>0</v>
      </c>
    </row>
    <row r="50" spans="1:14">
      <c r="B50" s="390" t="s">
        <v>509</v>
      </c>
      <c r="C50" s="160" t="s">
        <v>128</v>
      </c>
      <c r="D50" s="906">
        <v>0</v>
      </c>
      <c r="E50" s="906">
        <v>0</v>
      </c>
      <c r="F50" s="906">
        <v>0</v>
      </c>
      <c r="G50" s="906">
        <v>0</v>
      </c>
      <c r="H50" s="906">
        <v>0</v>
      </c>
      <c r="I50" s="906">
        <v>0</v>
      </c>
      <c r="J50" s="906">
        <v>0</v>
      </c>
      <c r="K50" s="906">
        <v>0</v>
      </c>
      <c r="L50" s="907">
        <v>0</v>
      </c>
      <c r="M50" s="908">
        <v>0</v>
      </c>
    </row>
    <row r="51" spans="1:14">
      <c r="B51" s="390" t="s">
        <v>509</v>
      </c>
      <c r="C51" s="160" t="s">
        <v>128</v>
      </c>
      <c r="D51" s="906">
        <v>0</v>
      </c>
      <c r="E51" s="906">
        <v>0</v>
      </c>
      <c r="F51" s="906">
        <v>0</v>
      </c>
      <c r="G51" s="906">
        <v>0</v>
      </c>
      <c r="H51" s="906">
        <v>0</v>
      </c>
      <c r="I51" s="906">
        <v>0</v>
      </c>
      <c r="J51" s="906">
        <v>0</v>
      </c>
      <c r="K51" s="906">
        <v>0</v>
      </c>
      <c r="L51" s="907">
        <v>0</v>
      </c>
      <c r="M51" s="908">
        <v>0</v>
      </c>
    </row>
    <row r="52" spans="1:14">
      <c r="B52" s="390" t="s">
        <v>509</v>
      </c>
      <c r="C52" s="160" t="s">
        <v>128</v>
      </c>
      <c r="D52" s="906">
        <v>0</v>
      </c>
      <c r="E52" s="906">
        <v>0</v>
      </c>
      <c r="F52" s="906">
        <v>0</v>
      </c>
      <c r="G52" s="906">
        <v>0</v>
      </c>
      <c r="H52" s="906">
        <v>0</v>
      </c>
      <c r="I52" s="906">
        <v>0</v>
      </c>
      <c r="J52" s="906">
        <v>0</v>
      </c>
      <c r="K52" s="906">
        <v>0</v>
      </c>
      <c r="L52" s="907">
        <v>0</v>
      </c>
      <c r="M52" s="908">
        <v>0</v>
      </c>
    </row>
    <row r="53" spans="1:14" s="890" customFormat="1">
      <c r="B53" s="889"/>
      <c r="C53" s="891"/>
      <c r="D53" s="892"/>
      <c r="E53" s="892"/>
      <c r="F53" s="892"/>
      <c r="G53" s="892"/>
      <c r="H53" s="892"/>
      <c r="I53" s="892"/>
      <c r="J53" s="892"/>
      <c r="K53" s="892"/>
      <c r="L53" s="893"/>
      <c r="M53" s="893"/>
    </row>
    <row r="54" spans="1:14">
      <c r="B54" s="884" t="s">
        <v>525</v>
      </c>
      <c r="C54" s="245" t="s">
        <v>128</v>
      </c>
      <c r="D54" s="153">
        <f>SUM(D46:D52)</f>
        <v>0.44992667999999958</v>
      </c>
      <c r="E54" s="153">
        <f t="shared" ref="E54:K54" si="5">SUM(E46:E52)</f>
        <v>0.44992668000000008</v>
      </c>
      <c r="F54" s="153">
        <f t="shared" si="5"/>
        <v>0.22220000000000001</v>
      </c>
      <c r="G54" s="153">
        <f t="shared" si="5"/>
        <v>0.16238268000000006</v>
      </c>
      <c r="H54" s="153">
        <f t="shared" si="5"/>
        <v>0.16021696381736877</v>
      </c>
      <c r="I54" s="153">
        <f t="shared" si="5"/>
        <v>0.12023114694739184</v>
      </c>
      <c r="J54" s="153">
        <f t="shared" si="5"/>
        <v>5.8123973500872061E-2</v>
      </c>
      <c r="K54" s="153">
        <f t="shared" si="5"/>
        <v>5.8123973500872284E-2</v>
      </c>
      <c r="L54" s="716">
        <f>SUM(D54:INDEX(D54:K54,0,MATCH('RFPR cover'!$C$7,$D$6:$K$6,0)))</f>
        <v>1.2844360399999997</v>
      </c>
      <c r="M54" s="717">
        <f t="shared" ref="M54" si="6">SUM(D54:K54)</f>
        <v>1.6811320977665045</v>
      </c>
    </row>
    <row r="55" spans="1:14">
      <c r="B55" s="884" t="s">
        <v>525</v>
      </c>
      <c r="C55" s="164" t="str">
        <f>'RFPR cover'!$C$14</f>
        <v>£m 12/13</v>
      </c>
      <c r="D55" s="153">
        <f>D54/D41</f>
        <v>0.42433233408625698</v>
      </c>
      <c r="E55" s="153">
        <f t="shared" ref="E55:K55" si="7">E54/E41</f>
        <v>0.41543069386622994</v>
      </c>
      <c r="F55" s="153">
        <f t="shared" si="7"/>
        <v>0.19776356090037397</v>
      </c>
      <c r="G55" s="153">
        <f t="shared" si="7"/>
        <v>0.14023953516667378</v>
      </c>
      <c r="H55" s="153">
        <f t="shared" si="7"/>
        <v>0.13482986076782655</v>
      </c>
      <c r="I55" s="153">
        <f t="shared" si="7"/>
        <v>9.8448044324382464E-2</v>
      </c>
      <c r="J55" s="153">
        <f t="shared" si="7"/>
        <v>4.6195830171775226E-2</v>
      </c>
      <c r="K55" s="153">
        <f t="shared" si="7"/>
        <v>4.4817686317511908E-2</v>
      </c>
      <c r="L55" s="716">
        <f>SUM(D55:INDEX(D55:K55,0,MATCH('RFPR cover'!$C$7,$D$6:$K$6,0)))</f>
        <v>1.1777661240195347</v>
      </c>
      <c r="M55" s="717">
        <f>SUM(D55:K55)</f>
        <v>1.502057545601031</v>
      </c>
    </row>
    <row r="56" spans="1:14">
      <c r="B56" s="223"/>
      <c r="C56" s="67"/>
      <c r="D56" s="831"/>
      <c r="E56" s="831"/>
      <c r="F56" s="831"/>
      <c r="G56" s="831"/>
      <c r="H56" s="831"/>
      <c r="I56" s="831"/>
      <c r="J56" s="831"/>
      <c r="K56" s="831"/>
      <c r="L56" s="854"/>
      <c r="M56" s="854"/>
    </row>
    <row r="57" spans="1:14" s="2" customFormat="1">
      <c r="A57" s="1"/>
    </row>
    <row r="58" spans="1:14" s="2" customFormat="1">
      <c r="A58" s="1"/>
      <c r="B58" s="855" t="s">
        <v>443</v>
      </c>
      <c r="C58" s="82"/>
      <c r="D58" s="82"/>
      <c r="E58" s="82"/>
      <c r="F58" s="82"/>
      <c r="G58" s="82"/>
      <c r="H58" s="82"/>
      <c r="I58" s="82"/>
      <c r="J58" s="82"/>
      <c r="K58" s="82"/>
      <c r="L58" s="82"/>
      <c r="M58" s="82"/>
      <c r="N58" s="82"/>
    </row>
    <row r="59" spans="1:14" s="2" customFormat="1">
      <c r="A59" s="1"/>
      <c r="B59" s="389" t="s">
        <v>444</v>
      </c>
    </row>
    <row r="60" spans="1:14" s="2" customFormat="1">
      <c r="A60" s="1"/>
    </row>
    <row r="61" spans="1:14" s="32" customFormat="1">
      <c r="B61" s="223" t="s">
        <v>115</v>
      </c>
      <c r="C61" s="163" t="s">
        <v>7</v>
      </c>
      <c r="D61" s="917">
        <f>'RFPR cover'!$C$12</f>
        <v>0.65</v>
      </c>
      <c r="E61" s="918">
        <f>'RFPR cover'!$C$12</f>
        <v>0.65</v>
      </c>
      <c r="F61" s="918">
        <f>'RFPR cover'!$C$12</f>
        <v>0.65</v>
      </c>
      <c r="G61" s="918">
        <f>'RFPR cover'!$C$12</f>
        <v>0.65</v>
      </c>
      <c r="H61" s="918">
        <f>'RFPR cover'!$C$12</f>
        <v>0.65</v>
      </c>
      <c r="I61" s="918">
        <f>'RFPR cover'!$C$12</f>
        <v>0.65</v>
      </c>
      <c r="J61" s="918">
        <f>'RFPR cover'!$C$12</f>
        <v>0.65</v>
      </c>
      <c r="K61" s="919">
        <f>'RFPR cover'!$C$12</f>
        <v>0.65</v>
      </c>
      <c r="N61" s="849"/>
    </row>
    <row r="62" spans="1:14" s="32" customFormat="1">
      <c r="B62" s="223" t="s">
        <v>406</v>
      </c>
      <c r="C62" s="163" t="s">
        <v>7</v>
      </c>
      <c r="D62" s="918">
        <f>'R8 - Net Debt'!D64</f>
        <v>0.63331877743142639</v>
      </c>
      <c r="E62" s="918">
        <f>'R8 - Net Debt'!E64</f>
        <v>0.62706793462828592</v>
      </c>
      <c r="F62" s="918">
        <f>'R8 - Net Debt'!F64</f>
        <v>0.60498427164951341</v>
      </c>
      <c r="G62" s="918">
        <f>'R8 - Net Debt'!G64</f>
        <v>0.5965762355217461</v>
      </c>
      <c r="H62" s="918">
        <f>'R8 - Net Debt'!H64</f>
        <v>0.62146568761570409</v>
      </c>
      <c r="I62" s="918">
        <f>'R8 - Net Debt'!I64</f>
        <v>0.65039062346292531</v>
      </c>
      <c r="J62" s="918">
        <f>'R8 - Net Debt'!J64</f>
        <v>0.63360270743121305</v>
      </c>
      <c r="K62" s="919">
        <f>'R8 - Net Debt'!K64</f>
        <v>0.61313644665606037</v>
      </c>
      <c r="N62" s="849"/>
    </row>
    <row r="63" spans="1:14" s="32" customFormat="1">
      <c r="B63" s="223"/>
      <c r="C63" s="163"/>
      <c r="D63" s="163"/>
      <c r="E63" s="163"/>
      <c r="F63" s="163"/>
      <c r="G63" s="163"/>
      <c r="H63" s="163"/>
      <c r="I63" s="163"/>
      <c r="J63" s="163"/>
      <c r="K63" s="163"/>
      <c r="N63" s="849"/>
    </row>
    <row r="64" spans="1:14">
      <c r="B64" s="223" t="s">
        <v>433</v>
      </c>
      <c r="C64" s="160" t="s">
        <v>128</v>
      </c>
      <c r="D64" s="97">
        <f t="shared" ref="D64:K64" si="8">D39</f>
        <v>29.613295297262543</v>
      </c>
      <c r="E64" s="98">
        <f t="shared" si="8"/>
        <v>22.654362292560464</v>
      </c>
      <c r="F64" s="98">
        <f t="shared" si="8"/>
        <v>14.401600110863445</v>
      </c>
      <c r="G64" s="98">
        <f t="shared" si="8"/>
        <v>17.779692490080436</v>
      </c>
      <c r="H64" s="98">
        <f t="shared" si="8"/>
        <v>22.714267706655189</v>
      </c>
      <c r="I64" s="98">
        <f t="shared" si="8"/>
        <v>17.327629777721278</v>
      </c>
      <c r="J64" s="98">
        <f t="shared" si="8"/>
        <v>9.3992841626838199</v>
      </c>
      <c r="K64" s="99">
        <f t="shared" si="8"/>
        <v>9.0763280531540076</v>
      </c>
      <c r="L64" s="32"/>
      <c r="M64" s="32"/>
    </row>
    <row r="65" spans="2:15" s="32" customFormat="1">
      <c r="B65" s="223" t="s">
        <v>451</v>
      </c>
      <c r="C65" s="160" t="s">
        <v>128</v>
      </c>
      <c r="D65" s="97">
        <f>((D61-D62)/D62)*D64</f>
        <v>0.77999577376500306</v>
      </c>
      <c r="E65" s="97">
        <f t="shared" ref="E65:K65" si="9">((E61-E62)/E62)*E64</f>
        <v>0.82847692946610019</v>
      </c>
      <c r="F65" s="97">
        <f t="shared" si="9"/>
        <v>1.0715956575785934</v>
      </c>
      <c r="G65" s="97">
        <f t="shared" si="9"/>
        <v>1.5921822686334837</v>
      </c>
      <c r="H65" s="97">
        <f t="shared" si="9"/>
        <v>1.042915197472676</v>
      </c>
      <c r="I65" s="97">
        <f t="shared" si="9"/>
        <v>-1.0406943925517184E-2</v>
      </c>
      <c r="J65" s="97">
        <f t="shared" si="9"/>
        <v>0.24324834876029119</v>
      </c>
      <c r="K65" s="97">
        <f t="shared" si="9"/>
        <v>0.54569534265873598</v>
      </c>
      <c r="N65" s="849"/>
    </row>
    <row r="66" spans="2:15">
      <c r="B66" s="223" t="s">
        <v>450</v>
      </c>
      <c r="C66" s="160" t="s">
        <v>128</v>
      </c>
      <c r="D66" s="104">
        <f>SUM(D64:D65)</f>
        <v>30.393291071027544</v>
      </c>
      <c r="E66" s="105">
        <f t="shared" ref="E66:K66" si="10">SUM(E64:E65)</f>
        <v>23.482839222026563</v>
      </c>
      <c r="F66" s="105">
        <f t="shared" si="10"/>
        <v>15.473195768442038</v>
      </c>
      <c r="G66" s="105">
        <f t="shared" si="10"/>
        <v>19.371874758713918</v>
      </c>
      <c r="H66" s="105">
        <f t="shared" si="10"/>
        <v>23.757182904127866</v>
      </c>
      <c r="I66" s="105">
        <f t="shared" si="10"/>
        <v>17.317222833795761</v>
      </c>
      <c r="J66" s="105">
        <f t="shared" si="10"/>
        <v>9.6425325114441112</v>
      </c>
      <c r="K66" s="106">
        <f t="shared" si="10"/>
        <v>9.622023395812743</v>
      </c>
      <c r="L66" s="32"/>
      <c r="M66" s="32"/>
    </row>
    <row r="67" spans="2:15">
      <c r="B67" s="223"/>
      <c r="C67" s="160"/>
      <c r="D67" s="160"/>
      <c r="E67" s="160"/>
      <c r="F67" s="160"/>
      <c r="G67" s="160"/>
      <c r="H67" s="160"/>
      <c r="I67" s="160"/>
      <c r="J67" s="160"/>
      <c r="K67" s="160"/>
      <c r="L67" s="160"/>
      <c r="M67" s="160"/>
      <c r="N67" s="160"/>
      <c r="O67" s="160"/>
    </row>
    <row r="68" spans="2:15">
      <c r="B68" s="859" t="s">
        <v>450</v>
      </c>
      <c r="C68" s="164" t="str">
        <f>'RFPR cover'!$C$14</f>
        <v>£m 12/13</v>
      </c>
      <c r="D68" s="153">
        <f t="shared" ref="D68:K68" si="11">D66/D41</f>
        <v>28.664350690943962</v>
      </c>
      <c r="E68" s="154">
        <f t="shared" si="11"/>
        <v>21.682404324090346</v>
      </c>
      <c r="F68" s="154">
        <f t="shared" si="11"/>
        <v>13.771531474688098</v>
      </c>
      <c r="G68" s="154">
        <f t="shared" si="11"/>
        <v>16.730249257304166</v>
      </c>
      <c r="H68" s="154">
        <f t="shared" si="11"/>
        <v>19.992749749337715</v>
      </c>
      <c r="I68" s="154">
        <f t="shared" si="11"/>
        <v>14.179742640754339</v>
      </c>
      <c r="J68" s="154">
        <f t="shared" si="11"/>
        <v>7.6637016964748668</v>
      </c>
      <c r="K68" s="155">
        <f t="shared" si="11"/>
        <v>7.4192592198952898</v>
      </c>
      <c r="L68" s="716">
        <f>SUM(D68:INDEX(D68:K68,0,MATCH('RFPR cover'!$C$7,$D$6:$K$6,0)))</f>
        <v>80.848535747026574</v>
      </c>
      <c r="M68" s="717">
        <f>SUM(D68:K68)</f>
        <v>130.10398905348879</v>
      </c>
    </row>
    <row r="69" spans="2:15">
      <c r="B69" s="392" t="s">
        <v>526</v>
      </c>
      <c r="C69" s="167" t="str">
        <f>'RFPR cover'!$C$14</f>
        <v>£m 12/13</v>
      </c>
      <c r="D69" s="97">
        <f>D55*((D61-D62)/D62)+D55</f>
        <v>0.43550898376123304</v>
      </c>
      <c r="E69" s="97">
        <f t="shared" ref="E69:K69" si="12">E55*((E61-E62)/E62)+E55</f>
        <v>0.43062312087942778</v>
      </c>
      <c r="F69" s="97">
        <f t="shared" si="12"/>
        <v>0.21247877111706806</v>
      </c>
      <c r="G69" s="97">
        <f t="shared" si="12"/>
        <v>0.15279807077567575</v>
      </c>
      <c r="H69" s="97">
        <f t="shared" si="12"/>
        <v>0.14102051206611566</v>
      </c>
      <c r="I69" s="97">
        <f t="shared" si="12"/>
        <v>9.8388916602356796E-2</v>
      </c>
      <c r="J69" s="97">
        <f t="shared" si="12"/>
        <v>4.7391353066327933E-2</v>
      </c>
      <c r="K69" s="97">
        <f t="shared" si="12"/>
        <v>4.7512256472863189E-2</v>
      </c>
      <c r="L69" s="712">
        <f>SUM(D69:INDEX(D69:K69,0,MATCH('RFPR cover'!$C$7,$D$6:$K$6,0)))</f>
        <v>1.2314089465334046</v>
      </c>
      <c r="M69" s="713">
        <f>SUM(D69:K69)</f>
        <v>1.5657219847410682</v>
      </c>
      <c r="N69" s="163"/>
    </row>
    <row r="71" spans="2:15">
      <c r="B71" s="851" t="s">
        <v>318</v>
      </c>
      <c r="C71" s="852"/>
      <c r="D71" s="852"/>
      <c r="E71" s="852"/>
      <c r="F71" s="852"/>
      <c r="G71" s="852"/>
      <c r="H71" s="852"/>
      <c r="I71" s="852"/>
      <c r="J71" s="852"/>
      <c r="K71" s="852"/>
      <c r="L71" s="852"/>
      <c r="M71" s="852"/>
      <c r="N71" s="852"/>
      <c r="O71" s="163"/>
    </row>
    <row r="72" spans="2:15" s="32" customFormat="1">
      <c r="B72" s="853"/>
      <c r="C72" s="67"/>
      <c r="D72" s="67"/>
      <c r="E72" s="67"/>
      <c r="F72" s="67"/>
      <c r="G72" s="67"/>
      <c r="H72" s="67"/>
      <c r="I72" s="67"/>
      <c r="J72" s="67"/>
      <c r="K72" s="67"/>
      <c r="L72" s="67"/>
      <c r="M72" s="67"/>
      <c r="N72" s="67"/>
      <c r="O72" s="67"/>
    </row>
    <row r="73" spans="2:15">
      <c r="B73" s="389" t="s">
        <v>480</v>
      </c>
      <c r="C73" s="388"/>
      <c r="D73" s="388"/>
      <c r="E73" s="388"/>
      <c r="F73" s="388"/>
      <c r="G73" s="388"/>
      <c r="H73" s="388"/>
      <c r="I73" s="388"/>
      <c r="J73" s="388"/>
      <c r="K73" s="388"/>
      <c r="L73" s="388"/>
      <c r="M73" s="388"/>
      <c r="N73" s="388"/>
      <c r="O73" s="163"/>
    </row>
    <row r="74" spans="2:15">
      <c r="B74" s="389" t="s">
        <v>347</v>
      </c>
      <c r="C74" s="388"/>
      <c r="D74" s="388"/>
      <c r="E74" s="388"/>
      <c r="F74" s="388"/>
      <c r="G74" s="388"/>
      <c r="H74" s="388"/>
      <c r="I74" s="388"/>
      <c r="J74" s="388"/>
      <c r="K74" s="388"/>
      <c r="L74" s="388"/>
      <c r="M74" s="388"/>
      <c r="N74" s="388"/>
      <c r="O74" s="163"/>
    </row>
    <row r="75" spans="2:15">
      <c r="B75" s="389" t="s">
        <v>348</v>
      </c>
      <c r="C75" s="388"/>
      <c r="D75" s="388"/>
      <c r="E75" s="388"/>
      <c r="F75" s="388"/>
      <c r="G75" s="388"/>
      <c r="H75" s="388"/>
      <c r="I75" s="388"/>
      <c r="J75" s="388"/>
      <c r="K75" s="388"/>
      <c r="L75" s="388"/>
      <c r="M75" s="388"/>
      <c r="N75" s="388"/>
      <c r="O75" s="163"/>
    </row>
    <row r="76" spans="2:15">
      <c r="B76" s="389" t="s">
        <v>532</v>
      </c>
      <c r="C76" s="388"/>
      <c r="D76" s="388"/>
      <c r="E76" s="388"/>
      <c r="F76" s="388"/>
      <c r="G76" s="388"/>
      <c r="H76" s="388"/>
      <c r="I76" s="388"/>
      <c r="J76" s="388"/>
      <c r="K76" s="388"/>
      <c r="L76" s="388"/>
      <c r="M76" s="388"/>
      <c r="N76" s="388"/>
      <c r="O76" s="163"/>
    </row>
    <row r="77" spans="2:15" s="32" customFormat="1">
      <c r="B77" s="393"/>
      <c r="C77" s="393"/>
      <c r="D77" s="393"/>
      <c r="E77" s="393"/>
      <c r="F77" s="393"/>
      <c r="G77" s="393"/>
      <c r="H77" s="393"/>
      <c r="I77" s="393"/>
      <c r="J77" s="393"/>
      <c r="K77" s="393"/>
      <c r="L77" s="393"/>
      <c r="M77" s="393"/>
      <c r="N77" s="393"/>
      <c r="O77" s="67"/>
    </row>
    <row r="78" spans="2:15">
      <c r="B78" s="392" t="s">
        <v>233</v>
      </c>
      <c r="C78" s="163" t="str">
        <f>'RFPR cover'!$C$14</f>
        <v>£m 12/13</v>
      </c>
      <c r="D78" s="624">
        <v>13.911081028941394</v>
      </c>
      <c r="E78" s="624">
        <v>13.442504113560513</v>
      </c>
      <c r="F78" s="624">
        <v>12.960179823416642</v>
      </c>
      <c r="G78" s="624">
        <v>11.578900858301704</v>
      </c>
      <c r="H78" s="624">
        <v>9.9528747611709445</v>
      </c>
      <c r="I78" s="624"/>
      <c r="J78" s="927"/>
      <c r="K78" s="930"/>
      <c r="L78" s="928"/>
      <c r="M78" s="928"/>
      <c r="O78" s="67"/>
    </row>
    <row r="79" spans="2:15">
      <c r="B79" s="392" t="s">
        <v>317</v>
      </c>
      <c r="C79" s="163" t="str">
        <f>'RFPR cover'!$C$14</f>
        <v>£m 12/13</v>
      </c>
      <c r="D79" s="714">
        <f>'R9 - RAV'!D49</f>
        <v>13.911081028941394</v>
      </c>
      <c r="E79" s="715">
        <f>'R9 - RAV'!E49</f>
        <v>13.442504113560513</v>
      </c>
      <c r="F79" s="715">
        <f>'R9 - RAV'!F49</f>
        <v>12.833560217541827</v>
      </c>
      <c r="G79" s="715">
        <f>'R9 - RAV'!G49</f>
        <v>11.312120257152642</v>
      </c>
      <c r="H79" s="715">
        <f>'R9 - RAV'!H49</f>
        <v>9.6968847181940756</v>
      </c>
      <c r="I79" s="715">
        <f>'R9 - RAV'!I49</f>
        <v>7.2476654283545825</v>
      </c>
      <c r="J79" s="715">
        <f>'R9 - RAV'!J49</f>
        <v>6.0431680757676718</v>
      </c>
      <c r="K79" s="929">
        <f>'R9 - RAV'!K49</f>
        <v>4.8779979099574913</v>
      </c>
      <c r="L79" s="931">
        <f>SUM(D79:INDEX(D79:K79,0,MATCH('RFPR cover'!$C$7,$D$6:$K$6,0)))</f>
        <v>51.499265617196372</v>
      </c>
      <c r="M79" s="931">
        <f>SUM(D79:K79)</f>
        <v>79.364981749470189</v>
      </c>
      <c r="O79" s="67"/>
    </row>
    <row r="80" spans="2:15" s="32" customFormat="1">
      <c r="B80" s="856"/>
      <c r="C80" s="67"/>
      <c r="D80" s="857"/>
      <c r="E80" s="857"/>
      <c r="F80" s="857"/>
      <c r="G80" s="857"/>
      <c r="H80" s="857"/>
      <c r="I80" s="857"/>
      <c r="J80" s="857"/>
      <c r="K80" s="857"/>
      <c r="L80" s="854"/>
      <c r="M80" s="854"/>
      <c r="O80" s="67"/>
    </row>
    <row r="81" spans="2:15" s="32" customFormat="1">
      <c r="B81" s="856"/>
      <c r="C81" s="67"/>
      <c r="D81" s="857"/>
      <c r="E81" s="858"/>
      <c r="F81" s="858"/>
      <c r="G81" s="858"/>
      <c r="H81" s="858"/>
      <c r="I81" s="858"/>
      <c r="J81" s="858"/>
      <c r="K81" s="858"/>
      <c r="L81" s="854"/>
      <c r="M81" s="854"/>
      <c r="O81" s="67"/>
    </row>
    <row r="82" spans="2:15">
      <c r="B82" s="860" t="s">
        <v>434</v>
      </c>
      <c r="C82" s="852"/>
      <c r="D82" s="852"/>
      <c r="E82" s="852"/>
      <c r="F82" s="852"/>
      <c r="G82" s="852"/>
      <c r="H82" s="852"/>
      <c r="I82" s="852"/>
      <c r="J82" s="852"/>
      <c r="K82" s="852"/>
      <c r="L82" s="852"/>
      <c r="M82" s="852"/>
      <c r="N82" s="852"/>
    </row>
    <row r="83" spans="2:15">
      <c r="B83" s="392"/>
      <c r="C83" s="163"/>
      <c r="D83" s="163"/>
      <c r="E83" s="163"/>
      <c r="F83" s="163"/>
      <c r="G83" s="163"/>
      <c r="H83" s="163"/>
      <c r="I83" s="163"/>
      <c r="J83" s="163"/>
      <c r="K83" s="163"/>
      <c r="L83" s="163"/>
      <c r="M83" s="163"/>
      <c r="N83" s="163"/>
    </row>
    <row r="84" spans="2:15">
      <c r="B84" s="879" t="s">
        <v>488</v>
      </c>
      <c r="C84" s="163"/>
      <c r="D84" s="163"/>
      <c r="E84" s="163"/>
      <c r="F84" s="163"/>
      <c r="G84" s="163"/>
      <c r="H84" s="163"/>
      <c r="I84" s="163"/>
      <c r="J84" s="163"/>
      <c r="K84" s="163"/>
      <c r="L84" s="163"/>
      <c r="M84" s="163"/>
      <c r="N84" s="163"/>
    </row>
    <row r="85" spans="2:15">
      <c r="B85" s="223" t="s">
        <v>489</v>
      </c>
      <c r="C85" s="163" t="str">
        <f>'RFPR cover'!$C$14</f>
        <v>£m 12/13</v>
      </c>
      <c r="D85" s="153">
        <f>D79-D43-D55</f>
        <v>-14.441976744305311</v>
      </c>
      <c r="E85" s="153">
        <f t="shared" ref="E85:K85" si="13">E79-E43-E55</f>
        <v>-7.8903734992022541</v>
      </c>
      <c r="F85" s="153">
        <f t="shared" si="13"/>
        <v>-0.18198786445474605</v>
      </c>
      <c r="G85" s="153">
        <f t="shared" si="13"/>
        <v>-4.1833025414955811</v>
      </c>
      <c r="H85" s="153">
        <f t="shared" si="13"/>
        <v>-9.5530343276519947</v>
      </c>
      <c r="I85" s="153">
        <f t="shared" si="13"/>
        <v>-7.0390467031452477</v>
      </c>
      <c r="J85" s="153">
        <f t="shared" si="13"/>
        <v>-1.4734002833758821</v>
      </c>
      <c r="K85" s="153">
        <f t="shared" si="13"/>
        <v>-2.1653093685243481</v>
      </c>
      <c r="L85" s="716">
        <f>SUM(D85:INDEX(D85:K85,0,MATCH('RFPR cover'!$C$7,$D$6:$K$6,0)))</f>
        <v>-26.697640649457895</v>
      </c>
      <c r="M85" s="717">
        <f>SUM(D85:K85)</f>
        <v>-46.928431332155363</v>
      </c>
    </row>
    <row r="86" spans="2:15">
      <c r="B86" s="223"/>
    </row>
    <row r="87" spans="2:15">
      <c r="B87" s="223" t="s">
        <v>490</v>
      </c>
      <c r="C87" s="163" t="str">
        <f>'RFPR cover'!$C$14</f>
        <v>£m 12/13</v>
      </c>
      <c r="D87" s="153">
        <f>D79-D68-D69</f>
        <v>-15.188778645763801</v>
      </c>
      <c r="E87" s="153">
        <f t="shared" ref="E87:K87" si="14">E79-E68-E69</f>
        <v>-8.6705233314092602</v>
      </c>
      <c r="F87" s="153">
        <f t="shared" si="14"/>
        <v>-1.1504500282633396</v>
      </c>
      <c r="G87" s="153">
        <f t="shared" si="14"/>
        <v>-5.5709270709271994</v>
      </c>
      <c r="H87" s="153">
        <f t="shared" si="14"/>
        <v>-10.436885543209755</v>
      </c>
      <c r="I87" s="153">
        <f t="shared" si="14"/>
        <v>-7.0304661290021135</v>
      </c>
      <c r="J87" s="153">
        <f t="shared" si="14"/>
        <v>-1.6679249737735229</v>
      </c>
      <c r="K87" s="153">
        <f t="shared" si="14"/>
        <v>-2.5887735664106617</v>
      </c>
      <c r="L87" s="716">
        <f>SUM(D87:INDEX(D87:K87,0,MATCH('RFPR cover'!$C$7,$D$6:$K$6,0)))</f>
        <v>-30.580679076363602</v>
      </c>
      <c r="M87" s="717">
        <f>SUM(D87:K87)</f>
        <v>-52.304729288759653</v>
      </c>
    </row>
    <row r="88" spans="2:15">
      <c r="B88" s="223"/>
    </row>
    <row r="89" spans="2:15">
      <c r="B89" s="223" t="s">
        <v>491</v>
      </c>
      <c r="C89" s="163" t="str">
        <f>'RFPR cover'!$C$14</f>
        <v>£m 12/13</v>
      </c>
      <c r="D89" s="153">
        <f t="shared" ref="D89:K89" si="15">D85-D87</f>
        <v>0.74680190145848968</v>
      </c>
      <c r="E89" s="153">
        <f t="shared" si="15"/>
        <v>0.78014983220700618</v>
      </c>
      <c r="F89" s="153">
        <f t="shared" si="15"/>
        <v>0.96846216380859362</v>
      </c>
      <c r="G89" s="153">
        <f t="shared" si="15"/>
        <v>1.3876245294316183</v>
      </c>
      <c r="H89" s="153">
        <f t="shared" si="15"/>
        <v>0.88385121555776003</v>
      </c>
      <c r="I89" s="153">
        <f t="shared" si="15"/>
        <v>-8.5805741431341787E-3</v>
      </c>
      <c r="J89" s="153">
        <f t="shared" si="15"/>
        <v>0.19452469039764075</v>
      </c>
      <c r="K89" s="153">
        <f t="shared" si="15"/>
        <v>0.42346419788631362</v>
      </c>
      <c r="L89" s="716">
        <f>SUM(D89:INDEX(D89:K89,0,MATCH('RFPR cover'!$C$7,$D$6:$K$6,0)))</f>
        <v>3.8830384269057077</v>
      </c>
      <c r="M89" s="717">
        <f>SUM(D89:K89)</f>
        <v>5.3762979566042883</v>
      </c>
    </row>
    <row r="90" spans="2:15">
      <c r="B90" s="210"/>
    </row>
  </sheetData>
  <conditionalFormatting sqref="D6:K6">
    <cfRule type="expression" dxfId="38" priority="15">
      <formula>AND(D$5="Actuals",E$5="Forecast")</formula>
    </cfRule>
  </conditionalFormatting>
  <conditionalFormatting sqref="D5:K5">
    <cfRule type="expression" dxfId="37" priority="8">
      <formula>AND(D$5="Actuals",E$5="Forecast")</formula>
    </cfRule>
  </conditionalFormatting>
  <conditionalFormatting sqref="D29:K29">
    <cfRule type="expression" dxfId="36" priority="6">
      <formula>D$5="Forecast"</formula>
    </cfRule>
    <cfRule type="expression" dxfId="35" priority="7">
      <formula>D$5="Actuals"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4F9EFF1D-0920-4D6C-8AB9-85AB6A059E37}">
            <xm:f>I6&gt;=('RFPR cover'!$C$7+2)</xm:f>
            <x14:dxf>
              <fill>
                <patternFill patternType="darkUp">
                  <fgColor rgb="FFC0C0C0"/>
                </patternFill>
              </fill>
            </x14:dxf>
          </x14:cfRule>
          <xm:sqref>I78:K78</xm:sqref>
        </x14:conditionalFormatting>
        <x14:conditionalFormatting xmlns:xm="http://schemas.microsoft.com/office/excel/2006/main">
          <x14:cfRule type="expression" priority="1" id="{6DD77D04-9DDD-4B28-BF20-353F74B0D915}">
            <xm:f>D6&gt;=('C:\ED1 RRPs\RRP 2018 19\RFPR\FOR SUBMISSION\[201819 RFPR - WPD EMID submission - July 19.xlsx]RFPR cover'!#REF!+2)</xm:f>
            <x14:dxf>
              <fill>
                <patternFill patternType="darkUp">
                  <fgColor rgb="FFC0C0C0"/>
                </patternFill>
              </fill>
            </x14:dxf>
          </x14:cfRule>
          <xm:sqref>D78:H78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2" customFormat="1" ht="20.25">
      <c r="A1" s="382" t="s">
        <v>237</v>
      </c>
      <c r="B1" s="269"/>
      <c r="C1" s="269"/>
      <c r="D1" s="269"/>
      <c r="E1" s="269"/>
      <c r="F1" s="269"/>
      <c r="G1" s="269"/>
      <c r="H1" s="269"/>
      <c r="I1" s="270"/>
      <c r="J1" s="270"/>
      <c r="K1" s="271"/>
      <c r="L1" s="383"/>
    </row>
    <row r="2" spans="1:12" s="32" customFormat="1" ht="20.25">
      <c r="A2" s="126" t="str">
        <f>'RFPR cover'!C5</f>
        <v>WPD-SWALES</v>
      </c>
      <c r="B2" s="30"/>
      <c r="C2" s="30"/>
      <c r="D2" s="30"/>
      <c r="E2" s="30"/>
      <c r="F2" s="30"/>
      <c r="G2" s="30"/>
      <c r="H2" s="30"/>
      <c r="I2" s="27"/>
      <c r="J2" s="27"/>
      <c r="K2" s="27"/>
      <c r="L2" s="127"/>
    </row>
    <row r="3" spans="1:12" s="32" customFormat="1" ht="23.25">
      <c r="A3" s="273">
        <f>'RFPR cover'!C7</f>
        <v>2019</v>
      </c>
      <c r="B3" s="932" t="str">
        <f>'R1 - RoRE'!B3</f>
        <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row r="8" spans="1:12" s="2" customFormat="1">
      <c r="B8" s="223" t="s">
        <v>522</v>
      </c>
      <c r="C8" s="160" t="s">
        <v>128</v>
      </c>
      <c r="D8" s="910">
        <v>-26.2</v>
      </c>
      <c r="E8" s="724">
        <f>D10</f>
        <v>-32.200000000000003</v>
      </c>
      <c r="F8" s="724">
        <f t="shared" ref="F8:K8" si="1">E10</f>
        <v>-19.45701588</v>
      </c>
      <c r="G8" s="724">
        <f t="shared" si="1"/>
        <v>-33.159069620000004</v>
      </c>
      <c r="H8" s="724">
        <f t="shared" si="1"/>
        <v>-4.6033230300000003</v>
      </c>
      <c r="I8" s="724">
        <f t="shared" si="1"/>
        <v>1E-8</v>
      </c>
      <c r="J8" s="724">
        <f t="shared" si="1"/>
        <v>1E-8</v>
      </c>
      <c r="K8" s="724">
        <f t="shared" si="1"/>
        <v>1E-8</v>
      </c>
    </row>
    <row r="9" spans="1:12" s="2" customFormat="1">
      <c r="B9" s="223"/>
    </row>
    <row r="10" spans="1:12">
      <c r="B10" s="223" t="s">
        <v>523</v>
      </c>
      <c r="C10" s="160" t="s">
        <v>128</v>
      </c>
      <c r="D10" s="718">
        <v>-32.200000000000003</v>
      </c>
      <c r="E10" s="719">
        <v>-19.45701588</v>
      </c>
      <c r="F10" s="719">
        <v>-33.159069620000004</v>
      </c>
      <c r="G10" s="719">
        <v>-4.6033230300000003</v>
      </c>
      <c r="H10" s="719">
        <v>1E-8</v>
      </c>
      <c r="I10" s="719">
        <v>1E-8</v>
      </c>
      <c r="J10" s="719">
        <v>1E-8</v>
      </c>
      <c r="K10" s="720">
        <v>1E-8</v>
      </c>
    </row>
    <row r="11" spans="1:12">
      <c r="B11" s="223" t="s">
        <v>371</v>
      </c>
      <c r="C11" s="160" t="s">
        <v>128</v>
      </c>
      <c r="D11" s="721">
        <v>566.72789999999998</v>
      </c>
      <c r="E11" s="722">
        <v>619.78910460000009</v>
      </c>
      <c r="F11" s="722">
        <v>653.2063776</v>
      </c>
      <c r="G11" s="722">
        <v>655.20138665000002</v>
      </c>
      <c r="H11" s="722">
        <v>657.56202207006731</v>
      </c>
      <c r="I11" s="722">
        <v>510.06947148292568</v>
      </c>
      <c r="J11" s="722">
        <v>512.80209178352197</v>
      </c>
      <c r="K11" s="723">
        <v>515.66115939703741</v>
      </c>
    </row>
    <row r="12" spans="1:12">
      <c r="B12" s="223" t="s">
        <v>372</v>
      </c>
      <c r="C12" s="160" t="s">
        <v>128</v>
      </c>
      <c r="D12" s="721">
        <v>57.5</v>
      </c>
      <c r="E12" s="722">
        <v>0</v>
      </c>
      <c r="F12" s="722">
        <v>0</v>
      </c>
      <c r="G12" s="722">
        <v>0</v>
      </c>
      <c r="H12" s="722">
        <v>0</v>
      </c>
      <c r="I12" s="722">
        <v>0</v>
      </c>
      <c r="J12" s="722">
        <v>0</v>
      </c>
      <c r="K12" s="723">
        <v>0</v>
      </c>
    </row>
    <row r="13" spans="1:12">
      <c r="B13" s="223" t="s">
        <v>373</v>
      </c>
      <c r="C13" s="160" t="s">
        <v>128</v>
      </c>
      <c r="D13" s="721">
        <v>0</v>
      </c>
      <c r="E13" s="722">
        <v>0</v>
      </c>
      <c r="F13" s="722">
        <v>0</v>
      </c>
      <c r="G13" s="722">
        <v>0</v>
      </c>
      <c r="H13" s="722">
        <v>0</v>
      </c>
      <c r="I13" s="722">
        <v>0</v>
      </c>
      <c r="J13" s="722">
        <v>0</v>
      </c>
      <c r="K13" s="723">
        <v>0</v>
      </c>
    </row>
    <row r="14" spans="1:12">
      <c r="B14" s="223" t="s">
        <v>374</v>
      </c>
      <c r="C14" s="160" t="s">
        <v>128</v>
      </c>
      <c r="D14" s="721">
        <v>-3.1354999999999973</v>
      </c>
      <c r="E14" s="722">
        <v>-16.786109879999998</v>
      </c>
      <c r="F14" s="722">
        <v>-8.1006748700000006</v>
      </c>
      <c r="G14" s="722">
        <v>-5.8129591400000002</v>
      </c>
      <c r="H14" s="722">
        <v>-5.8129591400000002</v>
      </c>
      <c r="I14" s="722">
        <v>-5.8129591400000002</v>
      </c>
      <c r="J14" s="722">
        <v>-5.8129591400000002</v>
      </c>
      <c r="K14" s="723">
        <v>-5.8129591400000002</v>
      </c>
    </row>
    <row r="15" spans="1:12">
      <c r="B15" s="223" t="s">
        <v>292</v>
      </c>
      <c r="C15" s="160" t="s">
        <v>128</v>
      </c>
      <c r="D15" s="721">
        <v>0</v>
      </c>
      <c r="E15" s="722">
        <v>0</v>
      </c>
      <c r="F15" s="722">
        <v>0</v>
      </c>
      <c r="G15" s="722">
        <v>0</v>
      </c>
      <c r="H15" s="722">
        <v>0</v>
      </c>
      <c r="I15" s="722">
        <v>0</v>
      </c>
      <c r="J15" s="722">
        <v>0</v>
      </c>
      <c r="K15" s="723">
        <v>0</v>
      </c>
    </row>
    <row r="16" spans="1:12">
      <c r="B16" s="223" t="s">
        <v>293</v>
      </c>
      <c r="C16" s="160" t="s">
        <v>128</v>
      </c>
      <c r="D16" s="721">
        <v>0</v>
      </c>
      <c r="E16" s="722">
        <v>0</v>
      </c>
      <c r="F16" s="722">
        <v>0</v>
      </c>
      <c r="G16" s="722">
        <v>0</v>
      </c>
      <c r="H16" s="722">
        <v>0</v>
      </c>
      <c r="I16" s="722">
        <v>0</v>
      </c>
      <c r="J16" s="722">
        <v>0</v>
      </c>
      <c r="K16" s="723">
        <v>0</v>
      </c>
    </row>
    <row r="17" spans="2:13">
      <c r="B17" s="223" t="s">
        <v>297</v>
      </c>
      <c r="C17" s="160" t="s">
        <v>128</v>
      </c>
      <c r="D17" s="721">
        <v>0</v>
      </c>
      <c r="E17" s="722">
        <v>0</v>
      </c>
      <c r="F17" s="722">
        <v>0</v>
      </c>
      <c r="G17" s="722">
        <v>0</v>
      </c>
      <c r="H17" s="722">
        <v>0</v>
      </c>
      <c r="I17" s="722">
        <v>0</v>
      </c>
      <c r="J17" s="722">
        <v>0</v>
      </c>
      <c r="K17" s="723">
        <v>0</v>
      </c>
    </row>
    <row r="18" spans="2:13">
      <c r="B18" s="223" t="s">
        <v>298</v>
      </c>
      <c r="C18" s="160" t="s">
        <v>128</v>
      </c>
      <c r="D18" s="721">
        <v>0</v>
      </c>
      <c r="E18" s="722">
        <v>0</v>
      </c>
      <c r="F18" s="722">
        <v>0</v>
      </c>
      <c r="G18" s="722">
        <v>0</v>
      </c>
      <c r="H18" s="722">
        <v>0</v>
      </c>
      <c r="I18" s="722">
        <v>0</v>
      </c>
      <c r="J18" s="722">
        <v>0</v>
      </c>
      <c r="K18" s="723">
        <v>0</v>
      </c>
    </row>
    <row r="19" spans="2:13">
      <c r="B19" s="223" t="s">
        <v>299</v>
      </c>
      <c r="C19" s="160" t="s">
        <v>128</v>
      </c>
      <c r="D19" s="721">
        <v>0</v>
      </c>
      <c r="E19" s="722">
        <v>0</v>
      </c>
      <c r="F19" s="722">
        <v>0</v>
      </c>
      <c r="G19" s="722">
        <v>0</v>
      </c>
      <c r="H19" s="722">
        <v>0</v>
      </c>
      <c r="I19" s="722">
        <v>0</v>
      </c>
      <c r="J19" s="722">
        <v>0</v>
      </c>
      <c r="K19" s="723">
        <v>0</v>
      </c>
    </row>
    <row r="20" spans="2:13">
      <c r="B20" s="223" t="s">
        <v>300</v>
      </c>
      <c r="C20" s="160" t="s">
        <v>128</v>
      </c>
      <c r="D20" s="721">
        <v>0</v>
      </c>
      <c r="E20" s="722">
        <v>0</v>
      </c>
      <c r="F20" s="722">
        <v>0</v>
      </c>
      <c r="G20" s="722">
        <v>0</v>
      </c>
      <c r="H20" s="722">
        <v>0</v>
      </c>
      <c r="I20" s="722">
        <v>0</v>
      </c>
      <c r="J20" s="722">
        <v>0</v>
      </c>
      <c r="K20" s="723">
        <v>0</v>
      </c>
    </row>
    <row r="21" spans="2:13">
      <c r="B21" s="223" t="s">
        <v>301</v>
      </c>
      <c r="C21" s="160" t="s">
        <v>128</v>
      </c>
      <c r="D21" s="721">
        <v>0</v>
      </c>
      <c r="E21" s="722">
        <v>0</v>
      </c>
      <c r="F21" s="722">
        <v>0</v>
      </c>
      <c r="G21" s="722">
        <v>0</v>
      </c>
      <c r="H21" s="722">
        <v>0</v>
      </c>
      <c r="I21" s="722">
        <v>0</v>
      </c>
      <c r="J21" s="722">
        <v>0</v>
      </c>
      <c r="K21" s="723">
        <v>0</v>
      </c>
    </row>
    <row r="22" spans="2:13">
      <c r="B22" s="223" t="s">
        <v>302</v>
      </c>
      <c r="C22" s="160" t="s">
        <v>128</v>
      </c>
      <c r="D22" s="721">
        <v>0</v>
      </c>
      <c r="E22" s="722">
        <v>0</v>
      </c>
      <c r="F22" s="722">
        <v>0</v>
      </c>
      <c r="G22" s="722">
        <v>0</v>
      </c>
      <c r="H22" s="722">
        <v>0</v>
      </c>
      <c r="I22" s="722">
        <v>0</v>
      </c>
      <c r="J22" s="722">
        <v>0</v>
      </c>
      <c r="K22" s="723">
        <v>0</v>
      </c>
    </row>
    <row r="23" spans="2:13">
      <c r="B23" s="14" t="s">
        <v>319</v>
      </c>
      <c r="C23" s="245" t="s">
        <v>128</v>
      </c>
      <c r="D23" s="724">
        <f>SUM(D10:D22)</f>
        <v>588.89239999999995</v>
      </c>
      <c r="E23" s="724">
        <f t="shared" ref="E23:K23" si="2">SUM(E10:E22)</f>
        <v>583.54597884000009</v>
      </c>
      <c r="F23" s="724">
        <f t="shared" si="2"/>
        <v>611.94663310999999</v>
      </c>
      <c r="G23" s="724">
        <f t="shared" si="2"/>
        <v>644.78510448000009</v>
      </c>
      <c r="H23" s="724">
        <f t="shared" si="2"/>
        <v>651.74906294006735</v>
      </c>
      <c r="I23" s="724">
        <f t="shared" si="2"/>
        <v>504.25651235292571</v>
      </c>
      <c r="J23" s="724">
        <f t="shared" si="2"/>
        <v>506.98913265352201</v>
      </c>
      <c r="K23" s="725">
        <f t="shared" si="2"/>
        <v>509.84820026703744</v>
      </c>
      <c r="L23" s="2"/>
      <c r="M23" s="342"/>
    </row>
    <row r="24" spans="2:13">
      <c r="B24" s="14"/>
      <c r="C24" s="160"/>
      <c r="D24" s="249"/>
      <c r="E24" s="249"/>
      <c r="F24" s="249"/>
      <c r="G24" s="249"/>
      <c r="H24" s="249"/>
      <c r="I24" s="249"/>
      <c r="J24" s="249"/>
      <c r="K24" s="249"/>
      <c r="L24" s="2"/>
      <c r="M24" s="2"/>
    </row>
    <row r="25" spans="2:13">
      <c r="B25" s="14" t="s">
        <v>123</v>
      </c>
      <c r="C25" s="16"/>
      <c r="D25" s="250"/>
      <c r="E25" s="250"/>
      <c r="F25" s="250"/>
      <c r="G25" s="250"/>
      <c r="H25" s="250"/>
      <c r="I25" s="250"/>
      <c r="J25" s="250"/>
      <c r="K25" s="250"/>
      <c r="L25" s="2"/>
      <c r="M25" s="2"/>
    </row>
    <row r="26" spans="2:13">
      <c r="B26" s="390" t="s">
        <v>534</v>
      </c>
      <c r="C26" s="160" t="s">
        <v>128</v>
      </c>
      <c r="D26" s="365">
        <v>6.7392560799999996</v>
      </c>
      <c r="E26" s="400">
        <v>6.5719434000000003</v>
      </c>
      <c r="F26" s="400">
        <v>6.4523000000000001</v>
      </c>
      <c r="G26" s="400">
        <v>5.9998303499999999</v>
      </c>
      <c r="H26" s="400">
        <v>5.5800839080785876</v>
      </c>
      <c r="I26" s="400">
        <v>5.2010323799618625</v>
      </c>
      <c r="J26" s="400">
        <v>4.884088025291657</v>
      </c>
      <c r="K26" s="404">
        <v>4.5671436706214505</v>
      </c>
      <c r="L26" s="2"/>
      <c r="M26" s="2"/>
    </row>
    <row r="27" spans="2:13">
      <c r="B27" s="390" t="s">
        <v>8</v>
      </c>
      <c r="C27" s="160" t="s">
        <v>128</v>
      </c>
      <c r="D27" s="365">
        <v>0</v>
      </c>
      <c r="E27" s="400">
        <v>0</v>
      </c>
      <c r="F27" s="400">
        <v>0</v>
      </c>
      <c r="G27" s="400">
        <v>0</v>
      </c>
      <c r="H27" s="400">
        <v>0</v>
      </c>
      <c r="I27" s="400">
        <v>0</v>
      </c>
      <c r="J27" s="400">
        <v>0</v>
      </c>
      <c r="K27" s="404">
        <v>0</v>
      </c>
      <c r="L27" s="36"/>
      <c r="M27" s="36"/>
    </row>
    <row r="28" spans="2:13">
      <c r="B28" s="390" t="s">
        <v>9</v>
      </c>
      <c r="C28" s="160" t="s">
        <v>128</v>
      </c>
      <c r="D28" s="365">
        <v>0</v>
      </c>
      <c r="E28" s="400">
        <v>0</v>
      </c>
      <c r="F28" s="400">
        <v>0</v>
      </c>
      <c r="G28" s="400">
        <v>0</v>
      </c>
      <c r="H28" s="400">
        <v>0</v>
      </c>
      <c r="I28" s="400">
        <v>0</v>
      </c>
      <c r="J28" s="400">
        <v>0</v>
      </c>
      <c r="K28" s="404">
        <v>0</v>
      </c>
      <c r="L28" s="36"/>
      <c r="M28" s="36"/>
    </row>
    <row r="29" spans="2:13">
      <c r="B29" s="390" t="s">
        <v>10</v>
      </c>
      <c r="C29" s="160" t="s">
        <v>128</v>
      </c>
      <c r="D29" s="365">
        <v>0</v>
      </c>
      <c r="E29" s="400">
        <v>0</v>
      </c>
      <c r="F29" s="400">
        <v>0</v>
      </c>
      <c r="G29" s="400">
        <v>0</v>
      </c>
      <c r="H29" s="400">
        <v>0</v>
      </c>
      <c r="I29" s="400">
        <v>0</v>
      </c>
      <c r="J29" s="400">
        <v>0</v>
      </c>
      <c r="K29" s="404">
        <v>0</v>
      </c>
      <c r="L29" s="36"/>
      <c r="M29" s="36"/>
    </row>
    <row r="30" spans="2:13">
      <c r="B30" s="390" t="s">
        <v>539</v>
      </c>
      <c r="C30" s="160" t="s">
        <v>128</v>
      </c>
      <c r="D30" s="365">
        <v>1.532816</v>
      </c>
      <c r="E30" s="400">
        <v>-1.5355479999999999</v>
      </c>
      <c r="F30" s="400">
        <v>-2.6335999999999999</v>
      </c>
      <c r="G30" s="400">
        <v>-2.3757519999999999</v>
      </c>
      <c r="H30" s="400">
        <v>-2.1162225218959563</v>
      </c>
      <c r="I30" s="400">
        <v>-1.8574021407266224</v>
      </c>
      <c r="J30" s="400">
        <v>-1.5985817595572891</v>
      </c>
      <c r="K30" s="404">
        <v>-1.3397613783879558</v>
      </c>
    </row>
    <row r="31" spans="2:13">
      <c r="B31" s="390" t="s">
        <v>540</v>
      </c>
      <c r="C31" s="160" t="s">
        <v>128</v>
      </c>
      <c r="D31" s="365">
        <v>3.1354999999999973</v>
      </c>
      <c r="E31" s="400">
        <v>16.786109879999998</v>
      </c>
      <c r="F31" s="400">
        <v>8.1006999999999998</v>
      </c>
      <c r="G31" s="400">
        <v>6.5910091399999997</v>
      </c>
      <c r="H31" s="400">
        <v>5.8129591400000002</v>
      </c>
      <c r="I31" s="400">
        <v>5.8129591400000002</v>
      </c>
      <c r="J31" s="400">
        <v>5.8129591400000002</v>
      </c>
      <c r="K31" s="404">
        <v>5.8129591400000002</v>
      </c>
    </row>
    <row r="32" spans="2:13" ht="12.75" customHeight="1">
      <c r="B32" s="390" t="s">
        <v>542</v>
      </c>
      <c r="C32" s="160" t="s">
        <v>128</v>
      </c>
      <c r="D32" s="365">
        <v>1.8409100000000001E-3</v>
      </c>
      <c r="E32" s="400">
        <v>0</v>
      </c>
      <c r="F32" s="400">
        <v>0</v>
      </c>
      <c r="G32" s="400">
        <v>0</v>
      </c>
      <c r="H32" s="400">
        <v>-1E-8</v>
      </c>
      <c r="I32" s="400">
        <v>-1E-8</v>
      </c>
      <c r="J32" s="400">
        <v>-1E-8</v>
      </c>
      <c r="K32" s="404">
        <v>-1E-8</v>
      </c>
    </row>
    <row r="33" spans="2:12">
      <c r="B33" s="390" t="s">
        <v>358</v>
      </c>
      <c r="C33" s="160" t="s">
        <v>128</v>
      </c>
      <c r="D33" s="365">
        <v>0</v>
      </c>
      <c r="E33" s="400">
        <v>0</v>
      </c>
      <c r="F33" s="400">
        <v>0</v>
      </c>
      <c r="G33" s="400">
        <v>0</v>
      </c>
      <c r="H33" s="400">
        <v>0</v>
      </c>
      <c r="I33" s="400">
        <v>0</v>
      </c>
      <c r="J33" s="400">
        <v>0</v>
      </c>
      <c r="K33" s="404">
        <v>0</v>
      </c>
    </row>
    <row r="34" spans="2:12">
      <c r="B34" s="390" t="s">
        <v>359</v>
      </c>
      <c r="C34" s="160" t="s">
        <v>128</v>
      </c>
      <c r="D34" s="365">
        <v>0</v>
      </c>
      <c r="E34" s="400">
        <v>0</v>
      </c>
      <c r="F34" s="400">
        <v>0</v>
      </c>
      <c r="G34" s="400">
        <v>0</v>
      </c>
      <c r="H34" s="400">
        <v>0</v>
      </c>
      <c r="I34" s="400">
        <v>0</v>
      </c>
      <c r="J34" s="400">
        <v>0</v>
      </c>
      <c r="K34" s="404">
        <v>0</v>
      </c>
    </row>
    <row r="35" spans="2:12">
      <c r="B35" s="390" t="s">
        <v>360</v>
      </c>
      <c r="C35" s="160" t="s">
        <v>128</v>
      </c>
      <c r="D35" s="365">
        <v>0</v>
      </c>
      <c r="E35" s="400">
        <v>0</v>
      </c>
      <c r="F35" s="400">
        <v>0</v>
      </c>
      <c r="G35" s="400">
        <v>0</v>
      </c>
      <c r="H35" s="400">
        <v>0</v>
      </c>
      <c r="I35" s="400">
        <v>0</v>
      </c>
      <c r="J35" s="400">
        <v>0</v>
      </c>
      <c r="K35" s="404">
        <v>0</v>
      </c>
    </row>
    <row r="36" spans="2:12">
      <c r="B36" s="390" t="s">
        <v>361</v>
      </c>
      <c r="C36" s="160" t="s">
        <v>128</v>
      </c>
      <c r="D36" s="365">
        <v>0</v>
      </c>
      <c r="E36" s="400">
        <v>0</v>
      </c>
      <c r="F36" s="400">
        <v>0</v>
      </c>
      <c r="G36" s="400">
        <v>0</v>
      </c>
      <c r="H36" s="400">
        <v>0</v>
      </c>
      <c r="I36" s="400">
        <v>0</v>
      </c>
      <c r="J36" s="400">
        <v>0</v>
      </c>
      <c r="K36" s="404">
        <v>0</v>
      </c>
    </row>
    <row r="37" spans="2:12">
      <c r="B37" s="390" t="s">
        <v>362</v>
      </c>
      <c r="C37" s="160" t="s">
        <v>128</v>
      </c>
      <c r="D37" s="365">
        <v>0</v>
      </c>
      <c r="E37" s="400">
        <v>0</v>
      </c>
      <c r="F37" s="400">
        <v>0</v>
      </c>
      <c r="G37" s="400">
        <v>0</v>
      </c>
      <c r="H37" s="400">
        <v>0</v>
      </c>
      <c r="I37" s="400">
        <v>0</v>
      </c>
      <c r="J37" s="400">
        <v>0</v>
      </c>
      <c r="K37" s="404">
        <v>0</v>
      </c>
    </row>
    <row r="38" spans="2:12">
      <c r="B38" s="390" t="s">
        <v>363</v>
      </c>
      <c r="C38" s="160" t="s">
        <v>128</v>
      </c>
      <c r="D38" s="365">
        <v>0</v>
      </c>
      <c r="E38" s="400">
        <v>0</v>
      </c>
      <c r="F38" s="400">
        <v>0</v>
      </c>
      <c r="G38" s="400">
        <v>0</v>
      </c>
      <c r="H38" s="400">
        <v>0</v>
      </c>
      <c r="I38" s="400">
        <v>0</v>
      </c>
      <c r="J38" s="400">
        <v>0</v>
      </c>
      <c r="K38" s="404">
        <v>0</v>
      </c>
    </row>
    <row r="39" spans="2:12">
      <c r="B39" s="390" t="s">
        <v>364</v>
      </c>
      <c r="C39" s="160" t="s">
        <v>128</v>
      </c>
      <c r="D39" s="365">
        <v>0</v>
      </c>
      <c r="E39" s="400">
        <v>0</v>
      </c>
      <c r="F39" s="400">
        <v>0</v>
      </c>
      <c r="G39" s="400">
        <v>0</v>
      </c>
      <c r="H39" s="400">
        <v>0</v>
      </c>
      <c r="I39" s="400">
        <v>0</v>
      </c>
      <c r="J39" s="400">
        <v>0</v>
      </c>
      <c r="K39" s="404">
        <v>0</v>
      </c>
    </row>
    <row r="40" spans="2:12">
      <c r="B40" s="390" t="s">
        <v>365</v>
      </c>
      <c r="C40" s="160" t="s">
        <v>128</v>
      </c>
      <c r="D40" s="365">
        <v>0</v>
      </c>
      <c r="E40" s="400">
        <v>0</v>
      </c>
      <c r="F40" s="400">
        <v>0</v>
      </c>
      <c r="G40" s="400">
        <v>0</v>
      </c>
      <c r="H40" s="400">
        <v>0</v>
      </c>
      <c r="I40" s="400">
        <v>0</v>
      </c>
      <c r="J40" s="400">
        <v>0</v>
      </c>
      <c r="K40" s="404">
        <v>0</v>
      </c>
    </row>
    <row r="41" spans="2:12">
      <c r="B41" s="390" t="s">
        <v>366</v>
      </c>
      <c r="C41" s="160" t="s">
        <v>128</v>
      </c>
      <c r="D41" s="401">
        <v>0</v>
      </c>
      <c r="E41" s="402">
        <v>0</v>
      </c>
      <c r="F41" s="402">
        <v>0</v>
      </c>
      <c r="G41" s="402">
        <v>0</v>
      </c>
      <c r="H41" s="402">
        <v>0</v>
      </c>
      <c r="I41" s="402">
        <v>0</v>
      </c>
      <c r="J41" s="402">
        <v>0</v>
      </c>
      <c r="K41" s="405">
        <v>0</v>
      </c>
    </row>
    <row r="42" spans="2:12">
      <c r="B42" s="209" t="s">
        <v>234</v>
      </c>
      <c r="C42" s="160" t="s">
        <v>128</v>
      </c>
      <c r="D42" s="732">
        <f>SUM(D23,D26:D41)</f>
        <v>600.30181299000003</v>
      </c>
      <c r="E42" s="732">
        <f t="shared" ref="E42:K42" si="3">SUM(E23,E26:E41)</f>
        <v>605.36848412000018</v>
      </c>
      <c r="F42" s="732">
        <f t="shared" si="3"/>
        <v>623.86603310999999</v>
      </c>
      <c r="G42" s="732">
        <f t="shared" si="3"/>
        <v>655.00019197000006</v>
      </c>
      <c r="H42" s="732">
        <f t="shared" si="3"/>
        <v>661.02588345624997</v>
      </c>
      <c r="I42" s="732">
        <f t="shared" si="3"/>
        <v>513.41310172216095</v>
      </c>
      <c r="J42" s="732">
        <f t="shared" si="3"/>
        <v>516.08759804925637</v>
      </c>
      <c r="K42" s="732">
        <f t="shared" si="3"/>
        <v>518.88854168927094</v>
      </c>
    </row>
    <row r="43" spans="2:12">
      <c r="B43" s="391" t="s">
        <v>306</v>
      </c>
      <c r="C43" s="160" t="s">
        <v>128</v>
      </c>
      <c r="D43" s="733"/>
      <c r="E43" s="734"/>
      <c r="F43" s="734"/>
      <c r="G43" s="735"/>
      <c r="H43" s="735">
        <v>100</v>
      </c>
      <c r="I43" s="735">
        <v>300</v>
      </c>
      <c r="J43" s="735">
        <v>300</v>
      </c>
      <c r="K43" s="736">
        <v>340</v>
      </c>
    </row>
    <row r="44" spans="2:12">
      <c r="B44" s="364" t="s">
        <v>438</v>
      </c>
      <c r="C44" s="160" t="s">
        <v>128</v>
      </c>
      <c r="D44" s="97">
        <f>SUM(D42:D43)</f>
        <v>600.30181299000003</v>
      </c>
      <c r="E44" s="98">
        <f t="shared" ref="E44:K44" si="4">SUM(E42:E43)</f>
        <v>605.36848412000018</v>
      </c>
      <c r="F44" s="98">
        <f t="shared" si="4"/>
        <v>623.86603310999999</v>
      </c>
      <c r="G44" s="98">
        <f t="shared" si="4"/>
        <v>655.00019197000006</v>
      </c>
      <c r="H44" s="98">
        <f t="shared" si="4"/>
        <v>761.02588345624997</v>
      </c>
      <c r="I44" s="98">
        <f t="shared" si="4"/>
        <v>813.41310172216095</v>
      </c>
      <c r="J44" s="98">
        <f t="shared" si="4"/>
        <v>816.08759804925637</v>
      </c>
      <c r="K44" s="99">
        <f t="shared" si="4"/>
        <v>858.88854168927094</v>
      </c>
    </row>
    <row r="45" spans="2:12">
      <c r="D45" s="236"/>
      <c r="E45" s="237"/>
      <c r="F45" s="237"/>
      <c r="G45" s="237"/>
      <c r="H45" s="237"/>
      <c r="I45" s="237"/>
      <c r="J45" s="237"/>
      <c r="K45" s="238"/>
    </row>
    <row r="47" spans="2:12">
      <c r="B47" s="847" t="s">
        <v>439</v>
      </c>
      <c r="C47" s="160" t="s">
        <v>128</v>
      </c>
      <c r="D47" s="862">
        <v>548.79999999999995</v>
      </c>
      <c r="E47" s="98">
        <f>D48</f>
        <v>600.30181299000003</v>
      </c>
      <c r="F47" s="98">
        <f t="shared" ref="F47:K47" si="5">E48</f>
        <v>605.36848412000018</v>
      </c>
      <c r="G47" s="98">
        <f t="shared" si="5"/>
        <v>623.86603310999999</v>
      </c>
      <c r="H47" s="98">
        <f t="shared" si="5"/>
        <v>655.00019197000006</v>
      </c>
      <c r="I47" s="98">
        <f t="shared" si="5"/>
        <v>761.02588345624997</v>
      </c>
      <c r="J47" s="98">
        <f t="shared" si="5"/>
        <v>813.41310172216095</v>
      </c>
      <c r="K47" s="99">
        <f t="shared" si="5"/>
        <v>816.08759804925637</v>
      </c>
      <c r="L47" s="846"/>
    </row>
    <row r="48" spans="2:12">
      <c r="B48" s="847" t="s">
        <v>440</v>
      </c>
      <c r="C48" s="160" t="s">
        <v>128</v>
      </c>
      <c r="D48" s="605">
        <f>D44</f>
        <v>600.30181299000003</v>
      </c>
      <c r="E48" s="606">
        <f>E44</f>
        <v>605.36848412000018</v>
      </c>
      <c r="F48" s="606">
        <f t="shared" ref="F48:K48" si="6">F44</f>
        <v>623.86603310999999</v>
      </c>
      <c r="G48" s="606">
        <f t="shared" si="6"/>
        <v>655.00019197000006</v>
      </c>
      <c r="H48" s="606">
        <f t="shared" si="6"/>
        <v>761.02588345624997</v>
      </c>
      <c r="I48" s="606">
        <f t="shared" si="6"/>
        <v>813.41310172216095</v>
      </c>
      <c r="J48" s="606">
        <f t="shared" si="6"/>
        <v>816.08759804925637</v>
      </c>
      <c r="K48" s="861">
        <f t="shared" si="6"/>
        <v>858.88854168927094</v>
      </c>
      <c r="L48" s="846"/>
    </row>
    <row r="49" spans="2:13">
      <c r="D49" s="23"/>
      <c r="E49" s="23"/>
      <c r="F49" s="23"/>
      <c r="G49" s="23"/>
      <c r="H49" s="23"/>
      <c r="I49" s="23"/>
      <c r="J49" s="23"/>
      <c r="K49" s="23"/>
    </row>
    <row r="50" spans="2:13">
      <c r="B50" s="14" t="s">
        <v>124</v>
      </c>
    </row>
    <row r="51" spans="2:13">
      <c r="B51" t="s">
        <v>125</v>
      </c>
      <c r="C51" s="506" t="s">
        <v>7</v>
      </c>
      <c r="D51" s="500">
        <v>0</v>
      </c>
      <c r="E51" s="501">
        <v>0</v>
      </c>
      <c r="F51" s="501">
        <v>0</v>
      </c>
      <c r="G51" s="501">
        <v>0</v>
      </c>
      <c r="H51" s="501">
        <v>0</v>
      </c>
      <c r="I51" s="501">
        <v>0</v>
      </c>
      <c r="J51" s="501">
        <v>0</v>
      </c>
      <c r="K51" s="502">
        <v>0</v>
      </c>
    </row>
    <row r="52" spans="2:13">
      <c r="B52" t="s">
        <v>126</v>
      </c>
      <c r="C52" s="506" t="s">
        <v>7</v>
      </c>
      <c r="D52" s="512">
        <f>1-D51</f>
        <v>1</v>
      </c>
      <c r="E52" s="513">
        <f t="shared" ref="E52:K52" si="7">1-E51</f>
        <v>1</v>
      </c>
      <c r="F52" s="513">
        <f t="shared" si="7"/>
        <v>1</v>
      </c>
      <c r="G52" s="513">
        <f t="shared" si="7"/>
        <v>1</v>
      </c>
      <c r="H52" s="513">
        <f t="shared" si="7"/>
        <v>1</v>
      </c>
      <c r="I52" s="513">
        <f t="shared" si="7"/>
        <v>1</v>
      </c>
      <c r="J52" s="513">
        <f t="shared" si="7"/>
        <v>1</v>
      </c>
      <c r="K52" s="514">
        <f t="shared" si="7"/>
        <v>1</v>
      </c>
    </row>
    <row r="53" spans="2:13">
      <c r="C53" s="846"/>
      <c r="D53" s="846"/>
      <c r="E53" s="846"/>
      <c r="F53" s="846"/>
      <c r="G53" s="846"/>
      <c r="H53" s="846"/>
      <c r="I53" s="846"/>
      <c r="J53" s="846"/>
      <c r="K53" s="846"/>
      <c r="L53" s="846"/>
    </row>
    <row r="54" spans="2:13">
      <c r="B54" s="210" t="s">
        <v>462</v>
      </c>
      <c r="C54" s="280" t="s">
        <v>128</v>
      </c>
      <c r="D54" s="737">
        <f>AVERAGE(D47:D48)*D52</f>
        <v>574.55090649499994</v>
      </c>
      <c r="E54" s="738">
        <f t="shared" ref="E54:K54" si="8">AVERAGE(E47:E48)*E52</f>
        <v>602.83514855500016</v>
      </c>
      <c r="F54" s="738">
        <f t="shared" si="8"/>
        <v>614.61725861500008</v>
      </c>
      <c r="G54" s="738">
        <f t="shared" si="8"/>
        <v>639.43311254000002</v>
      </c>
      <c r="H54" s="738">
        <f t="shared" si="8"/>
        <v>708.01303771312496</v>
      </c>
      <c r="I54" s="738">
        <f t="shared" si="8"/>
        <v>787.2194925892054</v>
      </c>
      <c r="J54" s="738">
        <f t="shared" si="8"/>
        <v>814.7503498857086</v>
      </c>
      <c r="K54" s="739">
        <f t="shared" si="8"/>
        <v>837.48806986926365</v>
      </c>
    </row>
    <row r="55" spans="2:13">
      <c r="B55" s="210" t="s">
        <v>272</v>
      </c>
      <c r="C55" s="160" t="s">
        <v>128</v>
      </c>
      <c r="D55" s="726">
        <f>D56-D54</f>
        <v>332.65558566875143</v>
      </c>
      <c r="E55" s="727">
        <f t="shared" ref="E55:K55" si="9">E56-E54</f>
        <v>358.5202569200851</v>
      </c>
      <c r="F55" s="727">
        <f t="shared" si="9"/>
        <v>401.30544783689152</v>
      </c>
      <c r="G55" s="727">
        <f t="shared" si="9"/>
        <v>432.40494346431376</v>
      </c>
      <c r="H55" s="727">
        <f t="shared" si="9"/>
        <v>431.25024233933573</v>
      </c>
      <c r="I55" s="727">
        <f t="shared" si="9"/>
        <v>423.16003040845339</v>
      </c>
      <c r="J55" s="727">
        <f t="shared" si="9"/>
        <v>471.15064190284329</v>
      </c>
      <c r="K55" s="728">
        <f t="shared" si="9"/>
        <v>528.42008065217101</v>
      </c>
    </row>
    <row r="56" spans="2:13">
      <c r="B56" s="210" t="s">
        <v>510</v>
      </c>
      <c r="C56" s="160" t="s">
        <v>128</v>
      </c>
      <c r="D56" s="899">
        <f>IF(D6='RFPR cover'!$C$13,AVERAGE(('R9 - RAV'!D16*'R9 - RAV'!D36),'R9 - RAV'!D38),AVERAGE('R9 - RAV'!C38:D38))</f>
        <v>907.20649216375136</v>
      </c>
      <c r="E56" s="899">
        <f>IF(E6='RFPR cover'!$C$13,AVERAGE(('R9 - RAV'!E16*'R9 - RAV'!E36),'R9 - RAV'!E38),AVERAGE('R9 - RAV'!D38:E38))</f>
        <v>961.35540547508526</v>
      </c>
      <c r="F56" s="899">
        <f>IF(F6='RFPR cover'!$C$13,AVERAGE(('R9 - RAV'!F16*'R9 - RAV'!F36),'R9 - RAV'!F38),AVERAGE('R9 - RAV'!E38:F38))</f>
        <v>1015.9227064518916</v>
      </c>
      <c r="G56" s="899">
        <f>IF(G6='RFPR cover'!$C$13,AVERAGE(('R9 - RAV'!G16*'R9 - RAV'!G36),'R9 - RAV'!G38),AVERAGE('R9 - RAV'!F38:G38))</f>
        <v>1071.8380560043138</v>
      </c>
      <c r="H56" s="899">
        <f>IF(H6='RFPR cover'!$C$13,AVERAGE(('R9 - RAV'!H16*'R9 - RAV'!H36),'R9 - RAV'!H38),AVERAGE('R9 - RAV'!G38:H38))</f>
        <v>1139.2632800524607</v>
      </c>
      <c r="I56" s="899">
        <f>IF(I6='RFPR cover'!$C$13,AVERAGE(('R9 - RAV'!I16*'R9 - RAV'!I36),'R9 - RAV'!I38),AVERAGE('R9 - RAV'!H38:I38))</f>
        <v>1210.3795229976588</v>
      </c>
      <c r="J56" s="899">
        <f>IF(J6='RFPR cover'!$C$13,AVERAGE(('R9 - RAV'!J16*'R9 - RAV'!J36),'R9 - RAV'!J38),AVERAGE('R9 - RAV'!I38:J38))</f>
        <v>1285.9009917885519</v>
      </c>
      <c r="K56" s="899">
        <f>IF(K6='RFPR cover'!$C$13,AVERAGE(('R9 - RAV'!K16*'R9 - RAV'!K36),'R9 - RAV'!K38),AVERAGE('R9 - RAV'!J38:K38))</f>
        <v>1365.9081505214347</v>
      </c>
    </row>
    <row r="57" spans="2:13">
      <c r="B57" s="210" t="s">
        <v>235</v>
      </c>
      <c r="C57" s="160" t="s">
        <v>7</v>
      </c>
      <c r="D57" s="241">
        <f>D54/D56</f>
        <v>0.63331877743142639</v>
      </c>
      <c r="E57" s="242">
        <f t="shared" ref="E57:K57" si="10">E54/E56</f>
        <v>0.62706793462828603</v>
      </c>
      <c r="F57" s="242">
        <f t="shared" si="10"/>
        <v>0.60498427164951341</v>
      </c>
      <c r="G57" s="242">
        <f t="shared" si="10"/>
        <v>0.5965762355217461</v>
      </c>
      <c r="H57" s="242">
        <f t="shared" si="10"/>
        <v>0.62146568761570409</v>
      </c>
      <c r="I57" s="242">
        <f t="shared" si="10"/>
        <v>0.65039062346292531</v>
      </c>
      <c r="J57" s="242">
        <f t="shared" si="10"/>
        <v>0.63360270743121305</v>
      </c>
      <c r="K57" s="243">
        <f t="shared" si="10"/>
        <v>0.61313644665606037</v>
      </c>
    </row>
    <row r="58" spans="2:13">
      <c r="B58" s="210" t="s">
        <v>115</v>
      </c>
      <c r="C58" s="160" t="s">
        <v>7</v>
      </c>
      <c r="D58" s="900">
        <f>'RFPR cover'!$C$12</f>
        <v>0.65</v>
      </c>
      <c r="E58" s="901">
        <f>'RFPR cover'!$C$12</f>
        <v>0.65</v>
      </c>
      <c r="F58" s="901">
        <f>'RFPR cover'!$C$12</f>
        <v>0.65</v>
      </c>
      <c r="G58" s="901">
        <f>'RFPR cover'!$C$12</f>
        <v>0.65</v>
      </c>
      <c r="H58" s="901">
        <f>'RFPR cover'!$C$12</f>
        <v>0.65</v>
      </c>
      <c r="I58" s="901">
        <f>'RFPR cover'!$C$12</f>
        <v>0.65</v>
      </c>
      <c r="J58" s="901">
        <f>'RFPR cover'!$C$12</f>
        <v>0.65</v>
      </c>
      <c r="K58" s="902">
        <f>'RFPR cover'!$C$12</f>
        <v>0.65</v>
      </c>
    </row>
    <row r="59" spans="2:13">
      <c r="B59" s="210" t="s">
        <v>236</v>
      </c>
      <c r="C59" s="160" t="s">
        <v>7</v>
      </c>
      <c r="D59" s="246">
        <f t="shared" ref="D59:K59" si="11">IF(ISBLANK(D23),"n/a",D57-D58)</f>
        <v>-1.6681222568573628E-2</v>
      </c>
      <c r="E59" s="247">
        <f t="shared" si="11"/>
        <v>-2.2932065371713994E-2</v>
      </c>
      <c r="F59" s="247">
        <f t="shared" si="11"/>
        <v>-4.5015728350486617E-2</v>
      </c>
      <c r="G59" s="247">
        <f t="shared" si="11"/>
        <v>-5.3423764478253921E-2</v>
      </c>
      <c r="H59" s="247">
        <f t="shared" si="11"/>
        <v>-2.8534312384295935E-2</v>
      </c>
      <c r="I59" s="247">
        <f t="shared" si="11"/>
        <v>3.9062346292528805E-4</v>
      </c>
      <c r="J59" s="247">
        <f t="shared" si="11"/>
        <v>-1.639729256878697E-2</v>
      </c>
      <c r="K59" s="248">
        <f t="shared" si="11"/>
        <v>-3.6863553343939648E-2</v>
      </c>
    </row>
    <row r="61" spans="2:13">
      <c r="B61" s="210" t="s">
        <v>517</v>
      </c>
      <c r="C61" s="163" t="str">
        <f>'RFPR cover'!$C$14</f>
        <v>£m 12/13</v>
      </c>
      <c r="D61" s="903">
        <f t="shared" ref="D61:K61" si="12">D63*D57</f>
        <v>531.53235776764245</v>
      </c>
      <c r="E61" s="730">
        <f t="shared" si="12"/>
        <v>544.88450489480476</v>
      </c>
      <c r="F61" s="730">
        <f t="shared" si="12"/>
        <v>538.05281225777628</v>
      </c>
      <c r="G61" s="730">
        <f t="shared" si="12"/>
        <v>543.57971154099152</v>
      </c>
      <c r="H61" s="730">
        <f t="shared" si="12"/>
        <v>586.78492007036937</v>
      </c>
      <c r="I61" s="730">
        <f t="shared" si="12"/>
        <v>636.14219117384982</v>
      </c>
      <c r="J61" s="730">
        <f t="shared" si="12"/>
        <v>640.29559435924261</v>
      </c>
      <c r="K61" s="731">
        <f t="shared" si="12"/>
        <v>639.07656096303958</v>
      </c>
      <c r="M61" s="341"/>
    </row>
    <row r="62" spans="2:13">
      <c r="B62" s="210" t="s">
        <v>515</v>
      </c>
      <c r="C62" s="163" t="str">
        <f>'RFPR cover'!$C$14</f>
        <v>£m 12/13</v>
      </c>
      <c r="D62" s="693">
        <f>D63*(1-D57)</f>
        <v>307.7485489558203</v>
      </c>
      <c r="E62" s="694">
        <f t="shared" ref="E62:K62" si="13">E63*(1-E57)</f>
        <v>324.0556446566182</v>
      </c>
      <c r="F62" s="694">
        <f t="shared" si="13"/>
        <v>351.31380018448465</v>
      </c>
      <c r="G62" s="694">
        <f t="shared" si="13"/>
        <v>367.58583474597123</v>
      </c>
      <c r="H62" s="694">
        <f t="shared" si="13"/>
        <v>357.41028131172163</v>
      </c>
      <c r="I62" s="694">
        <f t="shared" si="13"/>
        <v>341.95030927886046</v>
      </c>
      <c r="J62" s="694">
        <f t="shared" si="13"/>
        <v>370.26762901327771</v>
      </c>
      <c r="K62" s="695">
        <f t="shared" si="13"/>
        <v>403.23068475437304</v>
      </c>
      <c r="M62" s="341"/>
    </row>
    <row r="63" spans="2:13">
      <c r="B63" s="210" t="s">
        <v>516</v>
      </c>
      <c r="C63" s="163" t="str">
        <f>'RFPR cover'!$C$14</f>
        <v>£m 12/13</v>
      </c>
      <c r="D63" s="898">
        <f>'R9 - RAV'!D47</f>
        <v>839.28090672346275</v>
      </c>
      <c r="E63" s="898">
        <f>'R9 - RAV'!E47</f>
        <v>868.94014955142302</v>
      </c>
      <c r="F63" s="898">
        <f>'R9 - RAV'!F47</f>
        <v>889.36661244226093</v>
      </c>
      <c r="G63" s="898">
        <f>'R9 - RAV'!G47</f>
        <v>911.16554628696281</v>
      </c>
      <c r="H63" s="898">
        <f>'R9 - RAV'!H47</f>
        <v>944.195201382091</v>
      </c>
      <c r="I63" s="898">
        <f>'R9 - RAV'!I47</f>
        <v>978.09250045271028</v>
      </c>
      <c r="J63" s="898">
        <f>'R9 - RAV'!J47</f>
        <v>1010.5632233725203</v>
      </c>
      <c r="K63" s="898">
        <f>'R9 - RAV'!K47</f>
        <v>1042.3072457174126</v>
      </c>
    </row>
    <row r="64" spans="2:13">
      <c r="B64" s="210" t="s">
        <v>235</v>
      </c>
      <c r="C64" s="160" t="s">
        <v>7</v>
      </c>
      <c r="D64" s="241">
        <f>D61/D63</f>
        <v>0.63331877743142639</v>
      </c>
      <c r="E64" s="242">
        <f t="shared" ref="E64:K64" si="14">E61/E63</f>
        <v>0.62706793462828592</v>
      </c>
      <c r="F64" s="242">
        <f t="shared" si="14"/>
        <v>0.60498427164951341</v>
      </c>
      <c r="G64" s="242">
        <f t="shared" si="14"/>
        <v>0.5965762355217461</v>
      </c>
      <c r="H64" s="242">
        <f t="shared" si="14"/>
        <v>0.62146568761570409</v>
      </c>
      <c r="I64" s="242">
        <f t="shared" si="14"/>
        <v>0.65039062346292531</v>
      </c>
      <c r="J64" s="242">
        <f t="shared" si="14"/>
        <v>0.63360270743121305</v>
      </c>
      <c r="K64" s="243">
        <f t="shared" si="14"/>
        <v>0.61313644665606037</v>
      </c>
    </row>
    <row r="65" spans="2:11">
      <c r="B65" s="210" t="s">
        <v>115</v>
      </c>
      <c r="C65" s="160" t="s">
        <v>7</v>
      </c>
      <c r="D65" s="900">
        <f>'RFPR cover'!$C$12</f>
        <v>0.65</v>
      </c>
      <c r="E65" s="901">
        <f>'RFPR cover'!$C$12</f>
        <v>0.65</v>
      </c>
      <c r="F65" s="901">
        <f>'RFPR cover'!$C$12</f>
        <v>0.65</v>
      </c>
      <c r="G65" s="901">
        <f>'RFPR cover'!$C$12</f>
        <v>0.65</v>
      </c>
      <c r="H65" s="901">
        <f>'RFPR cover'!$C$12</f>
        <v>0.65</v>
      </c>
      <c r="I65" s="901">
        <f>'RFPR cover'!$C$12</f>
        <v>0.65</v>
      </c>
      <c r="J65" s="901">
        <f>'RFPR cover'!$C$12</f>
        <v>0.65</v>
      </c>
      <c r="K65" s="902">
        <f>'RFPR cover'!$C$12</f>
        <v>0.65</v>
      </c>
    </row>
    <row r="66" spans="2:11">
      <c r="B66" s="210" t="s">
        <v>236</v>
      </c>
      <c r="C66" s="160" t="s">
        <v>7</v>
      </c>
      <c r="D66" s="246">
        <f t="shared" ref="D66:K66" si="15">IF(ISBLANK(D23),"n/a",D64-D65)</f>
        <v>-1.6681222568573628E-2</v>
      </c>
      <c r="E66" s="247">
        <f t="shared" si="15"/>
        <v>-2.2932065371714105E-2</v>
      </c>
      <c r="F66" s="247">
        <f t="shared" si="15"/>
        <v>-4.5015728350486617E-2</v>
      </c>
      <c r="G66" s="247">
        <f t="shared" si="15"/>
        <v>-5.3423764478253921E-2</v>
      </c>
      <c r="H66" s="247">
        <f t="shared" si="15"/>
        <v>-2.8534312384295935E-2</v>
      </c>
      <c r="I66" s="247">
        <f t="shared" si="15"/>
        <v>3.9062346292528805E-4</v>
      </c>
      <c r="J66" s="247">
        <f t="shared" si="15"/>
        <v>-1.639729256878697E-2</v>
      </c>
      <c r="K66" s="248">
        <f t="shared" si="15"/>
        <v>-3.6863553343939648E-2</v>
      </c>
    </row>
  </sheetData>
  <conditionalFormatting sqref="D6:K6">
    <cfRule type="expression" dxfId="32" priority="18">
      <formula>AND(D$5="Actuals",E$5="Forecast")</formula>
    </cfRule>
  </conditionalFormatting>
  <conditionalFormatting sqref="D5:K5">
    <cfRule type="expression" dxfId="31" priority="7">
      <formula>AND(D$5="Actuals",E$5="Forecast")</formula>
    </cfRule>
  </conditionalFormatting>
  <pageMargins left="0.70866141732283472" right="0.70866141732283472" top="0.74803149606299213" bottom="0.74803149606299213" header="0.31496062992125984" footer="0.31496062992125984"/>
  <pageSetup paperSize="8" scale="8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100.125" customWidth="1"/>
    <col min="3" max="3" width="14.125" style="208" customWidth="1"/>
    <col min="4" max="11" width="11.125" customWidth="1"/>
    <col min="12" max="12" width="5" customWidth="1"/>
    <col min="14" max="14" width="9" style="223"/>
  </cols>
  <sheetData>
    <row r="1" spans="1:14" s="32" customFormat="1" ht="20.25">
      <c r="A1" s="382" t="s">
        <v>120</v>
      </c>
      <c r="B1" s="123"/>
      <c r="C1" s="421"/>
      <c r="D1" s="123"/>
      <c r="E1" s="123"/>
      <c r="F1" s="123"/>
      <c r="G1" s="123"/>
      <c r="H1" s="123"/>
      <c r="I1" s="131"/>
      <c r="J1" s="131"/>
      <c r="K1" s="132"/>
      <c r="L1" s="383"/>
      <c r="N1" s="222"/>
    </row>
    <row r="2" spans="1:14" s="32" customFormat="1" ht="20.25">
      <c r="A2" s="126" t="str">
        <f>'RFPR cover'!C5</f>
        <v>WPD-SWALES</v>
      </c>
      <c r="B2" s="30"/>
      <c r="C2" s="231"/>
      <c r="D2" s="30"/>
      <c r="E2" s="30"/>
      <c r="F2" s="30"/>
      <c r="G2" s="30"/>
      <c r="H2" s="30"/>
      <c r="I2" s="27"/>
      <c r="J2" s="27"/>
      <c r="K2" s="27"/>
      <c r="L2" s="127"/>
      <c r="N2" s="222"/>
    </row>
    <row r="3" spans="1:14" s="32" customFormat="1" ht="20.25">
      <c r="A3" s="273">
        <f>'RFPR cover'!C7</f>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N5" s="134"/>
    </row>
    <row r="6" spans="1:14" s="2" customFormat="1">
      <c r="C6" s="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N6" s="134"/>
    </row>
    <row r="7" spans="1:14" s="2" customFormat="1">
      <c r="A7" s="36"/>
      <c r="B7" s="36"/>
      <c r="C7" s="339"/>
      <c r="D7" s="455"/>
      <c r="E7" s="455"/>
      <c r="F7" s="455"/>
      <c r="G7" s="455"/>
      <c r="H7" s="455"/>
      <c r="I7" s="455"/>
      <c r="J7" s="455"/>
      <c r="K7" s="455"/>
      <c r="L7" s="36"/>
      <c r="M7" s="36"/>
      <c r="N7" s="235"/>
    </row>
    <row r="8" spans="1:14" s="2" customFormat="1">
      <c r="B8" s="12" t="s">
        <v>323</v>
      </c>
      <c r="N8" s="134"/>
    </row>
    <row r="9" spans="1:14" s="2" customFormat="1">
      <c r="B9" s="389" t="s">
        <v>322</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321</v>
      </c>
      <c r="C11" s="220" t="str">
        <f>'RFPR cover'!$C$14</f>
        <v>£m 12/13</v>
      </c>
      <c r="D11" s="740">
        <v>870.25709511491561</v>
      </c>
      <c r="E11" s="740">
        <v>900.48009472295337</v>
      </c>
      <c r="F11" s="740">
        <v>928.79503576720492</v>
      </c>
      <c r="G11" s="740">
        <v>969.11790452022876</v>
      </c>
      <c r="H11" s="740">
        <v>1000.7858002223276</v>
      </c>
      <c r="I11" s="740">
        <v>1023.47803797592</v>
      </c>
      <c r="J11" s="740">
        <v>1043.3371557294845</v>
      </c>
      <c r="K11" s="740">
        <v>1065.9277709877319</v>
      </c>
      <c r="N11" s="134"/>
    </row>
    <row r="12" spans="1:14" s="2" customFormat="1">
      <c r="N12" s="134"/>
    </row>
    <row r="13" spans="1:14" s="2" customFormat="1">
      <c r="B13" s="12" t="s">
        <v>324</v>
      </c>
      <c r="C13" s="1"/>
      <c r="D13" s="1"/>
      <c r="E13" s="1"/>
      <c r="F13" s="1"/>
      <c r="G13" s="1"/>
      <c r="H13" s="1"/>
      <c r="I13" s="1"/>
      <c r="J13" s="1"/>
      <c r="K13" s="1"/>
      <c r="N13" s="134"/>
    </row>
    <row r="14" spans="1:14" s="2" customFormat="1">
      <c r="B14" s="389" t="s">
        <v>346</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325</v>
      </c>
      <c r="C16" s="220" t="str">
        <f>'RFPR cover'!$C$14</f>
        <v>£m 12/13</v>
      </c>
      <c r="D16" s="609">
        <v>840.95061479930121</v>
      </c>
      <c r="E16" s="741">
        <f>D29</f>
        <v>870.25709511491561</v>
      </c>
      <c r="F16" s="741">
        <f t="shared" ref="F16:K16" si="1">E29</f>
        <v>900.48009472295337</v>
      </c>
      <c r="G16" s="741">
        <f t="shared" si="1"/>
        <v>910.59919294541896</v>
      </c>
      <c r="H16" s="741">
        <f t="shared" si="1"/>
        <v>943.47384571407326</v>
      </c>
      <c r="I16" s="741">
        <f t="shared" si="1"/>
        <v>975.78698096893572</v>
      </c>
      <c r="J16" s="741">
        <f t="shared" si="1"/>
        <v>1009.6236849107914</v>
      </c>
      <c r="K16" s="612">
        <f t="shared" si="1"/>
        <v>1040.2092102151053</v>
      </c>
      <c r="N16" s="134"/>
    </row>
    <row r="17" spans="2:14" s="2" customFormat="1">
      <c r="B17" s="416" t="s">
        <v>326</v>
      </c>
      <c r="C17" s="220" t="str">
        <f>'RFPR cover'!$C$14</f>
        <v>£m 12/13</v>
      </c>
      <c r="D17" s="617"/>
      <c r="E17" s="618"/>
      <c r="F17" s="618"/>
      <c r="G17" s="618"/>
      <c r="H17" s="618"/>
      <c r="I17" s="618"/>
      <c r="J17" s="618"/>
      <c r="K17" s="711"/>
      <c r="N17" s="134"/>
    </row>
    <row r="18" spans="2:14" s="2" customFormat="1">
      <c r="B18" s="12" t="s">
        <v>327</v>
      </c>
      <c r="C18" s="220" t="str">
        <f>'RFPR cover'!$C$14</f>
        <v>£m 12/13</v>
      </c>
      <c r="D18" s="742">
        <f>SUM(D16:D17)</f>
        <v>840.95061479930121</v>
      </c>
      <c r="E18" s="743">
        <f t="shared" ref="E18:K18" si="2">SUM(E16:E17)</f>
        <v>870.25709511491561</v>
      </c>
      <c r="F18" s="743">
        <f t="shared" si="2"/>
        <v>900.48009472295337</v>
      </c>
      <c r="G18" s="743">
        <f t="shared" si="2"/>
        <v>910.59919294541896</v>
      </c>
      <c r="H18" s="743">
        <f t="shared" si="2"/>
        <v>943.47384571407326</v>
      </c>
      <c r="I18" s="743">
        <f t="shared" si="2"/>
        <v>975.78698096893572</v>
      </c>
      <c r="J18" s="743">
        <f t="shared" si="2"/>
        <v>1009.6236849107914</v>
      </c>
      <c r="K18" s="744">
        <f t="shared" si="2"/>
        <v>1040.2092102151053</v>
      </c>
      <c r="N18" s="134"/>
    </row>
    <row r="19" spans="2:14" s="2" customFormat="1">
      <c r="B19" s="418" t="s">
        <v>328</v>
      </c>
      <c r="C19" s="220" t="str">
        <f>'RFPR cover'!$C$14</f>
        <v>£m 12/13</v>
      </c>
      <c r="D19" s="613">
        <v>114.41790021853342</v>
      </c>
      <c r="E19" s="613">
        <v>116.32263777103185</v>
      </c>
      <c r="F19" s="613">
        <v>108.06369894140406</v>
      </c>
      <c r="G19" s="613">
        <v>119.18993749274635</v>
      </c>
      <c r="H19" s="613">
        <v>108.96713538751612</v>
      </c>
      <c r="I19" s="613">
        <v>102.41308327582691</v>
      </c>
      <c r="J19" s="613">
        <v>98.584258059244888</v>
      </c>
      <c r="K19" s="613">
        <v>99.842757388717658</v>
      </c>
      <c r="N19" s="134"/>
    </row>
    <row r="20" spans="2:14" s="2" customFormat="1">
      <c r="B20" s="418" t="s">
        <v>335</v>
      </c>
      <c r="C20" s="220" t="str">
        <f>'RFPR cover'!$C$14</f>
        <v>£m 12/13</v>
      </c>
      <c r="D20" s="617">
        <v>0</v>
      </c>
      <c r="E20" s="617">
        <v>0</v>
      </c>
      <c r="F20" s="617">
        <v>-18.195842821786002</v>
      </c>
      <c r="G20" s="617">
        <v>-8.0676510908282157</v>
      </c>
      <c r="H20" s="617">
        <v>0</v>
      </c>
      <c r="I20" s="617">
        <v>7.1254399999999993</v>
      </c>
      <c r="J20" s="617">
        <v>7.1254399999999993</v>
      </c>
      <c r="K20" s="617">
        <v>7.1252526181718059</v>
      </c>
      <c r="N20" s="134"/>
    </row>
    <row r="21" spans="2:14" s="2" customFormat="1">
      <c r="B21" s="417" t="s">
        <v>331</v>
      </c>
      <c r="C21" s="220" t="str">
        <f>'RFPR cover'!$C$14</f>
        <v>£m 12/13</v>
      </c>
      <c r="D21" s="742">
        <f t="shared" ref="D21:K21" si="3">SUM(D19:D20)</f>
        <v>114.41790021853342</v>
      </c>
      <c r="E21" s="743">
        <f t="shared" si="3"/>
        <v>116.32263777103185</v>
      </c>
      <c r="F21" s="743">
        <f t="shared" si="3"/>
        <v>89.867856119618054</v>
      </c>
      <c r="G21" s="743">
        <f t="shared" si="3"/>
        <v>111.12228640191813</v>
      </c>
      <c r="H21" s="743">
        <f t="shared" si="3"/>
        <v>108.96713538751612</v>
      </c>
      <c r="I21" s="743">
        <f t="shared" si="3"/>
        <v>109.5385232758269</v>
      </c>
      <c r="J21" s="743">
        <f t="shared" si="3"/>
        <v>105.70969805924489</v>
      </c>
      <c r="K21" s="744">
        <f t="shared" si="3"/>
        <v>106.96801000688946</v>
      </c>
      <c r="N21" s="134"/>
    </row>
    <row r="22" spans="2:14" s="2" customFormat="1">
      <c r="B22" s="418" t="s">
        <v>329</v>
      </c>
      <c r="C22" s="220" t="str">
        <f>'RFPR cover'!$C$14</f>
        <v>£m 12/13</v>
      </c>
      <c r="D22" s="613">
        <v>-85.111419902918968</v>
      </c>
      <c r="E22" s="613">
        <v>-86.099638162994083</v>
      </c>
      <c r="F22" s="613">
        <v>-79.748757897152487</v>
      </c>
      <c r="G22" s="613">
        <v>-78.867068739722384</v>
      </c>
      <c r="H22" s="613">
        <v>-77.371288150436285</v>
      </c>
      <c r="I22" s="613">
        <v>-76.419107351753894</v>
      </c>
      <c r="J22" s="613">
        <v>-75.65757845013303</v>
      </c>
      <c r="K22" s="613">
        <v>-74.852689920852669</v>
      </c>
      <c r="N22" s="134"/>
    </row>
    <row r="23" spans="2:14" s="2" customFormat="1">
      <c r="B23" s="418" t="s">
        <v>330</v>
      </c>
      <c r="C23" s="220" t="str">
        <f>'RFPR cover'!$C$14</f>
        <v>£m 12/13</v>
      </c>
      <c r="D23" s="617">
        <v>0</v>
      </c>
      <c r="E23" s="617">
        <v>0</v>
      </c>
      <c r="F23" s="617">
        <v>0</v>
      </c>
      <c r="G23" s="617">
        <v>0.6194351064585959</v>
      </c>
      <c r="H23" s="617">
        <v>0.71728801778264994</v>
      </c>
      <c r="I23" s="617">
        <v>0.71728801778264994</v>
      </c>
      <c r="J23" s="617">
        <v>0.53340569520200631</v>
      </c>
      <c r="K23" s="617">
        <v>0.36324593400797767</v>
      </c>
      <c r="N23" s="134"/>
    </row>
    <row r="24" spans="2:14" s="2" customFormat="1">
      <c r="B24" s="417" t="s">
        <v>332</v>
      </c>
      <c r="C24" s="220" t="str">
        <f>'RFPR cover'!$C$14</f>
        <v>£m 12/13</v>
      </c>
      <c r="D24" s="742">
        <f t="shared" ref="D24:K24" si="4">SUM(D22:D23)</f>
        <v>-85.111419902918968</v>
      </c>
      <c r="E24" s="743">
        <f t="shared" si="4"/>
        <v>-86.099638162994083</v>
      </c>
      <c r="F24" s="743">
        <f t="shared" si="4"/>
        <v>-79.748757897152487</v>
      </c>
      <c r="G24" s="743">
        <f t="shared" si="4"/>
        <v>-78.247633633263789</v>
      </c>
      <c r="H24" s="743">
        <f t="shared" si="4"/>
        <v>-76.654000132653636</v>
      </c>
      <c r="I24" s="743">
        <f t="shared" si="4"/>
        <v>-75.701819333971244</v>
      </c>
      <c r="J24" s="743">
        <f t="shared" si="4"/>
        <v>-75.124172754931024</v>
      </c>
      <c r="K24" s="744">
        <f t="shared" si="4"/>
        <v>-74.489443986844691</v>
      </c>
      <c r="N24" s="134"/>
    </row>
    <row r="25" spans="2:14" s="2" customFormat="1">
      <c r="B25" s="419" t="s">
        <v>268</v>
      </c>
      <c r="C25" s="220" t="str">
        <f>'RFPR cover'!$C$14</f>
        <v>£m 12/13</v>
      </c>
      <c r="D25" s="745"/>
      <c r="E25" s="746"/>
      <c r="F25" s="746"/>
      <c r="G25" s="746"/>
      <c r="H25" s="746"/>
      <c r="I25" s="746"/>
      <c r="J25" s="746"/>
      <c r="K25" s="747"/>
      <c r="N25" s="134"/>
    </row>
    <row r="26" spans="2:14" s="2" customFormat="1">
      <c r="B26" s="419" t="s">
        <v>268</v>
      </c>
      <c r="C26" s="220" t="str">
        <f>'RFPR cover'!$C$14</f>
        <v>£m 12/13</v>
      </c>
      <c r="D26" s="745"/>
      <c r="E26" s="746"/>
      <c r="F26" s="746"/>
      <c r="G26" s="746"/>
      <c r="H26" s="746"/>
      <c r="I26" s="746"/>
      <c r="J26" s="746"/>
      <c r="K26" s="747"/>
      <c r="N26" s="134"/>
    </row>
    <row r="27" spans="2:14" s="2" customFormat="1">
      <c r="B27" s="419" t="s">
        <v>268</v>
      </c>
      <c r="C27" s="220" t="str">
        <f>'RFPR cover'!$C$14</f>
        <v>£m 12/13</v>
      </c>
      <c r="D27" s="745"/>
      <c r="E27" s="746"/>
      <c r="F27" s="746"/>
      <c r="G27" s="746"/>
      <c r="H27" s="746"/>
      <c r="I27" s="746"/>
      <c r="J27" s="746"/>
      <c r="K27" s="747"/>
      <c r="N27" s="134"/>
    </row>
    <row r="28" spans="2:14" s="2" customFormat="1">
      <c r="B28" s="417" t="s">
        <v>333</v>
      </c>
      <c r="C28" s="220" t="str">
        <f>'RFPR cover'!$C$14</f>
        <v>£m 12/13</v>
      </c>
      <c r="D28" s="748">
        <f>SUM(D25:D27)</f>
        <v>0</v>
      </c>
      <c r="E28" s="749">
        <f t="shared" ref="E28:K28" si="5">SUM(E25:E27)</f>
        <v>0</v>
      </c>
      <c r="F28" s="749">
        <f t="shared" si="5"/>
        <v>0</v>
      </c>
      <c r="G28" s="749">
        <f t="shared" si="5"/>
        <v>0</v>
      </c>
      <c r="H28" s="749">
        <f t="shared" si="5"/>
        <v>0</v>
      </c>
      <c r="I28" s="749">
        <f t="shared" si="5"/>
        <v>0</v>
      </c>
      <c r="J28" s="749">
        <f t="shared" si="5"/>
        <v>0</v>
      </c>
      <c r="K28" s="750">
        <f t="shared" si="5"/>
        <v>0</v>
      </c>
      <c r="N28" s="134"/>
    </row>
    <row r="29" spans="2:14" s="2" customFormat="1">
      <c r="B29" s="12" t="s">
        <v>334</v>
      </c>
      <c r="C29" s="220" t="str">
        <f>'RFPR cover'!$C$14</f>
        <v>£m 12/13</v>
      </c>
      <c r="D29" s="751">
        <f>D18+D21+D24+D28</f>
        <v>870.25709511491561</v>
      </c>
      <c r="E29" s="752">
        <f t="shared" ref="E29:K29" si="6">E18+E21+E24+E28</f>
        <v>900.48009472295337</v>
      </c>
      <c r="F29" s="752">
        <f t="shared" si="6"/>
        <v>910.59919294541896</v>
      </c>
      <c r="G29" s="752">
        <f t="shared" si="6"/>
        <v>943.47384571407326</v>
      </c>
      <c r="H29" s="752">
        <f t="shared" si="6"/>
        <v>975.78698096893572</v>
      </c>
      <c r="I29" s="752">
        <f t="shared" si="6"/>
        <v>1009.6236849107914</v>
      </c>
      <c r="J29" s="752">
        <f t="shared" si="6"/>
        <v>1040.2092102151053</v>
      </c>
      <c r="K29" s="753">
        <f t="shared" si="6"/>
        <v>1072.6877762351501</v>
      </c>
      <c r="N29" s="134"/>
    </row>
    <row r="30" spans="2:14" s="2" customFormat="1">
      <c r="B30" s="12"/>
      <c r="C30" s="220"/>
      <c r="D30" s="220"/>
      <c r="E30" s="220"/>
      <c r="F30" s="220"/>
      <c r="G30" s="220"/>
      <c r="H30" s="220"/>
      <c r="I30" s="220"/>
      <c r="J30" s="220"/>
      <c r="K30" s="220"/>
      <c r="L30" s="220"/>
      <c r="N30" s="134"/>
    </row>
    <row r="31" spans="2:14" s="2" customFormat="1">
      <c r="B31" s="12" t="s">
        <v>513</v>
      </c>
      <c r="C31" s="220" t="str">
        <f>'RFPR cover'!$C$14</f>
        <v>£m 12/13</v>
      </c>
      <c r="D31" s="751">
        <f t="shared" ref="D31:K31" si="7">(D20+D23+D28)</f>
        <v>0</v>
      </c>
      <c r="E31" s="751">
        <f t="shared" si="7"/>
        <v>0</v>
      </c>
      <c r="F31" s="751">
        <f t="shared" si="7"/>
        <v>-18.195842821786002</v>
      </c>
      <c r="G31" s="751">
        <f t="shared" si="7"/>
        <v>-7.4482159843696198</v>
      </c>
      <c r="H31" s="751">
        <f t="shared" si="7"/>
        <v>0.71728801778264994</v>
      </c>
      <c r="I31" s="751">
        <f t="shared" si="7"/>
        <v>7.8427280177826493</v>
      </c>
      <c r="J31" s="751">
        <f t="shared" si="7"/>
        <v>7.6588456952020056</v>
      </c>
      <c r="K31" s="751">
        <f t="shared" si="7"/>
        <v>7.4884985521797836</v>
      </c>
      <c r="L31" s="220"/>
      <c r="N31" s="134"/>
    </row>
    <row r="32" spans="2:14" s="2" customFormat="1">
      <c r="B32" s="12" t="s">
        <v>514</v>
      </c>
      <c r="C32" s="220"/>
      <c r="D32" s="541" t="b">
        <f>IF(D5="Actuals",IF(D31&gt;=0,(D29-SUM($D$31:D31))-D11&lt;'RFPR cover'!$F$14,(D29-SUM($D$31:D31))-D11&lt;'RFPR cover'!$F$14), "NA")</f>
        <v>1</v>
      </c>
      <c r="E32" s="541" t="b">
        <f>IF(E5="Actuals",IF(E31&gt;=0,(E29-SUM($D$31:E31))-E11&lt;'RFPR cover'!$F$14,(E29-SUM($D$31:E31))-E11&lt;'RFPR cover'!$F$14), "NA")</f>
        <v>1</v>
      </c>
      <c r="F32" s="541" t="b">
        <f>IF(F5="Actuals",IF(F31&gt;=0,(F29-SUM($D$31:F31))-F11&lt;'RFPR cover'!$F$14,(F29-SUM($D$31:F31))-F11&lt;'RFPR cover'!$F$14), "NA")</f>
        <v>1</v>
      </c>
      <c r="G32" s="541" t="b">
        <f>IF(G5="Actuals",IF(G31&gt;=0,(G29-SUM($D$31:G31))-G11&lt;'RFPR cover'!$F$14,(G29-SUM($D$31:G31))-G11&lt;'RFPR cover'!$F$14), "NA")</f>
        <v>1</v>
      </c>
      <c r="H32" s="541" t="str">
        <f>IF(H5="Actuals",IF(H31&gt;=0,(H29-SUM($D$31:H31))-H11&lt;'RFPR cover'!$F$14,(H29-SUM($D$31:H31))-H11&lt;'RFPR cover'!$F$14), "NA")</f>
        <v>NA</v>
      </c>
      <c r="I32" s="541" t="str">
        <f>IF(I5="Actuals",IF(I31&gt;=0,(I29-SUM($D$31:I31))-I11&lt;'RFPR cover'!$F$14,(I29-SUM($D$31:I31))-I11&lt;'RFPR cover'!$F$14), "NA")</f>
        <v>NA</v>
      </c>
      <c r="J32" s="541" t="str">
        <f>IF(J5="Actuals",IF(J31&gt;=0,(J29-SUM($D$31:J31))-J11&lt;'RFPR cover'!$F$14,(J29-SUM($D$31:J31))-J11&lt;'RFPR cover'!$F$14), "NA")</f>
        <v>NA</v>
      </c>
      <c r="K32" s="541" t="str">
        <f>IF(K5="Actuals",IF(K31&gt;=0,(K29-SUM($D$31:K31))-K11&lt;'RFPR cover'!$F$14,(K29-SUM($D$31:K31))-K11&lt;'RFPR cover'!$F$14), "NA")</f>
        <v>NA</v>
      </c>
      <c r="L32" s="220"/>
      <c r="N32" s="134"/>
    </row>
    <row r="33" spans="2:14" s="36" customFormat="1">
      <c r="B33" s="52"/>
      <c r="C33" s="503"/>
      <c r="D33" s="504"/>
      <c r="E33" s="504"/>
      <c r="F33" s="504"/>
      <c r="G33" s="504"/>
      <c r="H33" s="504"/>
      <c r="I33" s="504"/>
      <c r="J33" s="504"/>
      <c r="K33" s="504"/>
      <c r="N33" s="235"/>
    </row>
    <row r="34" spans="2:14" s="36" customFormat="1">
      <c r="B34" s="52" t="s">
        <v>42</v>
      </c>
      <c r="C34" s="281" t="s">
        <v>127</v>
      </c>
      <c r="D34" s="114">
        <f>Data!C$35</f>
        <v>1.0677429242873198</v>
      </c>
      <c r="E34" s="114">
        <f>Data!D$35</f>
        <v>1.1033002963114336</v>
      </c>
      <c r="F34" s="114">
        <f>Data!E$35</f>
        <v>1.1402881373250229</v>
      </c>
      <c r="G34" s="114">
        <f>Data!F$35</f>
        <v>1.171554102380709</v>
      </c>
      <c r="H34" s="114">
        <f>Data!G$35</f>
        <v>1.2023073975682026</v>
      </c>
      <c r="I34" s="114">
        <f>Data!H$35</f>
        <v>1.2356714278507201</v>
      </c>
      <c r="J34" s="114">
        <f>Data!I$35</f>
        <v>1.2730504885432044</v>
      </c>
      <c r="K34" s="114">
        <f>Data!J$35</f>
        <v>1.312196791065908</v>
      </c>
      <c r="N34" s="235"/>
    </row>
    <row r="35" spans="2:14" s="32" customFormat="1">
      <c r="B35" s="38" t="s">
        <v>377</v>
      </c>
      <c r="C35" s="281" t="s">
        <v>127</v>
      </c>
      <c r="D35" s="114">
        <f>Data!C$34</f>
        <v>1.0603167467048125</v>
      </c>
      <c r="E35" s="115">
        <f>Data!D$34</f>
        <v>1.0830366813119445</v>
      </c>
      <c r="F35" s="115">
        <f>Data!E$34</f>
        <v>1.1235639113109226</v>
      </c>
      <c r="G35" s="115">
        <f>Data!F$34</f>
        <v>1.1578951670583426</v>
      </c>
      <c r="H35" s="115">
        <f>Data!G$34</f>
        <v>1.1882899151936241</v>
      </c>
      <c r="I35" s="115">
        <f>Data!H$34</f>
        <v>1.2212649603402472</v>
      </c>
      <c r="J35" s="115">
        <f>Data!I$34</f>
        <v>1.2582082253905398</v>
      </c>
      <c r="K35" s="116">
        <f>Data!J$34</f>
        <v>1.296898128321299</v>
      </c>
      <c r="L35" s="244"/>
      <c r="N35" s="222"/>
    </row>
    <row r="36" spans="2:14" s="32" customFormat="1">
      <c r="B36" s="180" t="s">
        <v>511</v>
      </c>
      <c r="C36" s="281" t="s">
        <v>127</v>
      </c>
      <c r="D36" s="895">
        <f>INDEX(Data!$F$14:$F$30,MATCH($D$6-1,Data!$C$14:$C$30,0),0)/IF('RFPR cover'!$C$6="ED1",Data!$E$17,Data!$E$14)</f>
        <v>1.0526208235414325</v>
      </c>
      <c r="E36" s="896"/>
      <c r="F36" s="896"/>
      <c r="G36" s="896"/>
      <c r="H36" s="896"/>
      <c r="I36" s="896"/>
      <c r="J36" s="896"/>
      <c r="K36" s="896"/>
      <c r="L36" s="244"/>
      <c r="N36" s="222"/>
    </row>
    <row r="37" spans="2:14" s="36" customFormat="1">
      <c r="B37" s="52"/>
      <c r="C37" s="503"/>
      <c r="D37" s="504"/>
      <c r="E37" s="504"/>
      <c r="F37" s="504"/>
      <c r="G37" s="504"/>
      <c r="H37" s="504"/>
      <c r="I37" s="504"/>
      <c r="J37" s="504"/>
      <c r="K37" s="504"/>
      <c r="N37" s="235"/>
    </row>
    <row r="38" spans="2:14" s="2" customFormat="1">
      <c r="B38" s="12" t="s">
        <v>334</v>
      </c>
      <c r="C38" s="280" t="s">
        <v>128</v>
      </c>
      <c r="D38" s="751">
        <f t="shared" ref="D38:K38" si="8">D29*D34</f>
        <v>929.21085561978816</v>
      </c>
      <c r="E38" s="751">
        <f t="shared" si="8"/>
        <v>993.49995533038225</v>
      </c>
      <c r="F38" s="751">
        <f t="shared" si="8"/>
        <v>1038.3454575734008</v>
      </c>
      <c r="G38" s="751">
        <f t="shared" si="8"/>
        <v>1105.3306544352267</v>
      </c>
      <c r="H38" s="751">
        <f t="shared" si="8"/>
        <v>1173.1959056696944</v>
      </c>
      <c r="I38" s="751">
        <f t="shared" si="8"/>
        <v>1247.5631403256232</v>
      </c>
      <c r="J38" s="751">
        <f t="shared" si="8"/>
        <v>1324.2388432514806</v>
      </c>
      <c r="K38" s="751">
        <f t="shared" si="8"/>
        <v>1407.5774577913887</v>
      </c>
      <c r="N38" s="134"/>
    </row>
    <row r="39" spans="2:14" s="2" customFormat="1">
      <c r="B39" s="12"/>
      <c r="C39" s="220"/>
      <c r="D39" s="220"/>
      <c r="E39" s="220"/>
      <c r="F39" s="220"/>
      <c r="G39" s="220"/>
      <c r="H39" s="220"/>
      <c r="I39" s="220"/>
      <c r="J39" s="220"/>
      <c r="K39" s="220"/>
      <c r="N39" s="134"/>
    </row>
    <row r="40" spans="2:14" s="2" customFormat="1">
      <c r="B40" s="532" t="s">
        <v>337</v>
      </c>
      <c r="C40" s="220" t="s">
        <v>340</v>
      </c>
      <c r="D40" s="434">
        <f>INDEX(Data!$K$73:$T$100,MATCH('RFPR cover'!$C$5,Data!$B$73:$B$100,0),MATCH('R9 - RAV'!D$6,Data!$K$72:$T$72,0))</f>
        <v>2.5499999999999998E-2</v>
      </c>
      <c r="E40" s="435">
        <f>INDEX(Data!$K$73:$T$100,MATCH('RFPR cover'!$C$5,Data!$B$73:$B$100,0),MATCH('R9 - RAV'!E$6,Data!$K$72:$T$72,0))</f>
        <v>2.3799999999999998E-2</v>
      </c>
      <c r="F40" s="435">
        <f>INDEX(Data!$K$73:$T$100,MATCH('RFPR cover'!$C$5,Data!$B$73:$B$100,0),MATCH('R9 - RAV'!F$6,Data!$K$72:$T$72,0))</f>
        <v>2.2200000000000001E-2</v>
      </c>
      <c r="G40" s="435">
        <f>INDEX(Data!$K$73:$T$100,MATCH('RFPR cover'!$C$5,Data!$B$73:$B$100,0),MATCH('R9 - RAV'!G$6,Data!$K$72:$T$72,0))</f>
        <v>1.9099999999999999E-2</v>
      </c>
      <c r="H40" s="435">
        <f>INDEX(Data!$K$73:$T$100,MATCH('RFPR cover'!$C$5,Data!$B$73:$B$100,0),MATCH('R9 - RAV'!H$6,Data!$K$72:$T$72,0))</f>
        <v>1.5800000000000002E-2</v>
      </c>
      <c r="I40" s="435">
        <f>INDEX(Data!$K$73:$T$100,MATCH('RFPR cover'!$C$5,Data!$B$73:$B$100,0),MATCH('R9 - RAV'!I$6,Data!$K$72:$T$72,0))</f>
        <v>1.1399999999999999E-2</v>
      </c>
      <c r="J40" s="435">
        <f>INDEX(Data!$K$73:$T$100,MATCH('RFPR cover'!$C$5,Data!$B$73:$B$100,0),MATCH('R9 - RAV'!J$6,Data!$K$72:$T$72,0))</f>
        <v>9.1999999999999998E-3</v>
      </c>
      <c r="K40" s="436">
        <f>INDEX(Data!$K$73:$T$100,MATCH('RFPR cover'!$C$5,Data!$B$73:$B$100,0),MATCH('R9 - RAV'!K$6,Data!$K$72:$T$72,0))</f>
        <v>7.1999999999999998E-3</v>
      </c>
      <c r="N40" s="134"/>
    </row>
    <row r="41" spans="2:14" s="2" customFormat="1">
      <c r="B41" s="532" t="s">
        <v>338</v>
      </c>
      <c r="C41" s="220" t="s">
        <v>340</v>
      </c>
      <c r="D41" s="437">
        <f>'RFPR cover'!$C$10</f>
        <v>6.4000000000000001E-2</v>
      </c>
      <c r="E41" s="438">
        <f>'RFPR cover'!$C$10</f>
        <v>6.4000000000000001E-2</v>
      </c>
      <c r="F41" s="438">
        <f>'RFPR cover'!$C$10</f>
        <v>6.4000000000000001E-2</v>
      </c>
      <c r="G41" s="438">
        <f>'RFPR cover'!$C$10</f>
        <v>6.4000000000000001E-2</v>
      </c>
      <c r="H41" s="438">
        <f>'RFPR cover'!$C$10</f>
        <v>6.4000000000000001E-2</v>
      </c>
      <c r="I41" s="438">
        <f>'RFPR cover'!$C$10</f>
        <v>6.4000000000000001E-2</v>
      </c>
      <c r="J41" s="438">
        <f>'RFPR cover'!$C$10</f>
        <v>6.4000000000000001E-2</v>
      </c>
      <c r="K41" s="439">
        <f>'RFPR cover'!$C$10</f>
        <v>6.4000000000000001E-2</v>
      </c>
      <c r="N41" s="134"/>
    </row>
    <row r="42" spans="2:14" s="2" customFormat="1">
      <c r="B42" s="532" t="s">
        <v>339</v>
      </c>
      <c r="C42" s="220" t="s">
        <v>7</v>
      </c>
      <c r="D42" s="440">
        <f>'RFPR cover'!$C$12</f>
        <v>0.65</v>
      </c>
      <c r="E42" s="441">
        <f>'RFPR cover'!$C$12</f>
        <v>0.65</v>
      </c>
      <c r="F42" s="441">
        <f>'RFPR cover'!$C$12</f>
        <v>0.65</v>
      </c>
      <c r="G42" s="441">
        <f>'RFPR cover'!$C$12</f>
        <v>0.65</v>
      </c>
      <c r="H42" s="441">
        <f>'RFPR cover'!$C$12</f>
        <v>0.65</v>
      </c>
      <c r="I42" s="441">
        <f>'RFPR cover'!$C$12</f>
        <v>0.65</v>
      </c>
      <c r="J42" s="441">
        <f>'RFPR cover'!$C$12</f>
        <v>0.65</v>
      </c>
      <c r="K42" s="442">
        <f>'RFPR cover'!$C$12</f>
        <v>0.65</v>
      </c>
      <c r="N42" s="134"/>
    </row>
    <row r="43" spans="2:14">
      <c r="B43" s="210" t="s">
        <v>273</v>
      </c>
      <c r="C43" s="420" t="s">
        <v>340</v>
      </c>
      <c r="D43" s="431">
        <f t="shared" ref="D43:K43" si="9">D40*D42+D41*(1-D42)</f>
        <v>3.8974999999999996E-2</v>
      </c>
      <c r="E43" s="432">
        <f t="shared" si="9"/>
        <v>3.7870000000000001E-2</v>
      </c>
      <c r="F43" s="432">
        <f t="shared" si="9"/>
        <v>3.6830000000000002E-2</v>
      </c>
      <c r="G43" s="432">
        <f t="shared" si="9"/>
        <v>3.4814999999999999E-2</v>
      </c>
      <c r="H43" s="432">
        <f t="shared" si="9"/>
        <v>3.2670000000000005E-2</v>
      </c>
      <c r="I43" s="432">
        <f t="shared" si="9"/>
        <v>2.981E-2</v>
      </c>
      <c r="J43" s="432">
        <f t="shared" si="9"/>
        <v>2.8379999999999999E-2</v>
      </c>
      <c r="K43" s="433">
        <f t="shared" si="9"/>
        <v>2.708E-2</v>
      </c>
      <c r="L43" s="221"/>
    </row>
    <row r="44" spans="2:14">
      <c r="C44" s="233"/>
      <c r="D44" s="228"/>
      <c r="E44" s="228"/>
      <c r="F44" s="228"/>
      <c r="G44" s="228"/>
      <c r="H44" s="228"/>
      <c r="I44" s="228"/>
      <c r="J44" s="228"/>
      <c r="K44" s="228"/>
    </row>
    <row r="45" spans="2:14">
      <c r="B45" s="392" t="s">
        <v>341</v>
      </c>
      <c r="C45" s="420" t="str">
        <f>'RFPR cover'!$C$14</f>
        <v>£m 12/13</v>
      </c>
      <c r="D45" s="97">
        <f t="shared" ref="D45:K45" si="10">D47*D42</f>
        <v>545.53258937025078</v>
      </c>
      <c r="E45" s="98">
        <f t="shared" si="10"/>
        <v>564.81109720842494</v>
      </c>
      <c r="F45" s="98">
        <f t="shared" si="10"/>
        <v>578.08829808746964</v>
      </c>
      <c r="G45" s="98">
        <f t="shared" si="10"/>
        <v>592.25760508652581</v>
      </c>
      <c r="H45" s="98">
        <f t="shared" si="10"/>
        <v>613.72688089835913</v>
      </c>
      <c r="I45" s="98">
        <f t="shared" si="10"/>
        <v>635.76012529426168</v>
      </c>
      <c r="J45" s="98">
        <f t="shared" si="10"/>
        <v>656.86609519213823</v>
      </c>
      <c r="K45" s="99">
        <f t="shared" si="10"/>
        <v>677.49970971631819</v>
      </c>
    </row>
    <row r="46" spans="2:14">
      <c r="B46" s="392" t="s">
        <v>232</v>
      </c>
      <c r="C46" s="420" t="str">
        <f>'RFPR cover'!$C$14</f>
        <v>£m 12/13</v>
      </c>
      <c r="D46" s="546">
        <f t="shared" ref="D46:K46" si="11">D47*(1-D42)</f>
        <v>293.74831735321192</v>
      </c>
      <c r="E46" s="547">
        <f t="shared" si="11"/>
        <v>304.12905234299802</v>
      </c>
      <c r="F46" s="547">
        <f t="shared" si="11"/>
        <v>311.27831435479129</v>
      </c>
      <c r="G46" s="547">
        <f t="shared" si="11"/>
        <v>318.90794120043694</v>
      </c>
      <c r="H46" s="547">
        <f t="shared" si="11"/>
        <v>330.46832048373182</v>
      </c>
      <c r="I46" s="547">
        <f t="shared" si="11"/>
        <v>342.3323751584486</v>
      </c>
      <c r="J46" s="547">
        <f t="shared" si="11"/>
        <v>353.69712818038209</v>
      </c>
      <c r="K46" s="548">
        <f t="shared" si="11"/>
        <v>364.80753600109438</v>
      </c>
    </row>
    <row r="47" spans="2:14">
      <c r="B47" s="210" t="s">
        <v>231</v>
      </c>
      <c r="C47" s="220" t="str">
        <f>'RFPR cover'!$C$14</f>
        <v>£m 12/13</v>
      </c>
      <c r="D47" s="104">
        <f t="shared" ref="D47:K47" si="12">AVERAGE(D16,D29*(1/(1+D43)))</f>
        <v>839.28090672346275</v>
      </c>
      <c r="E47" s="105">
        <f t="shared" si="12"/>
        <v>868.94014955142302</v>
      </c>
      <c r="F47" s="105">
        <f t="shared" si="12"/>
        <v>889.36661244226093</v>
      </c>
      <c r="G47" s="105">
        <f t="shared" si="12"/>
        <v>911.16554628696281</v>
      </c>
      <c r="H47" s="105">
        <f t="shared" si="12"/>
        <v>944.195201382091</v>
      </c>
      <c r="I47" s="105">
        <f t="shared" si="12"/>
        <v>978.09250045271028</v>
      </c>
      <c r="J47" s="105">
        <f t="shared" si="12"/>
        <v>1010.5632233725203</v>
      </c>
      <c r="K47" s="106">
        <f t="shared" si="12"/>
        <v>1042.3072457174126</v>
      </c>
      <c r="N47" s="224"/>
    </row>
    <row r="48" spans="2:14">
      <c r="B48" s="210"/>
      <c r="C48" s="220"/>
      <c r="D48" s="220"/>
      <c r="E48" s="220"/>
      <c r="F48" s="220"/>
      <c r="G48" s="220"/>
      <c r="H48" s="220"/>
      <c r="I48" s="220"/>
      <c r="J48" s="220"/>
      <c r="K48" s="220"/>
      <c r="N48" s="224"/>
    </row>
    <row r="49" spans="2:14">
      <c r="B49" s="392" t="s">
        <v>342</v>
      </c>
      <c r="C49" s="420" t="str">
        <f>'RFPR cover'!$C$14</f>
        <v>£m 12/13</v>
      </c>
      <c r="D49" s="754">
        <f>D40*D45</f>
        <v>13.911081028941394</v>
      </c>
      <c r="E49" s="755">
        <f t="shared" ref="D49:K50" si="13">E40*E45</f>
        <v>13.442504113560513</v>
      </c>
      <c r="F49" s="755">
        <f t="shared" si="13"/>
        <v>12.833560217541827</v>
      </c>
      <c r="G49" s="755">
        <f t="shared" si="13"/>
        <v>11.312120257152642</v>
      </c>
      <c r="H49" s="755">
        <f t="shared" si="13"/>
        <v>9.6968847181940756</v>
      </c>
      <c r="I49" s="755">
        <f t="shared" si="13"/>
        <v>7.2476654283545825</v>
      </c>
      <c r="J49" s="755">
        <f t="shared" si="13"/>
        <v>6.0431680757676718</v>
      </c>
      <c r="K49" s="756">
        <f t="shared" si="13"/>
        <v>4.8779979099574913</v>
      </c>
    </row>
    <row r="50" spans="2:14">
      <c r="B50" s="392" t="s">
        <v>229</v>
      </c>
      <c r="C50" s="420" t="str">
        <f>'RFPR cover'!$C$14</f>
        <v>£m 12/13</v>
      </c>
      <c r="D50" s="94">
        <f t="shared" si="13"/>
        <v>18.799892310605564</v>
      </c>
      <c r="E50" s="95">
        <f t="shared" si="13"/>
        <v>19.464259349951874</v>
      </c>
      <c r="F50" s="95">
        <f t="shared" si="13"/>
        <v>19.921812118706644</v>
      </c>
      <c r="G50" s="95">
        <f t="shared" si="13"/>
        <v>20.410108236827963</v>
      </c>
      <c r="H50" s="95">
        <f t="shared" si="13"/>
        <v>21.149972510958836</v>
      </c>
      <c r="I50" s="95">
        <f t="shared" si="13"/>
        <v>21.909272010140711</v>
      </c>
      <c r="J50" s="95">
        <f t="shared" si="13"/>
        <v>22.636616203544456</v>
      </c>
      <c r="K50" s="96">
        <f t="shared" si="13"/>
        <v>23.347682304070041</v>
      </c>
      <c r="N50" s="224"/>
    </row>
    <row r="51" spans="2:14">
      <c r="B51" s="210" t="s">
        <v>344</v>
      </c>
      <c r="C51" s="420" t="str">
        <f>'RFPR cover'!$C$14</f>
        <v>£m 12/13</v>
      </c>
      <c r="D51" s="104">
        <f>SUM(D49:D50)</f>
        <v>32.71097333954696</v>
      </c>
      <c r="E51" s="105">
        <f t="shared" ref="E51:K51" si="14">SUM(E49:E50)</f>
        <v>32.906763463512391</v>
      </c>
      <c r="F51" s="105">
        <f t="shared" si="14"/>
        <v>32.75537233624847</v>
      </c>
      <c r="G51" s="105">
        <f t="shared" si="14"/>
        <v>31.722228493980605</v>
      </c>
      <c r="H51" s="105">
        <f t="shared" si="14"/>
        <v>30.84685722915291</v>
      </c>
      <c r="I51" s="105">
        <f t="shared" si="14"/>
        <v>29.156937438495294</v>
      </c>
      <c r="J51" s="105">
        <f t="shared" si="14"/>
        <v>28.679784279312127</v>
      </c>
      <c r="K51" s="106">
        <f t="shared" si="14"/>
        <v>28.225680214027534</v>
      </c>
      <c r="N51" s="224"/>
    </row>
    <row r="53" spans="2:14" s="32" customFormat="1">
      <c r="B53" s="392" t="s">
        <v>341</v>
      </c>
      <c r="C53" s="280" t="s">
        <v>128</v>
      </c>
      <c r="D53" s="97">
        <f t="shared" ref="D53:K54" si="15">D$35*D45</f>
        <v>578.43734038251671</v>
      </c>
      <c r="E53" s="98">
        <f t="shared" si="15"/>
        <v>611.7111362887706</v>
      </c>
      <c r="F53" s="98">
        <f t="shared" si="15"/>
        <v>649.51914928223187</v>
      </c>
      <c r="G53" s="98">
        <f t="shared" si="15"/>
        <v>685.77221858323674</v>
      </c>
      <c r="H53" s="98">
        <f t="shared" si="15"/>
        <v>729.28546325475861</v>
      </c>
      <c r="I53" s="98">
        <f t="shared" si="15"/>
        <v>776.43156420340711</v>
      </c>
      <c r="J53" s="98">
        <f t="shared" si="15"/>
        <v>826.47432395091357</v>
      </c>
      <c r="K53" s="99">
        <f t="shared" si="15"/>
        <v>878.64810546931642</v>
      </c>
      <c r="L53" s="244"/>
      <c r="N53" s="222"/>
    </row>
    <row r="54" spans="2:14" s="32" customFormat="1">
      <c r="B54" s="392" t="s">
        <v>232</v>
      </c>
      <c r="C54" s="280" t="s">
        <v>128</v>
      </c>
      <c r="D54" s="546">
        <f t="shared" si="15"/>
        <v>311.46626020597046</v>
      </c>
      <c r="E54" s="547">
        <f t="shared" si="15"/>
        <v>329.38291954010725</v>
      </c>
      <c r="F54" s="547">
        <f t="shared" si="15"/>
        <v>349.74108038274022</v>
      </c>
      <c r="G54" s="547">
        <f t="shared" si="15"/>
        <v>369.26196385251205</v>
      </c>
      <c r="H54" s="547">
        <f t="shared" si="15"/>
        <v>392.69217252179311</v>
      </c>
      <c r="I54" s="547">
        <f t="shared" si="15"/>
        <v>418.07853457106535</v>
      </c>
      <c r="J54" s="547">
        <f t="shared" si="15"/>
        <v>445.02463597356882</v>
      </c>
      <c r="K54" s="548">
        <f t="shared" si="15"/>
        <v>473.11821063732418</v>
      </c>
      <c r="L54" s="244"/>
      <c r="N54" s="222"/>
    </row>
    <row r="55" spans="2:14">
      <c r="B55" s="210" t="s">
        <v>343</v>
      </c>
      <c r="C55" s="280" t="s">
        <v>128</v>
      </c>
      <c r="D55" s="757">
        <f>SUM(D53:D54)</f>
        <v>889.90360058848717</v>
      </c>
      <c r="E55" s="758">
        <f t="shared" ref="E55:K55" si="16">SUM(E53:E54)</f>
        <v>941.0940558288778</v>
      </c>
      <c r="F55" s="758">
        <f t="shared" si="16"/>
        <v>999.26022966497203</v>
      </c>
      <c r="G55" s="758">
        <f t="shared" si="16"/>
        <v>1055.0341824357488</v>
      </c>
      <c r="H55" s="758">
        <f t="shared" si="16"/>
        <v>1121.9776357765518</v>
      </c>
      <c r="I55" s="758">
        <f t="shared" si="16"/>
        <v>1194.5100987744725</v>
      </c>
      <c r="J55" s="758">
        <f t="shared" si="16"/>
        <v>1271.4989599244823</v>
      </c>
      <c r="K55" s="759">
        <f t="shared" si="16"/>
        <v>1351.7663161066407</v>
      </c>
    </row>
    <row r="56" spans="2:14" s="32" customFormat="1">
      <c r="B56" s="210"/>
      <c r="C56" s="220"/>
      <c r="D56" s="220"/>
      <c r="E56" s="220"/>
      <c r="F56" s="220"/>
      <c r="G56" s="220"/>
      <c r="H56" s="220"/>
      <c r="I56" s="220"/>
      <c r="J56" s="220"/>
      <c r="K56" s="220"/>
      <c r="L56" s="244"/>
      <c r="N56" s="222"/>
    </row>
    <row r="57" spans="2:14" s="32" customFormat="1">
      <c r="B57" s="392" t="s">
        <v>342</v>
      </c>
      <c r="C57" s="280" t="s">
        <v>128</v>
      </c>
      <c r="D57" s="97">
        <f t="shared" ref="D57:K58" si="17">D$35*D49</f>
        <v>14.750152179754174</v>
      </c>
      <c r="E57" s="98">
        <f t="shared" si="17"/>
        <v>14.558725043672741</v>
      </c>
      <c r="F57" s="98">
        <f t="shared" si="17"/>
        <v>14.419325114065549</v>
      </c>
      <c r="G57" s="98">
        <f t="shared" si="17"/>
        <v>13.098249374939821</v>
      </c>
      <c r="H57" s="98">
        <f t="shared" si="17"/>
        <v>11.522710319425189</v>
      </c>
      <c r="I57" s="98">
        <f t="shared" si="17"/>
        <v>8.8513198319188398</v>
      </c>
      <c r="J57" s="98">
        <f t="shared" si="17"/>
        <v>7.6035637803484057</v>
      </c>
      <c r="K57" s="99">
        <f t="shared" si="17"/>
        <v>6.3262663593790789</v>
      </c>
      <c r="L57" s="244"/>
      <c r="N57" s="222"/>
    </row>
    <row r="58" spans="2:14">
      <c r="B58" s="392" t="s">
        <v>238</v>
      </c>
      <c r="C58" s="280" t="s">
        <v>128</v>
      </c>
      <c r="D58" s="760">
        <f t="shared" si="17"/>
        <v>19.933840653182113</v>
      </c>
      <c r="E58" s="761">
        <f t="shared" si="17"/>
        <v>21.080506850566863</v>
      </c>
      <c r="F58" s="761">
        <f t="shared" si="17"/>
        <v>22.383429144495373</v>
      </c>
      <c r="G58" s="761">
        <f t="shared" si="17"/>
        <v>23.63276568656077</v>
      </c>
      <c r="H58" s="761">
        <f t="shared" si="17"/>
        <v>25.132299041394756</v>
      </c>
      <c r="I58" s="761">
        <f t="shared" si="17"/>
        <v>26.757026212548183</v>
      </c>
      <c r="J58" s="761">
        <f t="shared" si="17"/>
        <v>28.481576702308409</v>
      </c>
      <c r="K58" s="762">
        <f t="shared" si="17"/>
        <v>30.279565480788751</v>
      </c>
    </row>
    <row r="59" spans="2:14">
      <c r="B59" s="210" t="s">
        <v>344</v>
      </c>
      <c r="C59" s="280" t="s">
        <v>128</v>
      </c>
      <c r="D59" s="104">
        <f t="shared" ref="D59:K59" si="18">SUM(D57:D58)</f>
        <v>34.683992832936283</v>
      </c>
      <c r="E59" s="105">
        <f t="shared" si="18"/>
        <v>35.6392318942396</v>
      </c>
      <c r="F59" s="105">
        <f t="shared" si="18"/>
        <v>36.802754258560924</v>
      </c>
      <c r="G59" s="105">
        <f t="shared" si="18"/>
        <v>36.731015061500592</v>
      </c>
      <c r="H59" s="105">
        <f t="shared" si="18"/>
        <v>36.655009360819946</v>
      </c>
      <c r="I59" s="105">
        <f t="shared" si="18"/>
        <v>35.608346044467027</v>
      </c>
      <c r="J59" s="105">
        <f t="shared" si="18"/>
        <v>36.085140482656811</v>
      </c>
      <c r="K59" s="106">
        <f t="shared" si="18"/>
        <v>36.605831840167831</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8" priority="13">
      <formula>AND(D$5="Actuals",E$5="Forecast")</formula>
    </cfRule>
  </conditionalFormatting>
  <conditionalFormatting sqref="D5:K5">
    <cfRule type="expression" dxfId="27"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2" customFormat="1" ht="20.25">
      <c r="A1" s="268" t="s">
        <v>261</v>
      </c>
      <c r="B1" s="269"/>
      <c r="C1" s="269"/>
      <c r="D1" s="269"/>
      <c r="E1" s="269"/>
      <c r="F1" s="269"/>
      <c r="G1" s="269"/>
      <c r="H1" s="269"/>
      <c r="I1" s="270"/>
      <c r="J1" s="270"/>
      <c r="K1" s="271"/>
      <c r="L1" s="272"/>
    </row>
    <row r="2" spans="1:13" s="32" customFormat="1" ht="20.25">
      <c r="A2" s="126" t="str">
        <f>'RFPR cover'!C5</f>
        <v>WPD-SWALES</v>
      </c>
      <c r="B2" s="30"/>
      <c r="C2" s="30"/>
      <c r="D2" s="30"/>
      <c r="E2" s="30"/>
      <c r="F2" s="30"/>
      <c r="G2" s="30"/>
      <c r="H2" s="30"/>
      <c r="I2" s="27"/>
      <c r="J2" s="27"/>
      <c r="K2" s="27"/>
      <c r="L2" s="127"/>
    </row>
    <row r="3" spans="1:13" s="32" customFormat="1" ht="20.25">
      <c r="A3" s="273">
        <f>'RFPR cover'!C7</f>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3"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3" s="36" customFormat="1">
      <c r="D7" s="455"/>
      <c r="E7" s="455"/>
      <c r="F7" s="455"/>
      <c r="G7" s="455"/>
      <c r="H7" s="455"/>
      <c r="I7" s="455"/>
      <c r="J7" s="455"/>
      <c r="K7" s="455"/>
    </row>
    <row r="8" spans="1:13" s="2" customFormat="1">
      <c r="B8" s="389" t="s">
        <v>367</v>
      </c>
      <c r="C8" s="308"/>
      <c r="D8" s="308"/>
      <c r="E8" s="308"/>
      <c r="F8" s="308"/>
      <c r="G8" s="308"/>
      <c r="H8" s="308"/>
      <c r="I8" s="308"/>
      <c r="J8" s="308"/>
      <c r="K8" s="308"/>
      <c r="L8" s="308"/>
    </row>
    <row r="9" spans="1:13" s="2" customFormat="1">
      <c r="B9" s="389" t="s">
        <v>472</v>
      </c>
      <c r="C9" s="308"/>
      <c r="D9" s="308"/>
      <c r="E9" s="308"/>
      <c r="F9" s="308"/>
      <c r="G9" s="308"/>
      <c r="H9" s="308"/>
      <c r="I9" s="308"/>
      <c r="J9" s="308"/>
      <c r="K9" s="308"/>
      <c r="L9" s="308"/>
    </row>
    <row r="10" spans="1:13" s="2" customFormat="1">
      <c r="B10" s="389" t="s">
        <v>368</v>
      </c>
      <c r="C10" s="308"/>
      <c r="D10" s="308"/>
      <c r="E10" s="308"/>
      <c r="F10" s="308"/>
      <c r="G10" s="308"/>
      <c r="H10" s="308"/>
      <c r="I10" s="308"/>
      <c r="J10" s="308"/>
      <c r="K10" s="308"/>
      <c r="L10" s="308"/>
    </row>
    <row r="11" spans="1:13" s="36" customFormat="1">
      <c r="B11" s="454"/>
    </row>
    <row r="12" spans="1:13">
      <c r="B12" s="209" t="s">
        <v>535</v>
      </c>
      <c r="C12" s="280" t="s">
        <v>128</v>
      </c>
      <c r="D12" s="665">
        <v>1.0509999999999999</v>
      </c>
      <c r="E12" s="665">
        <v>0</v>
      </c>
      <c r="F12" s="666">
        <v>14.031690000000003</v>
      </c>
      <c r="G12" s="666"/>
      <c r="H12" s="666"/>
      <c r="I12" s="666"/>
      <c r="J12" s="666"/>
      <c r="K12" s="667"/>
    </row>
    <row r="13" spans="1:13">
      <c r="B13" s="14"/>
      <c r="C13" s="14"/>
      <c r="D13" s="763"/>
      <c r="E13" s="763"/>
      <c r="F13" s="763"/>
      <c r="G13" s="763"/>
      <c r="H13" s="763"/>
      <c r="I13" s="763"/>
      <c r="J13" s="763"/>
      <c r="K13" s="763"/>
    </row>
    <row r="14" spans="1:13">
      <c r="B14" s="14" t="s">
        <v>471</v>
      </c>
      <c r="C14" s="280"/>
      <c r="D14" s="763"/>
      <c r="E14" s="763"/>
      <c r="F14" s="763"/>
      <c r="G14" s="763"/>
      <c r="H14" s="763"/>
      <c r="I14" s="763"/>
      <c r="J14" s="763"/>
      <c r="K14" s="763"/>
    </row>
    <row r="15" spans="1:13">
      <c r="B15" s="390" t="s">
        <v>493</v>
      </c>
      <c r="C15" s="280" t="s">
        <v>128</v>
      </c>
      <c r="D15" s="621"/>
      <c r="E15" s="622"/>
      <c r="F15" s="622"/>
      <c r="G15" s="622"/>
      <c r="H15" s="622"/>
      <c r="I15" s="622"/>
      <c r="J15" s="622"/>
      <c r="K15" s="632"/>
    </row>
    <row r="16" spans="1:13">
      <c r="B16" s="456" t="s">
        <v>138</v>
      </c>
      <c r="C16" s="280" t="s">
        <v>128</v>
      </c>
      <c r="D16" s="621">
        <v>0.25949126993339966</v>
      </c>
      <c r="E16" s="621">
        <v>0.23444121365650045</v>
      </c>
      <c r="F16" s="622">
        <v>0.18499417522007722</v>
      </c>
      <c r="G16" s="622"/>
      <c r="H16" s="622"/>
      <c r="I16" s="622"/>
      <c r="J16" s="622"/>
      <c r="K16" s="632"/>
    </row>
    <row r="17" spans="2:12">
      <c r="B17" s="456" t="s">
        <v>139</v>
      </c>
      <c r="C17" s="280" t="s">
        <v>128</v>
      </c>
      <c r="D17" s="621">
        <v>-0.20580822806639709</v>
      </c>
      <c r="E17" s="621">
        <v>-0.11053038460974707</v>
      </c>
      <c r="F17" s="622">
        <v>-0.23786950614577179</v>
      </c>
      <c r="G17" s="622"/>
      <c r="H17" s="622"/>
      <c r="I17" s="622"/>
      <c r="J17" s="622"/>
      <c r="K17" s="632"/>
    </row>
    <row r="18" spans="2:12">
      <c r="B18" s="456" t="s">
        <v>142</v>
      </c>
      <c r="C18" s="280" t="s">
        <v>128</v>
      </c>
      <c r="D18" s="621">
        <v>-2.112458170800087E-2</v>
      </c>
      <c r="E18" s="621">
        <v>-2.5728692625986718E-2</v>
      </c>
      <c r="F18" s="622">
        <v>8.5499096849420947E-2</v>
      </c>
      <c r="G18" s="622"/>
      <c r="H18" s="622"/>
      <c r="I18" s="622"/>
      <c r="J18" s="622"/>
      <c r="K18" s="632"/>
    </row>
    <row r="19" spans="2:12">
      <c r="B19" s="282" t="s">
        <v>369</v>
      </c>
      <c r="C19" s="280" t="s">
        <v>128</v>
      </c>
      <c r="D19" s="764">
        <f>SUM(D15:D18)</f>
        <v>3.2558460159001698E-2</v>
      </c>
      <c r="E19" s="765">
        <f t="shared" ref="E19:K19" si="1">SUM(E15:E18)</f>
        <v>9.8182136420766661E-2</v>
      </c>
      <c r="F19" s="765">
        <f t="shared" si="1"/>
        <v>3.2623765923726372E-2</v>
      </c>
      <c r="G19" s="765">
        <f t="shared" si="1"/>
        <v>0</v>
      </c>
      <c r="H19" s="765">
        <f t="shared" si="1"/>
        <v>0</v>
      </c>
      <c r="I19" s="765">
        <f t="shared" si="1"/>
        <v>0</v>
      </c>
      <c r="J19" s="765">
        <f t="shared" si="1"/>
        <v>0</v>
      </c>
      <c r="K19" s="766">
        <f t="shared" si="1"/>
        <v>0</v>
      </c>
    </row>
    <row r="20" spans="2:12" s="32" customFormat="1">
      <c r="B20" s="390"/>
      <c r="C20" s="390"/>
      <c r="D20" s="767"/>
      <c r="E20" s="767"/>
      <c r="F20" s="767"/>
      <c r="G20" s="767"/>
      <c r="H20" s="767"/>
      <c r="I20" s="767"/>
      <c r="J20" s="767"/>
      <c r="K20" s="767"/>
      <c r="L20" s="390"/>
    </row>
    <row r="21" spans="2:12">
      <c r="B21" s="14" t="s">
        <v>333</v>
      </c>
      <c r="C21" s="280"/>
      <c r="D21" s="768"/>
      <c r="E21" s="768"/>
      <c r="F21" s="768"/>
      <c r="G21" s="768"/>
      <c r="H21" s="768"/>
      <c r="I21" s="768"/>
      <c r="J21" s="768"/>
      <c r="K21" s="768"/>
      <c r="L21" s="280"/>
    </row>
    <row r="22" spans="2:12">
      <c r="B22" s="390" t="s">
        <v>494</v>
      </c>
      <c r="C22" s="280" t="s">
        <v>128</v>
      </c>
      <c r="D22" s="882">
        <f>('R5 - Output Incentives'!D102)*INDEX(Data!$G$14:$G$30,MATCH('R10 - Tax'!D$6,Data!$C$14:$C$30,0),1)</f>
        <v>1.2753731118599998</v>
      </c>
      <c r="E22" s="883">
        <f>('R5 - Output Incentives'!E102)*INDEX(Data!$G$14:$G$30,MATCH('R10 - Tax'!E$6,Data!$C$14:$C$30,0),1)</f>
        <v>1.2764827392158873</v>
      </c>
      <c r="F22" s="883">
        <f>('R5 - Output Incentives'!F102)*INDEX(Data!$G$14:$G$30,MATCH('R10 - Tax'!F$6,Data!$C$14:$C$30,0),1)</f>
        <v>1.612929441867393</v>
      </c>
      <c r="G22" s="883">
        <f>('R5 - Output Incentives'!G102)*INDEX(Data!$G$14:$G$30,MATCH('R10 - Tax'!G$6,Data!$C$14:$C$30,0),1)</f>
        <v>1.7544266047794728</v>
      </c>
      <c r="H22" s="885">
        <f>('R5 - Output Incentives'!H102)*INDEX(Data!$G$14:$G$30,MATCH('R10 - Tax'!H$6,Data!$C$14:$C$30,0),1)</f>
        <v>1.3532235799046837</v>
      </c>
      <c r="I22" s="885">
        <f>('R5 - Output Incentives'!I102)*INDEX(Data!$G$14:$G$30,MATCH('R10 - Tax'!I$6,Data!$C$14:$C$30,0),1)</f>
        <v>1.7588875952548582</v>
      </c>
      <c r="J22" s="885">
        <f>('R5 - Output Incentives'!J102)*INDEX(Data!$G$14:$G$30,MATCH('R10 - Tax'!J$6,Data!$C$14:$C$30,0),1)</f>
        <v>1.5331280415989521</v>
      </c>
      <c r="K22" s="886">
        <f>('R5 - Output Incentives'!K102)*INDEX(Data!$G$14:$G$30,MATCH('R10 - Tax'!K$6,Data!$C$14:$C$30,0),1)</f>
        <v>1.5424075694237087</v>
      </c>
    </row>
    <row r="23" spans="2:12">
      <c r="B23" s="390" t="s">
        <v>495</v>
      </c>
      <c r="C23" s="280" t="s">
        <v>128</v>
      </c>
      <c r="D23" s="625">
        <f>('R4 - Totex'!D77-'R4 - Totex'!D79)*D40</f>
        <v>0.77961142752221713</v>
      </c>
      <c r="E23" s="627">
        <f>('R4 - Totex'!E77-'R4 - Totex'!E79)*E40</f>
        <v>0.79599623948432419</v>
      </c>
      <c r="F23" s="627">
        <f>('R4 - Totex'!F77-'R4 - Totex'!F79)*F40</f>
        <v>0.74713861209906762</v>
      </c>
      <c r="G23" s="627">
        <f>('R4 - Totex'!G77-'R4 - Totex'!G79)*G40</f>
        <v>0.81943112472246948</v>
      </c>
      <c r="H23" s="887">
        <f>('R4 - Totex'!H77-'R4 - Totex'!H79)*H40</f>
        <v>0.77038385951104438</v>
      </c>
      <c r="I23" s="887">
        <f>('R4 - Totex'!I77-'R4 - Totex'!I79)*I40</f>
        <v>0.71008997504788041</v>
      </c>
      <c r="J23" s="887">
        <f>('R4 - Totex'!J77-'R4 - Totex'!J79)*J40</f>
        <v>0.70700021231485144</v>
      </c>
      <c r="K23" s="888">
        <f>('R4 - Totex'!K77-'R4 - Totex'!K79)*K40</f>
        <v>0.7415220683510868</v>
      </c>
    </row>
    <row r="24" spans="2:12">
      <c r="B24" s="390" t="s">
        <v>496</v>
      </c>
      <c r="C24" s="280" t="s">
        <v>128</v>
      </c>
      <c r="D24" s="623">
        <v>-0.64702315347356731</v>
      </c>
      <c r="E24" s="623">
        <v>2.5913933053192895</v>
      </c>
      <c r="F24" s="624">
        <v>-0.44480754548425061</v>
      </c>
      <c r="G24" s="624"/>
      <c r="H24" s="624"/>
      <c r="I24" s="624"/>
      <c r="J24" s="624"/>
      <c r="K24" s="633"/>
    </row>
    <row r="25" spans="2:12">
      <c r="B25" s="390" t="s">
        <v>497</v>
      </c>
      <c r="C25" s="280" t="s">
        <v>128</v>
      </c>
      <c r="D25" s="623"/>
      <c r="E25" s="623"/>
      <c r="F25" s="624"/>
      <c r="G25" s="624"/>
      <c r="H25" s="624"/>
      <c r="I25" s="624"/>
      <c r="J25" s="624"/>
      <c r="K25" s="633"/>
    </row>
    <row r="26" spans="2:12">
      <c r="B26" s="390" t="s">
        <v>498</v>
      </c>
      <c r="C26" s="280" t="s">
        <v>128</v>
      </c>
      <c r="D26" s="623"/>
      <c r="E26" s="623"/>
      <c r="F26" s="624"/>
      <c r="G26" s="624"/>
      <c r="H26" s="624"/>
      <c r="I26" s="624"/>
      <c r="J26" s="624"/>
      <c r="K26" s="633"/>
    </row>
    <row r="27" spans="2:12">
      <c r="B27" s="390" t="s">
        <v>499</v>
      </c>
      <c r="C27" s="280" t="s">
        <v>128</v>
      </c>
      <c r="D27" s="623"/>
      <c r="E27" s="623"/>
      <c r="F27" s="624"/>
      <c r="G27" s="624"/>
      <c r="H27" s="624"/>
      <c r="I27" s="624"/>
      <c r="J27" s="624"/>
      <c r="K27" s="633"/>
    </row>
    <row r="28" spans="2:12">
      <c r="B28" s="935" t="s">
        <v>390</v>
      </c>
      <c r="C28" s="280" t="s">
        <v>128</v>
      </c>
      <c r="D28" s="623">
        <v>0.14549706213918154</v>
      </c>
      <c r="E28" s="623">
        <v>0.52363589678193767</v>
      </c>
      <c r="F28" s="624">
        <v>-0.62290346308728894</v>
      </c>
      <c r="G28" s="624"/>
      <c r="H28" s="624"/>
      <c r="I28" s="624"/>
      <c r="J28" s="624"/>
      <c r="K28" s="633"/>
    </row>
    <row r="29" spans="2:12">
      <c r="B29" s="935" t="s">
        <v>577</v>
      </c>
      <c r="C29" s="280" t="s">
        <v>128</v>
      </c>
      <c r="D29" s="623">
        <v>0.98235928431807773</v>
      </c>
      <c r="E29" s="623">
        <v>0.18575657194004869</v>
      </c>
      <c r="F29" s="624">
        <v>-1.0496935338532338</v>
      </c>
      <c r="G29" s="624"/>
      <c r="H29" s="624"/>
      <c r="I29" s="624"/>
      <c r="J29" s="624"/>
      <c r="K29" s="633"/>
    </row>
    <row r="30" spans="2:12">
      <c r="B30" s="935" t="s">
        <v>391</v>
      </c>
      <c r="C30" s="280" t="s">
        <v>128</v>
      </c>
      <c r="D30" s="623">
        <v>-0.75102663023141347</v>
      </c>
      <c r="E30" s="623">
        <v>-0.32683193794044585</v>
      </c>
      <c r="F30" s="624">
        <v>2.1870584483086044</v>
      </c>
      <c r="G30" s="624"/>
      <c r="H30" s="624"/>
      <c r="I30" s="624"/>
      <c r="J30" s="624"/>
      <c r="K30" s="633"/>
    </row>
    <row r="31" spans="2:12">
      <c r="B31" s="935" t="s">
        <v>551</v>
      </c>
      <c r="C31" s="280" t="s">
        <v>128</v>
      </c>
      <c r="D31" s="623">
        <v>-1.3035014562035974</v>
      </c>
      <c r="E31" s="623">
        <v>-0.27391003612070292</v>
      </c>
      <c r="F31" s="624">
        <v>0</v>
      </c>
      <c r="G31" s="624"/>
      <c r="H31" s="624"/>
      <c r="I31" s="624"/>
      <c r="J31" s="624"/>
      <c r="K31" s="633"/>
    </row>
    <row r="32" spans="2:12">
      <c r="B32" s="935" t="s">
        <v>578</v>
      </c>
      <c r="C32" s="280" t="s">
        <v>128</v>
      </c>
      <c r="D32" s="623">
        <v>0.30565148622959326</v>
      </c>
      <c r="E32" s="623">
        <v>0.32322096248467325</v>
      </c>
      <c r="F32" s="624">
        <v>0.33350953233991443</v>
      </c>
      <c r="G32" s="624"/>
      <c r="H32" s="624"/>
      <c r="I32" s="624"/>
      <c r="J32" s="624"/>
      <c r="K32" s="633"/>
    </row>
    <row r="33" spans="2:13">
      <c r="B33" s="935" t="s">
        <v>579</v>
      </c>
      <c r="C33" s="280"/>
      <c r="D33" s="634">
        <v>-2.2535368900649173</v>
      </c>
      <c r="E33" s="634">
        <v>-1.8085391754231883</v>
      </c>
      <c r="F33" s="635">
        <v>-0.1362921223321287</v>
      </c>
      <c r="G33" s="635"/>
      <c r="H33" s="635"/>
      <c r="I33" s="635"/>
      <c r="J33" s="635"/>
      <c r="K33" s="636"/>
    </row>
    <row r="34" spans="2:13">
      <c r="B34" s="935" t="s">
        <v>580</v>
      </c>
      <c r="C34" s="280" t="s">
        <v>128</v>
      </c>
      <c r="D34" s="634">
        <v>0</v>
      </c>
      <c r="E34" s="634">
        <v>-1.3484386532866637</v>
      </c>
      <c r="F34" s="635">
        <v>6.0697954557310716</v>
      </c>
      <c r="G34" s="635"/>
      <c r="H34" s="635"/>
      <c r="I34" s="635"/>
      <c r="J34" s="635"/>
      <c r="K34" s="636"/>
    </row>
    <row r="35" spans="2:13">
      <c r="B35" s="14" t="s">
        <v>177</v>
      </c>
      <c r="C35" s="280" t="s">
        <v>128</v>
      </c>
      <c r="D35" s="769">
        <f t="shared" ref="D35:K35" si="2">SUM(D22:D34)</f>
        <v>-1.4665957579044258</v>
      </c>
      <c r="E35" s="770">
        <f t="shared" si="2"/>
        <v>1.9387659124551604</v>
      </c>
      <c r="F35" s="770">
        <f t="shared" si="2"/>
        <v>8.6967348255891501</v>
      </c>
      <c r="G35" s="770">
        <f t="shared" si="2"/>
        <v>2.5738577295019422</v>
      </c>
      <c r="H35" s="770">
        <f t="shared" si="2"/>
        <v>2.123607439415728</v>
      </c>
      <c r="I35" s="770">
        <f t="shared" si="2"/>
        <v>2.4689775703027386</v>
      </c>
      <c r="J35" s="770">
        <f t="shared" si="2"/>
        <v>2.2401282539138037</v>
      </c>
      <c r="K35" s="771">
        <f t="shared" si="2"/>
        <v>2.2839296377747953</v>
      </c>
    </row>
    <row r="37" spans="2:13" ht="12.75" customHeight="1">
      <c r="B37" s="847" t="s">
        <v>506</v>
      </c>
      <c r="C37" s="280" t="s">
        <v>128</v>
      </c>
      <c r="D37" s="665"/>
      <c r="E37" s="666"/>
      <c r="F37" s="666"/>
      <c r="G37" s="666">
        <v>5.6099678799686625</v>
      </c>
      <c r="H37" s="666">
        <v>10.880078173788423</v>
      </c>
      <c r="I37" s="666">
        <v>11.629201884608051</v>
      </c>
      <c r="J37" s="666">
        <v>11.778455585182355</v>
      </c>
      <c r="K37" s="666">
        <v>11.632500648638365</v>
      </c>
    </row>
    <row r="38" spans="2:13" ht="12.75" customHeight="1">
      <c r="B38" s="847" t="s">
        <v>475</v>
      </c>
      <c r="C38" s="280" t="s">
        <v>128</v>
      </c>
      <c r="D38" s="769">
        <f t="shared" ref="D38:K38" si="3">D12+D37-D19-D35</f>
        <v>2.485037297745424</v>
      </c>
      <c r="E38" s="770">
        <f t="shared" si="3"/>
        <v>-2.0369480488759271</v>
      </c>
      <c r="F38" s="770">
        <f t="shared" si="3"/>
        <v>5.3023314084871256</v>
      </c>
      <c r="G38" s="770">
        <f t="shared" si="3"/>
        <v>3.0361101504667203</v>
      </c>
      <c r="H38" s="770">
        <f t="shared" si="3"/>
        <v>8.7564707343726944</v>
      </c>
      <c r="I38" s="770">
        <f t="shared" si="3"/>
        <v>9.1602243143053119</v>
      </c>
      <c r="J38" s="770">
        <f t="shared" si="3"/>
        <v>9.538327331268551</v>
      </c>
      <c r="K38" s="771">
        <f t="shared" si="3"/>
        <v>9.3485710108635693</v>
      </c>
    </row>
    <row r="39" spans="2:13" ht="12.75" customHeight="1">
      <c r="B39" s="507"/>
      <c r="C39" s="280"/>
      <c r="D39" s="280"/>
      <c r="E39" s="280"/>
      <c r="F39" s="280"/>
      <c r="G39" s="280"/>
      <c r="H39" s="280"/>
      <c r="I39" s="280"/>
      <c r="J39" s="280"/>
      <c r="K39" s="280"/>
    </row>
    <row r="40" spans="2:13">
      <c r="B40" s="38" t="s">
        <v>483</v>
      </c>
      <c r="C40" s="281" t="s">
        <v>127</v>
      </c>
      <c r="D40" s="114">
        <f>Data!C$34</f>
        <v>1.0603167467048125</v>
      </c>
      <c r="E40" s="114">
        <f>Data!D$34</f>
        <v>1.0830366813119445</v>
      </c>
      <c r="F40" s="114">
        <f>Data!E$34</f>
        <v>1.1235639113109226</v>
      </c>
      <c r="G40" s="114">
        <f>Data!F$34</f>
        <v>1.1578951670583426</v>
      </c>
      <c r="H40" s="114">
        <f>Data!G$34</f>
        <v>1.1882899151936241</v>
      </c>
      <c r="I40" s="114">
        <f>Data!H$34</f>
        <v>1.2212649603402472</v>
      </c>
      <c r="J40" s="114">
        <f>Data!I$34</f>
        <v>1.2582082253905398</v>
      </c>
      <c r="K40" s="114">
        <f>Data!J$34</f>
        <v>1.296898128321299</v>
      </c>
      <c r="L40" s="280"/>
    </row>
    <row r="41" spans="2:13">
      <c r="B41" s="209"/>
      <c r="C41" s="280"/>
      <c r="D41" s="280"/>
      <c r="E41" s="280"/>
      <c r="F41" s="280"/>
      <c r="G41" s="280"/>
      <c r="H41" s="280"/>
      <c r="I41" s="280"/>
      <c r="J41" s="280"/>
      <c r="K41" s="280"/>
    </row>
    <row r="42" spans="2:13">
      <c r="B42" s="569" t="s">
        <v>476</v>
      </c>
      <c r="C42" s="420" t="str">
        <f>'RFPR cover'!$C$14</f>
        <v>£m 12/13</v>
      </c>
      <c r="D42" s="812">
        <f t="shared" ref="D42:K42" si="4">D38/D40</f>
        <v>2.3436744779032028</v>
      </c>
      <c r="E42" s="813">
        <f t="shared" si="4"/>
        <v>-1.880774754931158</v>
      </c>
      <c r="F42" s="813">
        <f t="shared" si="4"/>
        <v>4.7192076526386559</v>
      </c>
      <c r="G42" s="813">
        <f t="shared" si="4"/>
        <v>2.6220941557084334</v>
      </c>
      <c r="H42" s="813">
        <f t="shared" si="4"/>
        <v>7.3689683152329746</v>
      </c>
      <c r="I42" s="813">
        <f t="shared" si="4"/>
        <v>7.5006035641547042</v>
      </c>
      <c r="J42" s="813">
        <f t="shared" si="4"/>
        <v>7.5808813984727488</v>
      </c>
      <c r="K42" s="814">
        <f t="shared" si="4"/>
        <v>7.2084081291445239</v>
      </c>
    </row>
    <row r="43" spans="2:13">
      <c r="B43" s="847"/>
      <c r="C43" s="847"/>
      <c r="D43" s="847"/>
      <c r="E43" s="847"/>
      <c r="F43" s="847"/>
      <c r="G43" s="847"/>
      <c r="H43" s="847"/>
      <c r="I43" s="847"/>
      <c r="J43" s="847"/>
      <c r="K43" s="847"/>
    </row>
    <row r="44" spans="2:13">
      <c r="B44" s="855" t="s">
        <v>456</v>
      </c>
      <c r="C44" s="220"/>
      <c r="D44" s="220"/>
      <c r="E44" s="220"/>
      <c r="F44" s="220"/>
      <c r="G44" s="220"/>
      <c r="H44" s="220"/>
      <c r="I44" s="220"/>
      <c r="J44" s="220"/>
      <c r="K44" s="220"/>
    </row>
    <row r="45" spans="2:13">
      <c r="B45" s="389" t="s">
        <v>444</v>
      </c>
      <c r="C45" s="457"/>
      <c r="D45" s="457"/>
      <c r="E45" s="457"/>
      <c r="F45" s="457"/>
      <c r="G45" s="457"/>
      <c r="H45" s="457"/>
      <c r="I45" s="457"/>
      <c r="J45" s="457"/>
      <c r="K45" s="457"/>
      <c r="L45" s="457"/>
      <c r="M45" s="457"/>
    </row>
    <row r="47" spans="2:13" ht="12.75" customHeight="1">
      <c r="B47" s="223" t="s">
        <v>115</v>
      </c>
      <c r="C47" s="163" t="s">
        <v>7</v>
      </c>
      <c r="D47" s="920">
        <f>'RFPR cover'!$C$12</f>
        <v>0.65</v>
      </c>
      <c r="E47" s="921">
        <f>'RFPR cover'!$C$12</f>
        <v>0.65</v>
      </c>
      <c r="F47" s="921">
        <f>'RFPR cover'!$C$12</f>
        <v>0.65</v>
      </c>
      <c r="G47" s="921">
        <f>'RFPR cover'!$C$12</f>
        <v>0.65</v>
      </c>
      <c r="H47" s="921">
        <f>'RFPR cover'!$C$12</f>
        <v>0.65</v>
      </c>
      <c r="I47" s="921">
        <f>'RFPR cover'!$C$12</f>
        <v>0.65</v>
      </c>
      <c r="J47" s="921">
        <f>'RFPR cover'!$C$12</f>
        <v>0.65</v>
      </c>
      <c r="K47" s="922">
        <f>'RFPR cover'!$C$12</f>
        <v>0.65</v>
      </c>
    </row>
    <row r="48" spans="2:13" ht="12.75" customHeight="1">
      <c r="B48" s="223" t="s">
        <v>406</v>
      </c>
      <c r="C48" s="163" t="s">
        <v>7</v>
      </c>
      <c r="D48" s="920">
        <f>'R8 - Net Debt'!D57</f>
        <v>0.63331877743142639</v>
      </c>
      <c r="E48" s="921">
        <f>'R8 - Net Debt'!E57</f>
        <v>0.62706793462828603</v>
      </c>
      <c r="F48" s="921">
        <f>'R8 - Net Debt'!F57</f>
        <v>0.60498427164951341</v>
      </c>
      <c r="G48" s="921">
        <f>'R8 - Net Debt'!G57</f>
        <v>0.5965762355217461</v>
      </c>
      <c r="H48" s="921">
        <f>'R8 - Net Debt'!H57</f>
        <v>0.62146568761570409</v>
      </c>
      <c r="I48" s="921">
        <f>'R8 - Net Debt'!I57</f>
        <v>0.65039062346292531</v>
      </c>
      <c r="J48" s="921">
        <f>'R8 - Net Debt'!J57</f>
        <v>0.63360270743121305</v>
      </c>
      <c r="K48" s="922">
        <f>'R8 - Net Debt'!K57</f>
        <v>0.61313644665606037</v>
      </c>
    </row>
    <row r="49" spans="2:14" ht="12.75" customHeight="1">
      <c r="B49" s="223"/>
      <c r="C49" s="163"/>
      <c r="D49" s="163"/>
      <c r="E49" s="163"/>
      <c r="F49" s="163"/>
      <c r="G49" s="163"/>
      <c r="H49" s="163"/>
      <c r="I49" s="163"/>
      <c r="J49" s="163"/>
      <c r="K49" s="163"/>
      <c r="L49" s="163"/>
    </row>
    <row r="50" spans="2:14" ht="12.75" customHeight="1">
      <c r="B50" s="847" t="s">
        <v>476</v>
      </c>
      <c r="C50" s="280" t="s">
        <v>128</v>
      </c>
      <c r="D50" s="812">
        <f>D38</f>
        <v>2.485037297745424</v>
      </c>
      <c r="E50" s="812">
        <f t="shared" ref="E50:K50" si="5">E38</f>
        <v>-2.0369480488759271</v>
      </c>
      <c r="F50" s="812">
        <f t="shared" si="5"/>
        <v>5.3023314084871256</v>
      </c>
      <c r="G50" s="812">
        <f t="shared" si="5"/>
        <v>3.0361101504667203</v>
      </c>
      <c r="H50" s="812">
        <f t="shared" si="5"/>
        <v>8.7564707343726944</v>
      </c>
      <c r="I50" s="812">
        <f t="shared" si="5"/>
        <v>9.1602243143053119</v>
      </c>
      <c r="J50" s="812">
        <f t="shared" si="5"/>
        <v>9.538327331268551</v>
      </c>
      <c r="K50" s="812">
        <f t="shared" si="5"/>
        <v>9.3485710108635693</v>
      </c>
    </row>
    <row r="51" spans="2:14">
      <c r="B51" s="223" t="s">
        <v>457</v>
      </c>
      <c r="C51" s="280" t="s">
        <v>128</v>
      </c>
      <c r="D51" s="923">
        <f>-('R7 - Financing'!D65*INDEX(Data!$G$14:$G$30,MATCH('R10 - Tax'!D$6,Data!$C$14:$C$30,0),1))</f>
        <v>-0.15599915475300064</v>
      </c>
      <c r="E51" s="923">
        <f>-('R7 - Financing'!E65*INDEX(Data!$G$14:$G$30,MATCH('R10 - Tax'!E$6,Data!$C$14:$C$30,0),1))</f>
        <v>-0.16569538589322005</v>
      </c>
      <c r="F51" s="923">
        <f>-('R7 - Financing'!F65*INDEX(Data!$G$14:$G$30,MATCH('R10 - Tax'!F$6,Data!$C$14:$C$30,0),1))</f>
        <v>-0.20360317493993274</v>
      </c>
      <c r="G51" s="923">
        <f>-('R7 - Financing'!G65*INDEX(Data!$G$14:$G$30,MATCH('R10 - Tax'!G$6,Data!$C$14:$C$30,0),1))</f>
        <v>-0.30251463104036191</v>
      </c>
      <c r="H51" s="923">
        <f>-('R7 - Financing'!H65*INDEX(Data!$G$14:$G$30,MATCH('R10 - Tax'!H$6,Data!$C$14:$C$30,0),1))</f>
        <v>-0.19815388751980845</v>
      </c>
      <c r="I51" s="923">
        <f>-('R7 - Financing'!I65*INDEX(Data!$G$14:$G$30,MATCH('R10 - Tax'!I$6,Data!$C$14:$C$30,0),1))</f>
        <v>1.7691804673379214E-3</v>
      </c>
      <c r="J51" s="923">
        <f>-('R7 - Financing'!J65*INDEX(Data!$G$14:$G$30,MATCH('R10 - Tax'!J$6,Data!$C$14:$C$30,0),1))</f>
        <v>-4.1352219289249509E-2</v>
      </c>
      <c r="K51" s="923">
        <f>-('R7 - Financing'!K65*INDEX(Data!$G$14:$G$30,MATCH('R10 - Tax'!K$6,Data!$C$14:$C$30,0),1))</f>
        <v>-9.2768208251985118E-2</v>
      </c>
      <c r="L51" s="280"/>
    </row>
    <row r="52" spans="2:14" s="32" customFormat="1">
      <c r="B52" s="856" t="s">
        <v>414</v>
      </c>
      <c r="C52" s="280" t="s">
        <v>128</v>
      </c>
      <c r="D52" s="769">
        <f>SUM(D50:D51)</f>
        <v>2.3290381429924234</v>
      </c>
      <c r="E52" s="770">
        <f t="shared" ref="E52:K52" si="6">SUM(E50:E51)</f>
        <v>-2.202643434769147</v>
      </c>
      <c r="F52" s="770">
        <f t="shared" si="6"/>
        <v>5.0987282335471926</v>
      </c>
      <c r="G52" s="770">
        <f t="shared" si="6"/>
        <v>2.7335955194263581</v>
      </c>
      <c r="H52" s="770">
        <f t="shared" si="6"/>
        <v>8.5583168468528861</v>
      </c>
      <c r="I52" s="770">
        <f t="shared" si="6"/>
        <v>9.1619934947726502</v>
      </c>
      <c r="J52" s="770">
        <f t="shared" si="6"/>
        <v>9.4969751119793013</v>
      </c>
      <c r="K52" s="771">
        <f t="shared" si="6"/>
        <v>9.2558028026115835</v>
      </c>
      <c r="L52" s="832"/>
    </row>
    <row r="54" spans="2:14">
      <c r="B54" s="856" t="s">
        <v>414</v>
      </c>
      <c r="C54" s="420" t="str">
        <f>'RFPR cover'!$C$14</f>
        <v>£m 12/13</v>
      </c>
      <c r="D54" s="769">
        <f>D52/D40</f>
        <v>2.1965494275465005</v>
      </c>
      <c r="E54" s="770">
        <f t="shared" ref="E54:K54" si="7">E52/E40</f>
        <v>-2.03376623596992</v>
      </c>
      <c r="F54" s="770">
        <f t="shared" si="7"/>
        <v>4.5379957314561938</v>
      </c>
      <c r="G54" s="770">
        <f t="shared" si="7"/>
        <v>2.3608316168821362</v>
      </c>
      <c r="H54" s="770">
        <f t="shared" si="7"/>
        <v>7.2022128080236749</v>
      </c>
      <c r="I54" s="770">
        <f t="shared" si="7"/>
        <v>7.5020522100462932</v>
      </c>
      <c r="J54" s="770">
        <f t="shared" si="7"/>
        <v>7.5480154399972239</v>
      </c>
      <c r="K54" s="771">
        <f t="shared" si="7"/>
        <v>7.1368772924302588</v>
      </c>
    </row>
    <row r="55" spans="2:14">
      <c r="B55" s="856"/>
      <c r="C55" s="420"/>
      <c r="D55" s="420"/>
      <c r="E55" s="420"/>
      <c r="F55" s="420"/>
      <c r="G55" s="420"/>
      <c r="H55" s="420"/>
      <c r="I55" s="420"/>
      <c r="J55" s="420"/>
      <c r="K55" s="420"/>
    </row>
    <row r="57" spans="2:14">
      <c r="B57" s="815" t="s">
        <v>380</v>
      </c>
      <c r="C57" s="816"/>
      <c r="D57" s="816"/>
      <c r="E57" s="816"/>
      <c r="F57" s="816"/>
      <c r="G57" s="816"/>
      <c r="H57" s="816"/>
      <c r="I57" s="816"/>
      <c r="J57" s="816"/>
      <c r="K57" s="816"/>
      <c r="L57" s="816"/>
      <c r="M57" s="515"/>
    </row>
    <row r="58" spans="2:14" s="32" customFormat="1">
      <c r="B58" s="516"/>
      <c r="C58" s="515"/>
      <c r="D58" s="515"/>
      <c r="E58" s="515"/>
      <c r="F58" s="515"/>
      <c r="G58" s="515"/>
      <c r="H58" s="515"/>
      <c r="I58" s="515"/>
      <c r="J58" s="515"/>
      <c r="K58" s="515"/>
      <c r="L58" s="515"/>
      <c r="M58" s="515"/>
    </row>
    <row r="59" spans="2:14">
      <c r="B59" s="388" t="s">
        <v>477</v>
      </c>
      <c r="C59" s="308"/>
      <c r="D59" s="308"/>
      <c r="E59" s="308"/>
      <c r="F59" s="308"/>
      <c r="G59" s="308"/>
      <c r="H59" s="308"/>
      <c r="I59" s="308"/>
      <c r="J59" s="308"/>
      <c r="K59" s="308"/>
      <c r="L59" s="308"/>
      <c r="M59" s="210"/>
      <c r="N59" s="210"/>
    </row>
    <row r="60" spans="2:14" s="32" customFormat="1">
      <c r="B60" s="393"/>
      <c r="C60" s="36"/>
      <c r="D60" s="36"/>
      <c r="E60" s="36"/>
      <c r="F60" s="36"/>
      <c r="G60" s="36"/>
      <c r="H60" s="36"/>
      <c r="I60" s="36"/>
      <c r="J60" s="36"/>
      <c r="K60" s="36"/>
      <c r="L60" s="36"/>
      <c r="M60" s="38"/>
      <c r="N60" s="38"/>
    </row>
    <row r="61" spans="2:14">
      <c r="B61" s="210" t="s">
        <v>379</v>
      </c>
      <c r="C61" s="220" t="str">
        <f>'RFPR cover'!$C$14</f>
        <v>£m 12/13</v>
      </c>
      <c r="D61" s="609">
        <v>6.7340727425985802</v>
      </c>
      <c r="E61" s="609">
        <v>5.8754258771452506</v>
      </c>
      <c r="F61" s="609">
        <v>9.8850923146549992</v>
      </c>
      <c r="G61" s="609">
        <v>6.8218718548395278</v>
      </c>
      <c r="H61" s="609">
        <v>6.8253981225101832</v>
      </c>
      <c r="I61" s="609">
        <v>6.2392517063466064</v>
      </c>
      <c r="J61" s="609">
        <v>6.5802433309252439</v>
      </c>
      <c r="K61" s="609">
        <v>6.613509301406471</v>
      </c>
    </row>
    <row r="62" spans="2:14">
      <c r="B62" s="210" t="s">
        <v>382</v>
      </c>
      <c r="C62" s="220" t="str">
        <f>'RFPR cover'!$C$14</f>
        <v>£m 12/13</v>
      </c>
      <c r="D62" s="617">
        <v>0</v>
      </c>
      <c r="E62" s="617">
        <v>0</v>
      </c>
      <c r="F62" s="617">
        <v>0</v>
      </c>
      <c r="G62" s="617">
        <v>0</v>
      </c>
      <c r="H62" s="617">
        <v>0</v>
      </c>
      <c r="I62" s="617">
        <v>0</v>
      </c>
      <c r="J62" s="617">
        <v>0</v>
      </c>
      <c r="K62" s="617">
        <v>0</v>
      </c>
    </row>
    <row r="63" spans="2:14">
      <c r="B63" s="210" t="s">
        <v>383</v>
      </c>
      <c r="C63" s="220" t="str">
        <f>'RFPR cover'!$C$14</f>
        <v>£m 12/13</v>
      </c>
      <c r="D63" s="673">
        <f t="shared" ref="D63:K63" si="8">SUM(D61:D62)</f>
        <v>6.7340727425985802</v>
      </c>
      <c r="E63" s="674">
        <f t="shared" si="8"/>
        <v>5.8754258771452506</v>
      </c>
      <c r="F63" s="674">
        <f t="shared" si="8"/>
        <v>9.8850923146549992</v>
      </c>
      <c r="G63" s="674">
        <f t="shared" si="8"/>
        <v>6.8218718548395278</v>
      </c>
      <c r="H63" s="674">
        <f t="shared" si="8"/>
        <v>6.8253981225101832</v>
      </c>
      <c r="I63" s="674">
        <f t="shared" si="8"/>
        <v>6.2392517063466064</v>
      </c>
      <c r="J63" s="674">
        <f t="shared" si="8"/>
        <v>6.5802433309252439</v>
      </c>
      <c r="K63" s="675">
        <f t="shared" si="8"/>
        <v>6.613509301406471</v>
      </c>
    </row>
    <row r="64" spans="2:14">
      <c r="B64" s="210"/>
      <c r="C64" s="220"/>
      <c r="D64" s="220"/>
      <c r="E64" s="220"/>
      <c r="F64" s="220"/>
      <c r="G64" s="220"/>
      <c r="H64" s="220"/>
      <c r="I64" s="220"/>
      <c r="J64" s="220"/>
      <c r="K64" s="220"/>
      <c r="L64" s="220"/>
    </row>
    <row r="65" spans="2:13">
      <c r="B65" s="538" t="s">
        <v>478</v>
      </c>
      <c r="C65" s="308"/>
      <c r="D65" s="308"/>
      <c r="E65" s="308"/>
      <c r="F65" s="308"/>
      <c r="G65" s="308"/>
      <c r="H65" s="308"/>
      <c r="I65" s="308"/>
      <c r="J65" s="308"/>
      <c r="K65" s="308"/>
      <c r="L65" s="308"/>
    </row>
    <row r="66" spans="2:13" s="32" customFormat="1">
      <c r="B66" s="539"/>
      <c r="C66" s="36"/>
      <c r="D66" s="36"/>
      <c r="E66" s="36"/>
      <c r="F66" s="36"/>
      <c r="G66" s="36"/>
      <c r="H66" s="36"/>
      <c r="I66" s="36"/>
      <c r="J66" s="36"/>
      <c r="K66" s="36"/>
      <c r="L66" s="36"/>
    </row>
    <row r="67" spans="2:13">
      <c r="B67" s="210" t="s">
        <v>370</v>
      </c>
      <c r="C67" s="220" t="str">
        <f>'RFPR cover'!$C$14</f>
        <v>£m 12/13</v>
      </c>
      <c r="D67" s="609">
        <v>6.7340727425985802</v>
      </c>
      <c r="E67" s="609">
        <v>5.8754258771452506</v>
      </c>
      <c r="F67" s="609">
        <v>9.8851223510545374</v>
      </c>
      <c r="G67" s="609">
        <v>7.7862321577267721</v>
      </c>
      <c r="H67" s="609">
        <v>7.4511847225017194</v>
      </c>
      <c r="I67" s="609">
        <v>6.7862135280734002</v>
      </c>
      <c r="J67" s="609">
        <v>7.4375725644730259</v>
      </c>
      <c r="K67" s="609">
        <v>7.2719352841593201</v>
      </c>
    </row>
    <row r="68" spans="2:13">
      <c r="B68" s="210" t="s">
        <v>385</v>
      </c>
      <c r="C68" s="220" t="str">
        <f>'RFPR cover'!$C$14</f>
        <v>£m 12/13</v>
      </c>
      <c r="D68" s="617"/>
      <c r="E68" s="618"/>
      <c r="F68" s="618"/>
      <c r="G68" s="618"/>
      <c r="H68" s="618"/>
      <c r="I68" s="618"/>
      <c r="J68" s="618"/>
      <c r="K68" s="711"/>
    </row>
    <row r="69" spans="2:13">
      <c r="B69" s="14" t="s">
        <v>386</v>
      </c>
      <c r="C69" s="220" t="str">
        <f>'RFPR cover'!$C$14</f>
        <v>£m 12/13</v>
      </c>
      <c r="D69" s="637">
        <f t="shared" ref="D69:K69" si="9">SUM(D67:D68)</f>
        <v>6.7340727425985802</v>
      </c>
      <c r="E69" s="638">
        <f t="shared" si="9"/>
        <v>5.8754258771452506</v>
      </c>
      <c r="F69" s="638">
        <f t="shared" si="9"/>
        <v>9.8851223510545374</v>
      </c>
      <c r="G69" s="638">
        <f t="shared" si="9"/>
        <v>7.7862321577267721</v>
      </c>
      <c r="H69" s="638">
        <f t="shared" si="9"/>
        <v>7.4511847225017194</v>
      </c>
      <c r="I69" s="638">
        <f t="shared" si="9"/>
        <v>6.7862135280734002</v>
      </c>
      <c r="J69" s="638">
        <f t="shared" si="9"/>
        <v>7.4375725644730259</v>
      </c>
      <c r="K69" s="639">
        <f t="shared" si="9"/>
        <v>7.2719352841593201</v>
      </c>
    </row>
    <row r="70" spans="2:13" s="32" customFormat="1">
      <c r="B70" s="539"/>
      <c r="C70" s="36"/>
      <c r="D70" s="772"/>
      <c r="E70" s="772"/>
      <c r="F70" s="772"/>
      <c r="G70" s="772"/>
      <c r="H70" s="772"/>
      <c r="I70" s="772"/>
      <c r="J70" s="772"/>
      <c r="K70" s="772"/>
      <c r="L70" s="36"/>
    </row>
    <row r="71" spans="2:13" s="32" customFormat="1">
      <c r="B71" s="540" t="s">
        <v>384</v>
      </c>
      <c r="C71" s="36"/>
      <c r="D71" s="729">
        <f t="shared" ref="D71:K71" si="10">D69-D63</f>
        <v>0</v>
      </c>
      <c r="E71" s="730">
        <f t="shared" si="10"/>
        <v>0</v>
      </c>
      <c r="F71" s="730">
        <f t="shared" si="10"/>
        <v>3.0036399538246883E-5</v>
      </c>
      <c r="G71" s="730">
        <f t="shared" si="10"/>
        <v>0.96436030288724428</v>
      </c>
      <c r="H71" s="730">
        <f t="shared" si="10"/>
        <v>0.62578659999153619</v>
      </c>
      <c r="I71" s="730">
        <f t="shared" si="10"/>
        <v>0.54696182172679375</v>
      </c>
      <c r="J71" s="730">
        <f t="shared" si="10"/>
        <v>0.85732923354778201</v>
      </c>
      <c r="K71" s="731">
        <f t="shared" si="10"/>
        <v>0.65842598275284914</v>
      </c>
      <c r="L71" s="36"/>
    </row>
    <row r="72" spans="2:13">
      <c r="B72" s="210" t="s">
        <v>381</v>
      </c>
      <c r="C72" s="220" t="str">
        <f>'RFPR cover'!$C$14</f>
        <v>£m 12/13</v>
      </c>
      <c r="D72" s="613">
        <v>0</v>
      </c>
      <c r="E72" s="613">
        <v>0</v>
      </c>
      <c r="F72" s="613">
        <v>-0.6101908836206793</v>
      </c>
      <c r="G72" s="613">
        <v>-0.43487756155059715</v>
      </c>
      <c r="H72" s="613">
        <v>-0.43306243707580261</v>
      </c>
      <c r="I72" s="613">
        <v>-1.2298608643148474</v>
      </c>
      <c r="J72" s="613">
        <v>-1.1907188084682434</v>
      </c>
      <c r="K72" s="613">
        <v>-1.1957376098347106</v>
      </c>
    </row>
    <row r="73" spans="2:13">
      <c r="B73" s="210" t="s">
        <v>432</v>
      </c>
      <c r="C73" s="220" t="str">
        <f>'RFPR cover'!$C$14</f>
        <v>£m 12/13</v>
      </c>
      <c r="D73" s="613">
        <f>-D72</f>
        <v>0</v>
      </c>
      <c r="E73" s="613">
        <f t="shared" ref="E73:G73" si="11">-E72</f>
        <v>0</v>
      </c>
      <c r="F73" s="613">
        <f t="shared" si="11"/>
        <v>0.6101908836206793</v>
      </c>
      <c r="G73" s="613">
        <f t="shared" si="11"/>
        <v>0.43487756155059715</v>
      </c>
      <c r="H73" s="614">
        <v>-0.62979351181578747</v>
      </c>
      <c r="I73" s="614">
        <v>0.34095375158168428</v>
      </c>
      <c r="J73" s="614">
        <v>0.35376398649918939</v>
      </c>
      <c r="K73" s="614">
        <v>0.40435573445508921</v>
      </c>
    </row>
    <row r="74" spans="2:13">
      <c r="B74" s="210" t="s">
        <v>333</v>
      </c>
      <c r="C74" s="220" t="str">
        <f>'RFPR cover'!$C$14</f>
        <v>£m 12/13</v>
      </c>
      <c r="D74" s="773">
        <f>D71-D72-D73</f>
        <v>0</v>
      </c>
      <c r="E74" s="773">
        <f t="shared" ref="E74:H74" si="12">E71-E72-E73</f>
        <v>0</v>
      </c>
      <c r="F74" s="773">
        <f t="shared" si="12"/>
        <v>3.0036399538246883E-5</v>
      </c>
      <c r="G74" s="773">
        <f t="shared" si="12"/>
        <v>0.96436030288724428</v>
      </c>
      <c r="H74" s="773">
        <f t="shared" si="12"/>
        <v>1.6886425488831263</v>
      </c>
      <c r="I74" s="773">
        <f t="shared" ref="I74" si="13">I71-I72-I73</f>
        <v>1.4358689344599569</v>
      </c>
      <c r="J74" s="773">
        <f t="shared" ref="J74" si="14">J71-J72-J73</f>
        <v>1.6942840555168361</v>
      </c>
      <c r="K74" s="773">
        <f t="shared" ref="K74" si="15">K71-K72-K73</f>
        <v>1.4498078581324705</v>
      </c>
    </row>
    <row r="75" spans="2:13">
      <c r="B75" s="210" t="s">
        <v>122</v>
      </c>
      <c r="C75" s="220" t="str">
        <f>'RFPR cover'!$C$14</f>
        <v>£m 12/13</v>
      </c>
      <c r="D75" s="541" t="str">
        <f>IF(ABS(D71-SUM(D72:D74))&lt;'RFPR cover'!$F$14,"OK","ERROR")</f>
        <v>OK</v>
      </c>
      <c r="E75" s="542" t="str">
        <f>IF(ABS(E71-SUM(E72:E74))&lt;'RFPR cover'!$F$14,"OK","ERROR")</f>
        <v>OK</v>
      </c>
      <c r="F75" s="542" t="str">
        <f>IF(ABS(F71-SUM(F72:F74))&lt;'RFPR cover'!$F$14,"OK","ERROR")</f>
        <v>OK</v>
      </c>
      <c r="G75" s="542" t="str">
        <f>IF(ABS(G71-SUM(G72:G74))&lt;'RFPR cover'!$F$14,"OK","ERROR")</f>
        <v>OK</v>
      </c>
      <c r="H75" s="542" t="str">
        <f>IF(ABS(H71-SUM(H72:H74))&lt;'RFPR cover'!$F$14,"OK","ERROR")</f>
        <v>OK</v>
      </c>
      <c r="I75" s="542" t="str">
        <f>IF(ABS(I71-SUM(I72:I74))&lt;'RFPR cover'!$F$14,"OK","ERROR")</f>
        <v>OK</v>
      </c>
      <c r="J75" s="542" t="str">
        <f>IF(ABS(J71-SUM(J72:J74))&lt;'RFPR cover'!$F$14,"OK","ERROR")</f>
        <v>OK</v>
      </c>
      <c r="K75" s="543" t="str">
        <f>IF(ABS(K71-SUM(K72:K74))&lt;'RFPR cover'!$F$14,"OK","ERROR")</f>
        <v>OK</v>
      </c>
    </row>
    <row r="76" spans="2:13">
      <c r="B76" s="210"/>
      <c r="C76" s="210"/>
      <c r="D76" s="210"/>
      <c r="E76" s="210"/>
      <c r="F76" s="210"/>
      <c r="G76" s="210"/>
      <c r="H76" s="210"/>
      <c r="I76" s="210"/>
      <c r="J76" s="210"/>
      <c r="K76" s="210"/>
      <c r="L76" s="210"/>
      <c r="M76" s="210"/>
    </row>
    <row r="78" spans="2:13">
      <c r="B78" s="860" t="s">
        <v>434</v>
      </c>
      <c r="C78" s="860"/>
      <c r="D78" s="860"/>
      <c r="E78" s="860"/>
      <c r="F78" s="860"/>
      <c r="G78" s="860"/>
      <c r="H78" s="860"/>
      <c r="I78" s="860"/>
      <c r="J78" s="860"/>
      <c r="K78" s="860"/>
      <c r="L78" s="860"/>
    </row>
    <row r="80" spans="2:13">
      <c r="B80" s="14" t="s">
        <v>435</v>
      </c>
      <c r="C80" s="221" t="str">
        <f>'RFPR cover'!$C$14</f>
        <v>£m 12/13</v>
      </c>
      <c r="D80" s="637">
        <f t="shared" ref="D80:K80" si="16">D$69-D42</f>
        <v>4.3903982646953779</v>
      </c>
      <c r="E80" s="638">
        <f t="shared" si="16"/>
        <v>7.7562006320764088</v>
      </c>
      <c r="F80" s="638">
        <f t="shared" si="16"/>
        <v>5.1659146984158815</v>
      </c>
      <c r="G80" s="638">
        <f t="shared" si="16"/>
        <v>5.1641380020183387</v>
      </c>
      <c r="H80" s="638">
        <f t="shared" si="16"/>
        <v>8.2216407268744796E-2</v>
      </c>
      <c r="I80" s="638">
        <f t="shared" si="16"/>
        <v>-0.71439003608130403</v>
      </c>
      <c r="J80" s="638">
        <f t="shared" si="16"/>
        <v>-0.14330883399972283</v>
      </c>
      <c r="K80" s="639">
        <f t="shared" si="16"/>
        <v>6.3527155014796222E-2</v>
      </c>
    </row>
    <row r="81" spans="2:11">
      <c r="B81" s="14"/>
      <c r="C81" s="14"/>
      <c r="D81" s="14"/>
      <c r="E81" s="14"/>
      <c r="F81" s="14"/>
      <c r="G81" s="14"/>
      <c r="H81" s="14"/>
      <c r="I81" s="14"/>
      <c r="J81" s="14"/>
      <c r="K81" s="14"/>
    </row>
    <row r="82" spans="2:11">
      <c r="B82" s="14" t="s">
        <v>446</v>
      </c>
      <c r="C82" s="221" t="str">
        <f>'RFPR cover'!$C$14</f>
        <v>£m 12/13</v>
      </c>
      <c r="D82" s="637">
        <f t="shared" ref="D82:K82" si="17">D$69-D54</f>
        <v>4.5375233150520797</v>
      </c>
      <c r="E82" s="638">
        <f t="shared" si="17"/>
        <v>7.9091921131151706</v>
      </c>
      <c r="F82" s="638">
        <f t="shared" si="17"/>
        <v>5.3471266195983436</v>
      </c>
      <c r="G82" s="638">
        <f t="shared" si="17"/>
        <v>5.4254005408446364</v>
      </c>
      <c r="H82" s="638">
        <f t="shared" si="17"/>
        <v>0.24897191447804445</v>
      </c>
      <c r="I82" s="638">
        <f t="shared" si="17"/>
        <v>-0.71583868197289302</v>
      </c>
      <c r="J82" s="638">
        <f t="shared" si="17"/>
        <v>-0.11044287552419796</v>
      </c>
      <c r="K82" s="639">
        <f t="shared" si="17"/>
        <v>0.1350579917290613</v>
      </c>
    </row>
    <row r="84" spans="2:11">
      <c r="B84" s="14" t="s">
        <v>445</v>
      </c>
      <c r="C84" s="221" t="str">
        <f>'RFPR cover'!$C$14</f>
        <v>£m 12/13</v>
      </c>
      <c r="D84" s="637">
        <f>D80-D82</f>
        <v>-0.14712505035670187</v>
      </c>
      <c r="E84" s="638">
        <f t="shared" ref="E84:K84" si="18">E80-E82</f>
        <v>-0.15299148103876181</v>
      </c>
      <c r="F84" s="638">
        <f t="shared" si="18"/>
        <v>-0.1812119211824621</v>
      </c>
      <c r="G84" s="638">
        <f t="shared" si="18"/>
        <v>-0.26126253882629769</v>
      </c>
      <c r="H84" s="638">
        <f t="shared" si="18"/>
        <v>-0.16675550720929966</v>
      </c>
      <c r="I84" s="638">
        <f t="shared" si="18"/>
        <v>1.4486458915889955E-3</v>
      </c>
      <c r="J84" s="638">
        <f t="shared" si="18"/>
        <v>-3.286595847552487E-2</v>
      </c>
      <c r="K84" s="639">
        <f t="shared" si="18"/>
        <v>-7.1530836714265078E-2</v>
      </c>
    </row>
    <row r="86" spans="2:11">
      <c r="B86" t="s">
        <v>529</v>
      </c>
      <c r="C86" s="280" t="s">
        <v>128</v>
      </c>
      <c r="D86" s="613">
        <f>-'R7 - Financing'!D85*Data!$G$20*Data!$C$34</f>
        <v>3.0626139595016735</v>
      </c>
      <c r="E86" s="613">
        <f>-'R7 - Financing'!E85*Data!$G$21*Data!$D$34</f>
        <v>1.709112785777545</v>
      </c>
      <c r="F86" s="613">
        <f>-'R7 - Financing'!F85*Data!$G$22*Data!$E$34</f>
        <v>3.8850249391600339E-2</v>
      </c>
      <c r="G86" s="613">
        <f>-'R7 - Financing'!G85*Data!$G$23*Data!$F$34</f>
        <v>0.92032690107671689</v>
      </c>
      <c r="H86" s="613">
        <f>-'R7 - Financing'!H85*Data!$G$24*Data!$G$34</f>
        <v>2.1568371266990001</v>
      </c>
      <c r="I86" s="613">
        <f>-'R7 - Financing'!I85*Data!$G$25*Data!$H$34</f>
        <v>1.461411985767471</v>
      </c>
      <c r="J86" s="613">
        <f>-'R7 - Financing'!J85*Data!$G$26*Data!$I$34</f>
        <v>0.31515354049216882</v>
      </c>
      <c r="K86" s="613">
        <f>-'R7 - Financing'!K85*Data!$G$27*Data!$J$34</f>
        <v>0.47739156343688621</v>
      </c>
    </row>
    <row r="87" spans="2:11">
      <c r="B87" t="s">
        <v>529</v>
      </c>
      <c r="C87" s="420" t="str">
        <f>'RFPR cover'!$C$14</f>
        <v>£m 12/13</v>
      </c>
      <c r="D87" s="812">
        <f>D86/D$40</f>
        <v>2.8883953488610623</v>
      </c>
      <c r="E87" s="812">
        <f t="shared" ref="E87:K87" si="19">E86/E$40</f>
        <v>1.5780746998404509</v>
      </c>
      <c r="F87" s="812">
        <f t="shared" si="19"/>
        <v>3.4577694246401752E-2</v>
      </c>
      <c r="G87" s="812">
        <f t="shared" si="19"/>
        <v>0.79482748288416039</v>
      </c>
      <c r="H87" s="812">
        <f t="shared" si="19"/>
        <v>1.8150765222538789</v>
      </c>
      <c r="I87" s="812">
        <f t="shared" si="19"/>
        <v>1.1966379395346922</v>
      </c>
      <c r="J87" s="812">
        <f t="shared" si="19"/>
        <v>0.25047804817389996</v>
      </c>
      <c r="K87" s="812">
        <f t="shared" si="19"/>
        <v>0.36810259264913919</v>
      </c>
    </row>
    <row r="88" spans="2:11">
      <c r="B88" t="s">
        <v>530</v>
      </c>
      <c r="C88" s="280" t="s">
        <v>128</v>
      </c>
      <c r="D88" s="613">
        <f>-'R7 - Financing'!D87*Data!$G$20*Data!$C$34</f>
        <v>3.22098327201916</v>
      </c>
      <c r="E88" s="613">
        <f>-'R7 - Financing'!E87*Data!$G$21*Data!$D$34</f>
        <v>1.8780989628174543</v>
      </c>
      <c r="F88" s="613">
        <f>-'R7 - Financing'!F87*Data!$G$22*Data!$E$34</f>
        <v>0.24559478536943069</v>
      </c>
      <c r="G88" s="613">
        <f>-'R7 - Financing'!G87*Data!$G$23*Data!$F$34</f>
        <v>1.2256044109776076</v>
      </c>
      <c r="H88" s="613">
        <f>-'R7 - Financing'!H87*Data!$G$24*Data!$G$34</f>
        <v>2.3563887090349933</v>
      </c>
      <c r="I88" s="613">
        <f>-'R7 - Financing'!I87*Data!$G$25*Data!$H$34</f>
        <v>1.4596305294955669</v>
      </c>
      <c r="J88" s="613">
        <f>-'R7 - Financing'!J87*Data!$G$26*Data!$I$34</f>
        <v>0.35676147662714497</v>
      </c>
      <c r="K88" s="613">
        <f>-'R7 - Financing'!K87*Data!$G$27*Data!$J$34</f>
        <v>0.57075385079735907</v>
      </c>
    </row>
    <row r="89" spans="2:11">
      <c r="B89" t="s">
        <v>530</v>
      </c>
      <c r="C89" s="420" t="str">
        <f>'RFPR cover'!$C$14</f>
        <v>£m 12/13</v>
      </c>
      <c r="D89" s="812">
        <f t="shared" ref="D89:K89" si="20">D88/D$40</f>
        <v>3.0377557291527602</v>
      </c>
      <c r="E89" s="812">
        <f t="shared" si="20"/>
        <v>1.7341046662818522</v>
      </c>
      <c r="F89" s="812">
        <f t="shared" si="20"/>
        <v>0.21858550537003454</v>
      </c>
      <c r="G89" s="812">
        <f t="shared" si="20"/>
        <v>1.0584761434761678</v>
      </c>
      <c r="H89" s="812">
        <f t="shared" si="20"/>
        <v>1.9830082532098532</v>
      </c>
      <c r="I89" s="812">
        <f t="shared" si="20"/>
        <v>1.1951792419303593</v>
      </c>
      <c r="J89" s="812">
        <f t="shared" si="20"/>
        <v>0.2835472455414989</v>
      </c>
      <c r="K89" s="812">
        <f t="shared" si="20"/>
        <v>0.44009150628981253</v>
      </c>
    </row>
    <row r="90" spans="2:11">
      <c r="B90" t="s">
        <v>533</v>
      </c>
      <c r="C90" s="420" t="str">
        <f>'RFPR cover'!$C$14</f>
        <v>£m 12/13</v>
      </c>
      <c r="D90" s="812">
        <f>D87-D89</f>
        <v>-0.14936038029169785</v>
      </c>
      <c r="E90" s="812">
        <f t="shared" ref="E90:K90" si="21">E87-E89</f>
        <v>-0.15602996644140132</v>
      </c>
      <c r="F90" s="812">
        <f t="shared" si="21"/>
        <v>-0.18400781112363279</v>
      </c>
      <c r="G90" s="812">
        <f t="shared" si="21"/>
        <v>-0.26364866059200742</v>
      </c>
      <c r="H90" s="812">
        <f t="shared" si="21"/>
        <v>-0.16793173095597425</v>
      </c>
      <c r="I90" s="812">
        <f t="shared" si="21"/>
        <v>1.4586976043329258E-3</v>
      </c>
      <c r="J90" s="812">
        <f t="shared" si="21"/>
        <v>-3.3069197367598946E-2</v>
      </c>
      <c r="K90" s="812">
        <f t="shared" si="21"/>
        <v>-7.1988913640673335E-2</v>
      </c>
    </row>
  </sheetData>
  <conditionalFormatting sqref="D6:K7">
    <cfRule type="expression" dxfId="26" priority="69">
      <formula>AND(D$6="Actuals",E$6="Forecast")</formula>
    </cfRule>
  </conditionalFormatting>
  <conditionalFormatting sqref="D5:K5">
    <cfRule type="expression" dxfId="25" priority="44">
      <formula>AND(D$5="Actuals",E$5="Forecast")</formula>
    </cfRule>
  </conditionalFormatting>
  <conditionalFormatting sqref="D37:K37">
    <cfRule type="expression" dxfId="24" priority="12">
      <formula>AND(D$5="Actuals",E$5="Actuals")</formula>
    </cfRule>
  </conditionalFormatting>
  <conditionalFormatting sqref="D12:K12 D15:K19 D24:K34">
    <cfRule type="expression" dxfId="23" priority="11">
      <formula>NOT(AND(D$5="Actuals",E$5="Actuals"))</formula>
    </cfRule>
  </conditionalFormatting>
  <pageMargins left="0.70866141732283472" right="0.70866141732283472" top="0.74803149606299213" bottom="0.74803149606299213" header="0.31496062992125984" footer="0.31496062992125984"/>
  <pageSetup paperSize="8"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80" zoomScaleNormal="80" zoomScaleSheetLayoutView="80" workbookViewId="0">
      <pane ySplit="6" topLeftCell="A7" activePane="bottomLeft" state="frozen"/>
      <selection activeCell="D8" sqref="D8"/>
      <selection pane="bottomLeft" activeCell="A3" sqref="A3"/>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2" customFormat="1" ht="20.25">
      <c r="A1" s="122" t="s">
        <v>260</v>
      </c>
      <c r="B1" s="123"/>
      <c r="C1" s="123"/>
      <c r="D1" s="123"/>
      <c r="E1" s="123"/>
      <c r="F1" s="123"/>
      <c r="G1" s="123"/>
      <c r="H1" s="123"/>
      <c r="I1" s="131"/>
      <c r="J1" s="131"/>
      <c r="K1" s="132"/>
      <c r="L1" s="133"/>
    </row>
    <row r="2" spans="1:18" s="32" customFormat="1" ht="20.25">
      <c r="A2" s="126" t="str">
        <f>'RFPR cover'!C5</f>
        <v>WPD-SWALES</v>
      </c>
      <c r="B2" s="30"/>
      <c r="C2" s="30"/>
      <c r="D2" s="30"/>
      <c r="E2" s="30"/>
      <c r="F2" s="30"/>
      <c r="G2" s="30"/>
      <c r="H2" s="30"/>
      <c r="I2" s="27"/>
      <c r="J2" s="27"/>
      <c r="K2" s="27"/>
      <c r="L2" s="127"/>
    </row>
    <row r="3" spans="1:18" s="32" customFormat="1" ht="23.25">
      <c r="A3" s="128">
        <f>'RFPR cover'!C7</f>
        <v>2019</v>
      </c>
      <c r="B3" s="932" t="str">
        <f>'R1 - RoRE'!B3</f>
        <v/>
      </c>
      <c r="C3" s="129"/>
      <c r="D3" s="129"/>
      <c r="E3" s="129"/>
      <c r="F3" s="129"/>
      <c r="G3" s="129"/>
      <c r="H3" s="129"/>
      <c r="I3" s="29"/>
      <c r="J3" s="29"/>
      <c r="K3" s="29"/>
      <c r="L3" s="130"/>
    </row>
    <row r="4" spans="1:18" s="2" customFormat="1" ht="12.75" customHeight="1"/>
    <row r="5" spans="1:18" s="2" customFormat="1">
      <c r="B5" s="3"/>
      <c r="C5" s="3"/>
      <c r="D5" s="410" t="str">
        <f>IF(D6&lt;='RFPR cover'!$C$7,"Actuals","N/A")</f>
        <v>Actuals</v>
      </c>
      <c r="E5" s="411" t="str">
        <f>IF(E6&lt;='RFPR cover'!$C$7,"Actuals","N/A")</f>
        <v>Actuals</v>
      </c>
      <c r="F5" s="411" t="str">
        <f>IF(F6&lt;='RFPR cover'!$C$7,"Actuals","N/A")</f>
        <v>Actuals</v>
      </c>
      <c r="G5" s="411" t="str">
        <f>IF(G6&lt;='RFPR cover'!$C$7,"Actuals","N/A")</f>
        <v>Actuals</v>
      </c>
      <c r="H5" s="411" t="str">
        <f>IF(H6&lt;='RFPR cover'!$C$7,"Actuals","N/A")</f>
        <v>N/A</v>
      </c>
      <c r="I5" s="411" t="str">
        <f>IF(I6&lt;='RFPR cover'!$C$7,"Actuals","N/A")</f>
        <v>N/A</v>
      </c>
      <c r="J5" s="411" t="str">
        <f>IF(J6&lt;='RFPR cover'!$C$7,"Actuals","N/A")</f>
        <v>N/A</v>
      </c>
      <c r="K5" s="412" t="str">
        <f>IF(K6&lt;='RFPR cover'!$C$7,"Actuals","N/A")</f>
        <v>N/A</v>
      </c>
    </row>
    <row r="6" spans="1:18"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8" s="2" customFormat="1"/>
    <row r="8" spans="1:18">
      <c r="B8" s="14" t="s">
        <v>230</v>
      </c>
      <c r="C8" s="160" t="s">
        <v>128</v>
      </c>
      <c r="D8" s="665">
        <v>43.4</v>
      </c>
      <c r="E8" s="666">
        <v>0</v>
      </c>
      <c r="F8" s="666">
        <v>46.9</v>
      </c>
      <c r="G8" s="666">
        <v>19.399999999999999</v>
      </c>
      <c r="H8" s="666"/>
      <c r="I8" s="666"/>
      <c r="J8" s="666"/>
      <c r="K8" s="667"/>
    </row>
    <row r="9" spans="1:18">
      <c r="B9" s="15" t="s">
        <v>105</v>
      </c>
      <c r="C9" s="14"/>
      <c r="D9" s="774"/>
      <c r="E9" s="774"/>
      <c r="F9" s="774"/>
      <c r="G9" s="774"/>
      <c r="H9" s="774"/>
      <c r="I9" s="774"/>
      <c r="J9" s="774"/>
      <c r="K9" s="774"/>
    </row>
    <row r="10" spans="1:18">
      <c r="B10" s="456" t="s">
        <v>544</v>
      </c>
      <c r="C10" s="160" t="s">
        <v>128</v>
      </c>
      <c r="D10" s="621">
        <v>2.1560517551929284</v>
      </c>
      <c r="E10" s="622">
        <v>0</v>
      </c>
      <c r="F10" s="622">
        <v>2.9728118676841451</v>
      </c>
      <c r="G10" s="622">
        <v>1.7489514988258785</v>
      </c>
      <c r="H10" s="622"/>
      <c r="I10" s="622"/>
      <c r="J10" s="622"/>
      <c r="K10" s="632"/>
    </row>
    <row r="11" spans="1:18">
      <c r="B11" s="456" t="s">
        <v>22</v>
      </c>
      <c r="C11" s="160" t="s">
        <v>128</v>
      </c>
      <c r="D11" s="623"/>
      <c r="E11" s="624"/>
      <c r="F11" s="624"/>
      <c r="G11" s="624"/>
      <c r="H11" s="624"/>
      <c r="I11" s="624"/>
      <c r="J11" s="624"/>
      <c r="K11" s="633"/>
    </row>
    <row r="12" spans="1:18">
      <c r="B12" s="456" t="s">
        <v>20</v>
      </c>
      <c r="C12" s="160" t="s">
        <v>128</v>
      </c>
      <c r="D12" s="634"/>
      <c r="E12" s="635"/>
      <c r="F12" s="635"/>
      <c r="G12" s="635"/>
      <c r="H12" s="635"/>
      <c r="I12" s="635"/>
      <c r="J12" s="635"/>
      <c r="K12" s="636"/>
      <c r="Q12" s="226"/>
    </row>
    <row r="13" spans="1:18">
      <c r="B13" s="14" t="s">
        <v>106</v>
      </c>
      <c r="C13" s="160" t="s">
        <v>128</v>
      </c>
      <c r="D13" s="764">
        <f>D8-SUM(D10:D12)</f>
        <v>41.243948244807072</v>
      </c>
      <c r="E13" s="765">
        <f t="shared" ref="E13:K13" si="1">E8-SUM(E10:E12)</f>
        <v>0</v>
      </c>
      <c r="F13" s="765">
        <f t="shared" si="1"/>
        <v>43.927188132315855</v>
      </c>
      <c r="G13" s="765">
        <f t="shared" si="1"/>
        <v>17.65104850117412</v>
      </c>
      <c r="H13" s="765">
        <f t="shared" si="1"/>
        <v>0</v>
      </c>
      <c r="I13" s="765">
        <f t="shared" si="1"/>
        <v>0</v>
      </c>
      <c r="J13" s="765">
        <f t="shared" si="1"/>
        <v>0</v>
      </c>
      <c r="K13" s="766">
        <f t="shared" si="1"/>
        <v>0</v>
      </c>
      <c r="R13" s="225"/>
    </row>
    <row r="14" spans="1:18">
      <c r="C14" s="14"/>
      <c r="Q14" s="226"/>
    </row>
    <row r="15" spans="1:18">
      <c r="B15" s="14" t="s">
        <v>505</v>
      </c>
      <c r="C15" s="160" t="s">
        <v>128</v>
      </c>
      <c r="D15" s="621">
        <v>0</v>
      </c>
      <c r="E15" s="622">
        <v>0</v>
      </c>
      <c r="F15" s="622">
        <v>0</v>
      </c>
      <c r="G15" s="622">
        <v>0</v>
      </c>
      <c r="H15" s="622"/>
      <c r="I15" s="622"/>
      <c r="J15" s="622"/>
      <c r="K15" s="632"/>
    </row>
  </sheetData>
  <conditionalFormatting sqref="D6:K6">
    <cfRule type="expression" dxfId="22" priority="18">
      <formula>AND(D$5="Actuals",E$5="N/A")</formula>
    </cfRule>
  </conditionalFormatting>
  <conditionalFormatting sqref="D5:K5">
    <cfRule type="expression" dxfId="21" priority="11">
      <formula>AND(D$5="Actuals",E$5="N/A")</formula>
    </cfRule>
  </conditionalFormatting>
  <conditionalFormatting sqref="H8:K8 D5:K6 D13:K13 D11:F12 H10:K12">
    <cfRule type="expression" dxfId="20" priority="10">
      <formula>D$5="N/A"</formula>
    </cfRule>
  </conditionalFormatting>
  <conditionalFormatting sqref="H15:K15">
    <cfRule type="expression" dxfId="19" priority="9">
      <formula>H$5="N/A"</formula>
    </cfRule>
  </conditionalFormatting>
  <conditionalFormatting sqref="D10:F10">
    <cfRule type="expression" dxfId="18" priority="7">
      <formula>D$5="N/A"</formula>
    </cfRule>
  </conditionalFormatting>
  <conditionalFormatting sqref="D8:F8">
    <cfRule type="expression" dxfId="17" priority="5">
      <formula>D$5="N/A"</formula>
    </cfRule>
  </conditionalFormatting>
  <conditionalFormatting sqref="G11:G12">
    <cfRule type="expression" dxfId="16" priority="4">
      <formula>G$5="N/A"</formula>
    </cfRule>
  </conditionalFormatting>
  <conditionalFormatting sqref="G10">
    <cfRule type="expression" dxfId="15" priority="3">
      <formula>G$5="N/A"</formula>
    </cfRule>
  </conditionalFormatting>
  <conditionalFormatting sqref="G8">
    <cfRule type="expression" dxfId="14" priority="2">
      <formula>G$5="N/A"</formula>
    </cfRule>
  </conditionalFormatting>
  <conditionalFormatting sqref="D15:G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2" customFormat="1" ht="20.25">
      <c r="A1" s="268" t="s">
        <v>259</v>
      </c>
      <c r="B1" s="269"/>
      <c r="C1" s="269"/>
      <c r="D1" s="269"/>
      <c r="E1" s="269"/>
      <c r="F1" s="269"/>
      <c r="G1" s="269"/>
      <c r="H1" s="269"/>
      <c r="I1" s="270"/>
      <c r="J1" s="270"/>
      <c r="K1" s="271"/>
      <c r="L1" s="272"/>
    </row>
    <row r="2" spans="1:12" s="32" customFormat="1" ht="20.25">
      <c r="A2" s="126" t="str">
        <f>'RFPR cover'!C5</f>
        <v>WPD-SWALES</v>
      </c>
      <c r="B2" s="30"/>
      <c r="C2" s="30"/>
      <c r="D2" s="30"/>
      <c r="E2" s="30"/>
      <c r="F2" s="30"/>
      <c r="G2" s="30"/>
      <c r="H2" s="30"/>
      <c r="I2" s="27"/>
      <c r="J2" s="27"/>
      <c r="K2" s="27"/>
      <c r="L2" s="127"/>
    </row>
    <row r="3" spans="1:12" s="32" customFormat="1" ht="20.25">
      <c r="A3" s="273">
        <f>'RFPR cover'!C7</f>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A6" s="36"/>
      <c r="B6" s="36"/>
      <c r="C6" s="32"/>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A7" s="36"/>
      <c r="B7" s="36"/>
      <c r="C7" s="32"/>
      <c r="D7" s="32"/>
      <c r="E7" s="32"/>
      <c r="F7" s="32"/>
      <c r="G7" s="32"/>
      <c r="H7" s="32"/>
      <c r="I7" s="32"/>
      <c r="J7" s="32"/>
      <c r="K7" s="32"/>
      <c r="L7" s="32"/>
    </row>
    <row r="8" spans="1:12">
      <c r="B8" s="14" t="s">
        <v>394</v>
      </c>
      <c r="C8" s="160" t="s">
        <v>128</v>
      </c>
      <c r="D8" s="775">
        <v>34.086201676005537</v>
      </c>
      <c r="E8" s="775">
        <v>70.263235478112918</v>
      </c>
      <c r="F8" s="775">
        <v>-0.85856026287229925</v>
      </c>
      <c r="G8" s="776">
        <v>33.404017108190544</v>
      </c>
      <c r="H8" s="776"/>
      <c r="I8" s="776"/>
      <c r="J8" s="776"/>
      <c r="K8" s="777"/>
    </row>
    <row r="9" spans="1:12">
      <c r="B9" s="16" t="s">
        <v>24</v>
      </c>
      <c r="D9" s="774"/>
      <c r="E9" s="774"/>
      <c r="F9" s="774"/>
      <c r="G9" s="774"/>
      <c r="H9" s="774"/>
      <c r="I9" s="774"/>
      <c r="J9" s="774"/>
      <c r="K9" s="774"/>
    </row>
    <row r="10" spans="1:12">
      <c r="B10" t="s">
        <v>23</v>
      </c>
      <c r="C10" s="160" t="s">
        <v>128</v>
      </c>
      <c r="D10" s="704">
        <v>27.018399787323251</v>
      </c>
      <c r="E10" s="704">
        <v>55.694095943662745</v>
      </c>
      <c r="F10" s="704">
        <v>-0.52114180385053399</v>
      </c>
      <c r="G10" s="705">
        <v>26.389292010010774</v>
      </c>
      <c r="H10" s="705"/>
      <c r="I10" s="705"/>
      <c r="J10" s="705"/>
      <c r="K10" s="706"/>
    </row>
    <row r="11" spans="1:12">
      <c r="B11" t="s">
        <v>25</v>
      </c>
      <c r="C11" s="160" t="s">
        <v>128</v>
      </c>
      <c r="D11" s="704">
        <v>0.76781756804892043</v>
      </c>
      <c r="E11" s="704">
        <v>1.5827327169172369</v>
      </c>
      <c r="F11" s="704">
        <v>-1.3327575451296441E-2</v>
      </c>
      <c r="G11" s="778">
        <v>-5.7506164941511707E-2</v>
      </c>
      <c r="H11" s="778"/>
      <c r="I11" s="778"/>
      <c r="J11" s="778"/>
      <c r="K11" s="779"/>
    </row>
    <row r="12" spans="1:12">
      <c r="D12" s="774"/>
      <c r="E12" s="774"/>
      <c r="F12" s="774"/>
      <c r="G12" s="774"/>
      <c r="H12" s="774"/>
      <c r="I12" s="774"/>
      <c r="J12" s="774"/>
      <c r="K12" s="774"/>
    </row>
    <row r="13" spans="1:12">
      <c r="D13" s="774"/>
      <c r="E13" s="774"/>
      <c r="F13" s="774"/>
      <c r="G13" s="774"/>
      <c r="H13" s="774"/>
      <c r="I13" s="774"/>
      <c r="J13" s="774"/>
      <c r="K13" s="774"/>
    </row>
    <row r="14" spans="1:12">
      <c r="B14" t="s">
        <v>23</v>
      </c>
      <c r="C14" s="220" t="str">
        <f>'RFPR cover'!$C$14</f>
        <v>£m 12/13</v>
      </c>
      <c r="D14" s="17">
        <f>D10/Data!C$34</f>
        <v>25.481442098589294</v>
      </c>
      <c r="E14" s="17">
        <f>E10/Data!D$34</f>
        <v>51.42401629111702</v>
      </c>
      <c r="F14" s="17">
        <f>F10/Data!E$34</f>
        <v>-0.46382924781064722</v>
      </c>
      <c r="G14" s="17">
        <f>G10/Data!F$34</f>
        <v>22.790743722554204</v>
      </c>
      <c r="H14" s="17">
        <f>H10/Data!G$34</f>
        <v>0</v>
      </c>
      <c r="I14" s="17">
        <f>I10/Data!H$34</f>
        <v>0</v>
      </c>
      <c r="J14" s="17">
        <f>J10/Data!I$34</f>
        <v>0</v>
      </c>
      <c r="K14" s="17">
        <f>K10/Data!J$34</f>
        <v>0</v>
      </c>
    </row>
    <row r="15" spans="1:12">
      <c r="D15" s="774"/>
      <c r="E15" s="774"/>
      <c r="F15" s="774"/>
      <c r="G15" s="774"/>
      <c r="H15" s="774"/>
      <c r="I15" s="774"/>
      <c r="J15" s="774"/>
      <c r="K15" s="774"/>
    </row>
    <row r="16" spans="1:12">
      <c r="D16" s="774"/>
      <c r="E16" s="774"/>
      <c r="F16" s="774"/>
      <c r="G16" s="774"/>
      <c r="H16" s="774"/>
      <c r="I16" s="774"/>
      <c r="J16" s="774"/>
      <c r="K16" s="774"/>
    </row>
    <row r="17" spans="2:11" s="2" customFormat="1">
      <c r="B17" s="14" t="s">
        <v>313</v>
      </c>
      <c r="C17" s="220" t="str">
        <f>'RFPR cover'!$C$14</f>
        <v>£m 12/13</v>
      </c>
      <c r="D17" s="910">
        <v>25.425543387583833</v>
      </c>
      <c r="E17" s="910">
        <v>25.425543387583833</v>
      </c>
      <c r="F17" s="910">
        <v>25.425543387583833</v>
      </c>
      <c r="G17" s="910">
        <v>25.428685775819954</v>
      </c>
      <c r="H17" s="910">
        <v>25.428685775819954</v>
      </c>
      <c r="I17" s="910">
        <v>25.428685775819954</v>
      </c>
      <c r="J17" s="910">
        <v>25.428685775819954</v>
      </c>
      <c r="K17" s="910">
        <v>9.722518599582191</v>
      </c>
    </row>
    <row r="18" spans="2:11" s="2" customFormat="1">
      <c r="B18" s="210" t="s">
        <v>314</v>
      </c>
      <c r="C18" s="220" t="str">
        <f>'RFPR cover'!$C$14</f>
        <v>£m 12/13</v>
      </c>
      <c r="D18" s="910">
        <v>1.4699695944415692</v>
      </c>
      <c r="E18" s="910">
        <v>1.4699695944415692</v>
      </c>
      <c r="F18" s="910">
        <v>1.4731119826776899</v>
      </c>
      <c r="G18" s="910">
        <v>1.4731119826776899</v>
      </c>
      <c r="H18" s="910">
        <v>1.4731119826776899</v>
      </c>
      <c r="I18" s="910">
        <v>1.4731119826776899</v>
      </c>
      <c r="J18" s="910">
        <v>1.4731119826776899</v>
      </c>
      <c r="K18" s="910">
        <v>6.9131119826776901</v>
      </c>
    </row>
    <row r="19" spans="2:11" s="2" customFormat="1">
      <c r="B19" s="14" t="s">
        <v>315</v>
      </c>
      <c r="C19" s="220" t="str">
        <f>'RFPR cover'!$C$14</f>
        <v>£m 12/13</v>
      </c>
      <c r="D19" s="17">
        <f>D17-D18</f>
        <v>23.955573793142264</v>
      </c>
      <c r="E19" s="17">
        <f t="shared" ref="E19:K19" si="1">E17-E18</f>
        <v>23.955573793142264</v>
      </c>
      <c r="F19" s="17">
        <f t="shared" si="1"/>
        <v>23.952431404906143</v>
      </c>
      <c r="G19" s="17">
        <f t="shared" si="1"/>
        <v>23.955573793142264</v>
      </c>
      <c r="H19" s="17">
        <f t="shared" si="1"/>
        <v>23.955573793142264</v>
      </c>
      <c r="I19" s="17">
        <f t="shared" si="1"/>
        <v>23.955573793142264</v>
      </c>
      <c r="J19" s="17">
        <f t="shared" si="1"/>
        <v>23.955573793142264</v>
      </c>
      <c r="K19" s="17">
        <f t="shared" si="1"/>
        <v>2.8094066169045009</v>
      </c>
    </row>
    <row r="20" spans="2:11" s="2" customFormat="1">
      <c r="B20" s="14"/>
      <c r="C20" s="14"/>
      <c r="D20" s="14"/>
      <c r="E20" s="14"/>
      <c r="F20" s="14"/>
      <c r="G20" s="14"/>
      <c r="H20" s="14"/>
      <c r="I20" s="14"/>
      <c r="J20" s="14"/>
      <c r="K20" s="14"/>
    </row>
    <row r="21" spans="2:11" s="2" customFormat="1">
      <c r="B21" s="14"/>
      <c r="C21" s="14"/>
      <c r="D21" s="986" t="s">
        <v>118</v>
      </c>
      <c r="E21" s="14"/>
      <c r="F21" s="14"/>
      <c r="G21" s="14"/>
      <c r="H21" s="14"/>
      <c r="I21" s="14"/>
      <c r="J21" s="14"/>
      <c r="K21" s="14"/>
    </row>
    <row r="22" spans="2:11" s="2" customFormat="1" ht="12.75" customHeight="1">
      <c r="B22" s="14"/>
      <c r="C22" s="14"/>
      <c r="D22" s="987"/>
      <c r="E22" s="14"/>
      <c r="F22" s="14"/>
      <c r="G22" s="14"/>
      <c r="H22" s="14"/>
      <c r="I22" s="14"/>
      <c r="J22" s="14"/>
      <c r="K22" s="14"/>
    </row>
    <row r="23" spans="2:11">
      <c r="C23" s="14"/>
      <c r="D23" s="988"/>
      <c r="E23" s="14"/>
    </row>
    <row r="24" spans="2:11">
      <c r="B24" s="14" t="s">
        <v>117</v>
      </c>
      <c r="C24" s="14"/>
      <c r="D24" s="549">
        <v>42460</v>
      </c>
    </row>
    <row r="25" spans="2:11">
      <c r="B25" s="14"/>
      <c r="C25" s="14"/>
      <c r="D25" s="41"/>
      <c r="E25" s="42"/>
      <c r="F25" s="42"/>
    </row>
    <row r="26" spans="2:11">
      <c r="B26" s="210" t="s">
        <v>312</v>
      </c>
      <c r="C26" s="14"/>
      <c r="D26" s="381" t="s">
        <v>77</v>
      </c>
      <c r="E26" s="42"/>
      <c r="F26" s="42"/>
    </row>
    <row r="27" spans="2:11">
      <c r="B27" s="210"/>
      <c r="C27" s="14"/>
      <c r="D27" s="41"/>
      <c r="E27" s="42"/>
      <c r="F27" s="42"/>
    </row>
    <row r="28" spans="2:11">
      <c r="B28" s="14"/>
      <c r="D28" s="380" t="s">
        <v>282</v>
      </c>
      <c r="E28" s="42"/>
      <c r="F28" s="42"/>
    </row>
    <row r="29" spans="2:11">
      <c r="B29" t="s">
        <v>26</v>
      </c>
      <c r="D29" s="780">
        <v>200.01971999999998</v>
      </c>
    </row>
    <row r="30" spans="2:11">
      <c r="B30" t="s">
        <v>27</v>
      </c>
      <c r="D30" s="780">
        <v>2093.9802800000002</v>
      </c>
    </row>
    <row r="31" spans="2:11">
      <c r="D31" s="774"/>
    </row>
    <row r="32" spans="2:11">
      <c r="B32" t="s">
        <v>28</v>
      </c>
      <c r="D32" s="780">
        <v>201.00000000000003</v>
      </c>
    </row>
    <row r="33" spans="2:4">
      <c r="B33" t="s">
        <v>29</v>
      </c>
      <c r="D33" s="780">
        <v>1586</v>
      </c>
    </row>
    <row r="34" spans="2:4">
      <c r="D34" s="774"/>
    </row>
    <row r="35" spans="2:4">
      <c r="B35" s="44" t="s">
        <v>31</v>
      </c>
      <c r="D35" s="17">
        <f>D29-D32</f>
        <v>-0.98028000000005022</v>
      </c>
    </row>
    <row r="36" spans="2:4">
      <c r="B36" s="44" t="s">
        <v>30</v>
      </c>
      <c r="D36" s="17">
        <f>D30-D33</f>
        <v>507.98028000000022</v>
      </c>
    </row>
    <row r="37" spans="2:4">
      <c r="D37" s="774"/>
    </row>
    <row r="38" spans="2:4">
      <c r="B38" t="s">
        <v>32</v>
      </c>
      <c r="D38" s="780">
        <v>193.38914400585065</v>
      </c>
    </row>
    <row r="39" spans="2:4">
      <c r="B39" t="s">
        <v>33</v>
      </c>
      <c r="D39" s="780">
        <v>-0.36871959776612673</v>
      </c>
    </row>
  </sheetData>
  <mergeCells count="1">
    <mergeCell ref="D21:D23"/>
  </mergeCells>
  <conditionalFormatting sqref="D6:J6">
    <cfRule type="expression" dxfId="12" priority="16">
      <formula>AND(D$4="Actuals",E$4="Forecast")</formula>
    </cfRule>
  </conditionalFormatting>
  <conditionalFormatting sqref="G11:K11">
    <cfRule type="expression" dxfId="11" priority="10">
      <formula>G$5="Forecast"</formula>
    </cfRule>
    <cfRule type="expression" dxfId="10" priority="11">
      <formula>G$5="Actuals"</formula>
    </cfRule>
  </conditionalFormatting>
  <conditionalFormatting sqref="D8:K8">
    <cfRule type="expression" dxfId="9" priority="14">
      <formula>D$5="Forecast"</formula>
    </cfRule>
    <cfRule type="expression" dxfId="8" priority="15">
      <formula>D$5="Actuals"</formula>
    </cfRule>
  </conditionalFormatting>
  <conditionalFormatting sqref="G10:K10 D10:F11">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2" customFormat="1" ht="20.25">
      <c r="A1" s="382" t="s">
        <v>258</v>
      </c>
      <c r="B1" s="269"/>
      <c r="C1" s="269"/>
      <c r="D1" s="269"/>
      <c r="E1" s="269"/>
      <c r="F1" s="269"/>
      <c r="G1" s="269"/>
      <c r="H1" s="269"/>
      <c r="I1" s="270"/>
      <c r="J1" s="270"/>
      <c r="K1" s="271"/>
      <c r="L1" s="383"/>
      <c r="M1" s="34"/>
      <c r="N1" s="34"/>
      <c r="O1" s="33" t="s">
        <v>84</v>
      </c>
      <c r="P1" s="34"/>
      <c r="Q1" s="34"/>
      <c r="R1" s="34"/>
      <c r="S1" s="34"/>
    </row>
    <row r="2" spans="1:19" s="32" customFormat="1" ht="20.25">
      <c r="A2" s="126" t="str">
        <f>'RFPR cover'!C5</f>
        <v>WPD-SWALES</v>
      </c>
      <c r="B2" s="30"/>
      <c r="C2" s="30"/>
      <c r="D2" s="30"/>
      <c r="E2" s="30"/>
      <c r="F2" s="30"/>
      <c r="G2" s="30"/>
      <c r="H2" s="30"/>
      <c r="I2" s="27"/>
      <c r="J2" s="27"/>
      <c r="K2" s="27"/>
      <c r="L2" s="127"/>
      <c r="M2" s="34"/>
      <c r="N2" s="34"/>
      <c r="O2" s="33" t="s">
        <v>84</v>
      </c>
      <c r="P2" s="34"/>
      <c r="Q2" s="34"/>
      <c r="R2" s="34"/>
      <c r="S2" s="34"/>
    </row>
    <row r="3" spans="1:19" s="32" customFormat="1" ht="20.25">
      <c r="A3" s="273">
        <f>'RFPR cover'!C7</f>
        <v>2019</v>
      </c>
      <c r="B3" s="274"/>
      <c r="C3" s="274"/>
      <c r="D3" s="274"/>
      <c r="E3" s="274"/>
      <c r="F3" s="274"/>
      <c r="G3" s="274"/>
      <c r="H3" s="274"/>
      <c r="I3" s="267"/>
      <c r="J3" s="267"/>
      <c r="K3" s="267"/>
      <c r="L3" s="275"/>
      <c r="M3" s="34"/>
      <c r="N3" s="34"/>
      <c r="O3" s="33" t="s">
        <v>84</v>
      </c>
      <c r="P3" s="34"/>
      <c r="Q3" s="34"/>
      <c r="R3" s="34"/>
      <c r="S3" s="34"/>
    </row>
    <row r="4" spans="1:19" s="2" customFormat="1" ht="12.75" customHeight="1">
      <c r="M4" s="34"/>
      <c r="N4" s="34"/>
      <c r="O4" s="33" t="s">
        <v>84</v>
      </c>
      <c r="P4" s="34"/>
      <c r="Q4" s="34"/>
      <c r="R4" s="34"/>
      <c r="S4" s="34"/>
    </row>
    <row r="5" spans="1:19" s="2" customFormat="1" ht="12.75" customHeigh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M5" s="34"/>
      <c r="N5" s="34"/>
      <c r="O5" s="33" t="s">
        <v>84</v>
      </c>
      <c r="P5" s="34"/>
      <c r="Q5" s="34"/>
      <c r="R5" s="34"/>
      <c r="S5" s="34"/>
    </row>
    <row r="6" spans="1:19" s="2" customFormat="1">
      <c r="C6" s="1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9">
      <c r="D7" s="784"/>
      <c r="E7" s="784"/>
      <c r="F7" s="784"/>
      <c r="G7" s="784"/>
      <c r="H7" s="784"/>
      <c r="I7" s="784"/>
      <c r="J7" s="784"/>
      <c r="K7" s="784"/>
    </row>
    <row r="8" spans="1:19">
      <c r="B8" s="52" t="s">
        <v>468</v>
      </c>
      <c r="C8" s="220" t="str">
        <f>'RFPR cover'!$C$14</f>
        <v>£m 12/13</v>
      </c>
      <c r="D8" s="781">
        <f>(D16+D21)/Data!C34</f>
        <v>1.5983902973021935E-2</v>
      </c>
      <c r="E8" s="781">
        <f>(E16+E21)/Data!D34</f>
        <v>1.1401275887573965E-2</v>
      </c>
      <c r="F8" s="781">
        <f>(F16+F21)/Data!E34</f>
        <v>1.1390360059774545E-2</v>
      </c>
      <c r="G8" s="781">
        <f>(G16+G21)/Data!F34</f>
        <v>2.055613554417807E-2</v>
      </c>
      <c r="H8" s="781">
        <f>(H16+H21)/Data!G34</f>
        <v>1.3940589466587173E-2</v>
      </c>
      <c r="I8" s="781">
        <f>(I16+I21)/Data!H34</f>
        <v>1.3899101485946891E-2</v>
      </c>
      <c r="J8" s="781">
        <f>(J16+J21)/Data!I34</f>
        <v>1.3490998773061771E-2</v>
      </c>
      <c r="K8" s="781">
        <f>(K16+K21)/Data!J34</f>
        <v>1.3088526580705088E-2</v>
      </c>
    </row>
    <row r="9" spans="1:19">
      <c r="D9" s="784"/>
      <c r="E9" s="784"/>
      <c r="F9" s="784"/>
      <c r="G9" s="784"/>
      <c r="H9" s="784"/>
      <c r="I9" s="784"/>
      <c r="J9" s="784"/>
      <c r="K9" s="784"/>
    </row>
    <row r="10" spans="1:19">
      <c r="B10" s="14" t="s">
        <v>452</v>
      </c>
      <c r="D10" s="784"/>
      <c r="E10" s="784"/>
      <c r="F10" s="784"/>
      <c r="G10" s="784"/>
      <c r="H10" s="784"/>
      <c r="I10" s="784"/>
      <c r="J10" s="784"/>
      <c r="K10" s="784"/>
    </row>
    <row r="11" spans="1:19">
      <c r="B11" s="45" t="s">
        <v>36</v>
      </c>
      <c r="C11" s="160" t="s">
        <v>128</v>
      </c>
      <c r="D11" s="665">
        <v>0</v>
      </c>
      <c r="E11" s="666">
        <v>0</v>
      </c>
      <c r="F11" s="666">
        <v>0</v>
      </c>
      <c r="G11" s="666">
        <v>0</v>
      </c>
      <c r="H11" s="666">
        <v>0</v>
      </c>
      <c r="I11" s="666">
        <v>0</v>
      </c>
      <c r="J11" s="666">
        <v>0</v>
      </c>
      <c r="K11" s="667">
        <v>0</v>
      </c>
    </row>
    <row r="12" spans="1:19">
      <c r="B12" s="45" t="s">
        <v>36</v>
      </c>
      <c r="C12" s="160" t="s">
        <v>128</v>
      </c>
      <c r="D12" s="665">
        <v>0</v>
      </c>
      <c r="E12" s="666">
        <v>0</v>
      </c>
      <c r="F12" s="666">
        <v>0</v>
      </c>
      <c r="G12" s="666">
        <v>0</v>
      </c>
      <c r="H12" s="666">
        <v>0</v>
      </c>
      <c r="I12" s="666">
        <v>0</v>
      </c>
      <c r="J12" s="666">
        <v>0</v>
      </c>
      <c r="K12" s="667">
        <v>0</v>
      </c>
    </row>
    <row r="13" spans="1:19">
      <c r="B13" s="45" t="s">
        <v>20</v>
      </c>
      <c r="C13" s="160" t="s">
        <v>128</v>
      </c>
      <c r="D13" s="665">
        <v>0</v>
      </c>
      <c r="E13" s="666">
        <v>0</v>
      </c>
      <c r="F13" s="666">
        <v>0</v>
      </c>
      <c r="G13" s="666">
        <v>0</v>
      </c>
      <c r="H13" s="666">
        <v>0</v>
      </c>
      <c r="I13" s="666">
        <v>0</v>
      </c>
      <c r="J13" s="666">
        <v>0</v>
      </c>
      <c r="K13" s="667">
        <v>0</v>
      </c>
    </row>
    <row r="14" spans="1:19">
      <c r="B14" s="14" t="s">
        <v>465</v>
      </c>
      <c r="C14" s="160" t="s">
        <v>128</v>
      </c>
      <c r="D14" s="781">
        <f>SUM(D11:D13)</f>
        <v>0</v>
      </c>
      <c r="E14" s="782">
        <f t="shared" ref="E14:K14" si="1">SUM(E11:E13)</f>
        <v>0</v>
      </c>
      <c r="F14" s="782">
        <f t="shared" si="1"/>
        <v>0</v>
      </c>
      <c r="G14" s="782">
        <f t="shared" si="1"/>
        <v>0</v>
      </c>
      <c r="H14" s="782">
        <f t="shared" si="1"/>
        <v>0</v>
      </c>
      <c r="I14" s="782">
        <f t="shared" si="1"/>
        <v>0</v>
      </c>
      <c r="J14" s="782">
        <f t="shared" si="1"/>
        <v>0</v>
      </c>
      <c r="K14" s="783">
        <f t="shared" si="1"/>
        <v>0</v>
      </c>
    </row>
    <row r="15" spans="1:19">
      <c r="B15" s="36" t="s">
        <v>459</v>
      </c>
      <c r="C15" s="160" t="s">
        <v>128</v>
      </c>
      <c r="D15" s="665">
        <v>0</v>
      </c>
      <c r="E15" s="666">
        <v>0</v>
      </c>
      <c r="F15" s="666">
        <v>0</v>
      </c>
      <c r="G15" s="666">
        <v>0</v>
      </c>
      <c r="H15" s="666">
        <v>0</v>
      </c>
      <c r="I15" s="666">
        <v>0</v>
      </c>
      <c r="J15" s="666">
        <v>0</v>
      </c>
      <c r="K15" s="667">
        <v>0</v>
      </c>
    </row>
    <row r="16" spans="1:19">
      <c r="B16" s="52" t="s">
        <v>466</v>
      </c>
      <c r="C16" s="160" t="s">
        <v>128</v>
      </c>
      <c r="D16" s="781">
        <f>D14-D15</f>
        <v>0</v>
      </c>
      <c r="E16" s="781">
        <f t="shared" ref="E16:K16" si="2">E14-E15</f>
        <v>0</v>
      </c>
      <c r="F16" s="781">
        <f t="shared" si="2"/>
        <v>0</v>
      </c>
      <c r="G16" s="781">
        <f t="shared" si="2"/>
        <v>0</v>
      </c>
      <c r="H16" s="781">
        <f t="shared" si="2"/>
        <v>0</v>
      </c>
      <c r="I16" s="781">
        <f t="shared" si="2"/>
        <v>0</v>
      </c>
      <c r="J16" s="781">
        <f t="shared" si="2"/>
        <v>0</v>
      </c>
      <c r="K16" s="781">
        <f t="shared" si="2"/>
        <v>0</v>
      </c>
    </row>
    <row r="18" spans="2:11">
      <c r="B18" s="14" t="s">
        <v>463</v>
      </c>
      <c r="D18" s="784"/>
      <c r="E18" s="784"/>
      <c r="F18" s="784"/>
      <c r="G18" s="784"/>
      <c r="H18" s="784"/>
      <c r="I18" s="784"/>
      <c r="J18" s="784"/>
      <c r="K18" s="784"/>
    </row>
    <row r="19" spans="2:11">
      <c r="B19" s="870" t="s">
        <v>464</v>
      </c>
      <c r="C19" s="160" t="s">
        <v>128</v>
      </c>
      <c r="D19" s="665">
        <v>2.1184999999999999E-2</v>
      </c>
      <c r="E19" s="666">
        <v>1.5435000000000001E-2</v>
      </c>
      <c r="F19" s="666">
        <v>1.5799750000000001E-2</v>
      </c>
      <c r="G19" s="666">
        <v>2.9385000000000001E-2</v>
      </c>
      <c r="H19" s="666">
        <f>AVERAGE($D$19:$G$19)</f>
        <v>2.0451187500000002E-2</v>
      </c>
      <c r="I19" s="666">
        <f t="shared" ref="I19:K19" si="3">AVERAGE($D$19:$G$19)</f>
        <v>2.0451187500000002E-2</v>
      </c>
      <c r="J19" s="666">
        <f t="shared" si="3"/>
        <v>2.0451187500000002E-2</v>
      </c>
      <c r="K19" s="667">
        <f t="shared" si="3"/>
        <v>2.0451187500000002E-2</v>
      </c>
    </row>
    <row r="20" spans="2:11">
      <c r="B20" s="36" t="s">
        <v>459</v>
      </c>
      <c r="C20" s="160" t="s">
        <v>128</v>
      </c>
      <c r="D20" s="665">
        <v>4.2370000000000003E-3</v>
      </c>
      <c r="E20" s="666">
        <v>3.0870000000000003E-3</v>
      </c>
      <c r="F20" s="666">
        <v>3.0019525000000002E-3</v>
      </c>
      <c r="G20" s="666">
        <f>+G19*Data!$G$23</f>
        <v>5.5831500000000003E-3</v>
      </c>
      <c r="H20" s="666">
        <f>+H19*Data!$G$24</f>
        <v>3.8857256250000006E-3</v>
      </c>
      <c r="I20" s="666">
        <f>+I19*Data!$G$25</f>
        <v>3.4767018750000009E-3</v>
      </c>
      <c r="J20" s="666">
        <f>+J19*Data!$G$26</f>
        <v>3.4767018750000009E-3</v>
      </c>
      <c r="K20" s="667">
        <f>+K19*Data!$G$27</f>
        <v>3.4767018750000009E-3</v>
      </c>
    </row>
    <row r="21" spans="2:11">
      <c r="B21" s="52" t="s">
        <v>467</v>
      </c>
      <c r="C21" s="160" t="s">
        <v>128</v>
      </c>
      <c r="D21" s="781">
        <f>D19-D20</f>
        <v>1.6947999999999998E-2</v>
      </c>
      <c r="E21" s="781">
        <f t="shared" ref="E21:K21" si="4">E19-E20</f>
        <v>1.2348000000000001E-2</v>
      </c>
      <c r="F21" s="781">
        <f t="shared" si="4"/>
        <v>1.2797797500000001E-2</v>
      </c>
      <c r="G21" s="781">
        <f t="shared" si="4"/>
        <v>2.3801849999999999E-2</v>
      </c>
      <c r="H21" s="781">
        <f t="shared" si="4"/>
        <v>1.6565461875000003E-2</v>
      </c>
      <c r="I21" s="781">
        <f t="shared" si="4"/>
        <v>1.6974485625000001E-2</v>
      </c>
      <c r="J21" s="781">
        <f t="shared" si="4"/>
        <v>1.6974485625000001E-2</v>
      </c>
      <c r="K21" s="781">
        <f t="shared" si="4"/>
        <v>1.6974485625000001E-2</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9" sqref="B19"/>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80" zoomScaleNormal="80" workbookViewId="0">
      <pane ySplit="4" topLeftCell="A5" activePane="bottomLeft" state="frozen"/>
      <selection activeCell="D8" sqref="D8"/>
      <selection pane="bottomLeft" activeCell="A3" sqref="A3"/>
    </sheetView>
  </sheetViews>
  <sheetFormatPr defaultRowHeight="12.75"/>
  <cols>
    <col min="1" max="1" width="8.375" customWidth="1"/>
    <col min="2" max="2" width="35.125" customWidth="1"/>
    <col min="8" max="8" width="10.125" bestFit="1" customWidth="1"/>
    <col min="14" max="14" width="9" customWidth="1"/>
  </cols>
  <sheetData>
    <row r="1" spans="1:14" ht="20.25">
      <c r="A1" s="382" t="s">
        <v>376</v>
      </c>
      <c r="B1" s="429"/>
      <c r="C1" s="429"/>
      <c r="D1" s="429"/>
      <c r="E1" s="429"/>
      <c r="F1" s="429"/>
      <c r="G1" s="429"/>
      <c r="H1" s="429"/>
      <c r="I1" s="429"/>
      <c r="J1" s="429"/>
      <c r="K1" s="429"/>
      <c r="L1" s="429"/>
      <c r="M1" s="429"/>
      <c r="N1" s="430"/>
    </row>
    <row r="2" spans="1:14" ht="20.25">
      <c r="A2" s="126" t="str">
        <f>'RFPR cover'!C5</f>
        <v>WPD-SWALES</v>
      </c>
      <c r="B2" s="314"/>
      <c r="C2" s="314"/>
      <c r="D2" s="314"/>
      <c r="E2" s="314"/>
      <c r="F2" s="314"/>
      <c r="G2" s="314"/>
      <c r="H2" s="314"/>
      <c r="I2" s="314"/>
      <c r="J2" s="314"/>
      <c r="K2" s="314"/>
      <c r="L2" s="314"/>
      <c r="M2" s="314"/>
      <c r="N2" s="315"/>
    </row>
    <row r="3" spans="1:14" ht="20.25">
      <c r="A3" s="273">
        <f>'RFPR cover'!C7</f>
        <v>2019</v>
      </c>
      <c r="B3" s="316"/>
      <c r="C3" s="316"/>
      <c r="D3" s="316"/>
      <c r="E3" s="316"/>
      <c r="F3" s="316"/>
      <c r="G3" s="316"/>
      <c r="H3" s="316"/>
      <c r="I3" s="316"/>
      <c r="J3" s="316"/>
      <c r="K3" s="316"/>
      <c r="L3" s="316"/>
      <c r="M3" s="316"/>
      <c r="N3" s="317"/>
    </row>
    <row r="6" spans="1:14">
      <c r="A6" s="31"/>
      <c r="B6" s="21">
        <v>2018</v>
      </c>
      <c r="C6" s="20" t="s">
        <v>63</v>
      </c>
      <c r="D6" s="18"/>
      <c r="E6" s="18"/>
      <c r="F6" s="867"/>
      <c r="G6" s="18"/>
    </row>
    <row r="7" spans="1:14">
      <c r="A7" s="31"/>
      <c r="B7" s="21">
        <v>2019</v>
      </c>
      <c r="C7" s="20" t="s">
        <v>64</v>
      </c>
      <c r="D7" s="18"/>
      <c r="E7" s="18"/>
      <c r="F7" s="18"/>
      <c r="G7" s="18"/>
    </row>
    <row r="8" spans="1:14">
      <c r="A8" s="31"/>
      <c r="B8" s="21">
        <v>2020</v>
      </c>
      <c r="C8" s="20" t="s">
        <v>65</v>
      </c>
      <c r="D8" s="19"/>
      <c r="E8" s="19"/>
      <c r="F8" s="19"/>
      <c r="G8" s="19"/>
    </row>
    <row r="9" spans="1:14">
      <c r="A9" s="31"/>
      <c r="B9" s="21">
        <v>2021</v>
      </c>
      <c r="C9" s="20" t="s">
        <v>66</v>
      </c>
      <c r="D9" s="18"/>
      <c r="E9" s="18"/>
      <c r="F9" s="18"/>
      <c r="G9" s="18"/>
    </row>
    <row r="10" spans="1:14">
      <c r="A10" s="31"/>
      <c r="B10" s="21">
        <v>2022</v>
      </c>
      <c r="C10" s="20" t="s">
        <v>67</v>
      </c>
      <c r="D10" s="18"/>
      <c r="E10" s="18"/>
      <c r="F10" s="18"/>
    </row>
    <row r="11" spans="1:14">
      <c r="A11" s="31"/>
      <c r="B11" s="21">
        <v>2023</v>
      </c>
      <c r="C11" s="20" t="s">
        <v>68</v>
      </c>
      <c r="D11" s="19"/>
      <c r="E11" s="19"/>
      <c r="F11" s="19"/>
    </row>
    <row r="12" spans="1:14">
      <c r="A12" s="31"/>
      <c r="B12" s="18"/>
      <c r="C12" s="18"/>
      <c r="D12" s="18"/>
      <c r="E12" s="18"/>
      <c r="F12" s="18"/>
    </row>
    <row r="13" spans="1:14" ht="75" customHeight="1">
      <c r="A13" s="31"/>
      <c r="B13" s="578" t="s">
        <v>39</v>
      </c>
      <c r="C13" s="579" t="s">
        <v>40</v>
      </c>
      <c r="D13" s="579" t="s">
        <v>192</v>
      </c>
      <c r="E13" s="579" t="s">
        <v>41</v>
      </c>
      <c r="F13" s="579" t="s">
        <v>42</v>
      </c>
      <c r="G13" s="580" t="s">
        <v>320</v>
      </c>
    </row>
    <row r="14" spans="1:14">
      <c r="A14" s="31"/>
      <c r="B14" s="170" t="s">
        <v>74</v>
      </c>
      <c r="C14" s="178">
        <v>2010</v>
      </c>
      <c r="D14" s="171" t="str">
        <f>IF(VALUE(C14)&lt;='RFPR cover'!$C$7,"Actual","Forecast")</f>
        <v>Actual</v>
      </c>
      <c r="E14" s="394">
        <v>215.767</v>
      </c>
      <c r="F14" s="524">
        <v>221.75</v>
      </c>
      <c r="G14" s="172">
        <v>0.28000000000000003</v>
      </c>
      <c r="H14" s="868"/>
      <c r="J14" s="869"/>
    </row>
    <row r="15" spans="1:14">
      <c r="A15" s="31"/>
      <c r="B15" s="173" t="s">
        <v>75</v>
      </c>
      <c r="C15" s="179">
        <v>2011</v>
      </c>
      <c r="D15" s="174" t="str">
        <f>IF(VALUE(C15)&lt;='RFPR cover'!$C$7,"Actual","Forecast")</f>
        <v>Actual</v>
      </c>
      <c r="E15" s="395">
        <v>226.47499999999999</v>
      </c>
      <c r="F15" s="525">
        <v>233.45</v>
      </c>
      <c r="G15" s="175">
        <v>0.28000000000000003</v>
      </c>
      <c r="H15" s="868"/>
      <c r="J15" s="869"/>
    </row>
    <row r="16" spans="1:14" ht="14.25" customHeight="1">
      <c r="A16" s="31"/>
      <c r="B16" s="173" t="s">
        <v>76</v>
      </c>
      <c r="C16" s="179">
        <v>2012</v>
      </c>
      <c r="D16" s="174" t="str">
        <f>IF(VALUE(C16)&lt;='RFPR cover'!$C$7,"Actual","Forecast")</f>
        <v>Actual</v>
      </c>
      <c r="E16" s="395">
        <v>237.34200000000001</v>
      </c>
      <c r="F16" s="525">
        <v>241.65</v>
      </c>
      <c r="G16" s="175">
        <v>0.26</v>
      </c>
      <c r="H16" s="868"/>
      <c r="J16" s="869"/>
    </row>
    <row r="17" spans="2:10">
      <c r="B17" s="173" t="s">
        <v>77</v>
      </c>
      <c r="C17" s="179">
        <v>2013</v>
      </c>
      <c r="D17" s="174" t="str">
        <f>IF(VALUE(C17)&lt;='RFPR cover'!$C$7,"Actual","Forecast")</f>
        <v>Actual</v>
      </c>
      <c r="E17" s="395">
        <v>244.67500000000001</v>
      </c>
      <c r="F17" s="525">
        <v>249.1</v>
      </c>
      <c r="G17" s="175">
        <v>0.24</v>
      </c>
      <c r="H17" s="868"/>
      <c r="J17" s="869"/>
    </row>
    <row r="18" spans="2:10">
      <c r="B18" s="173" t="s">
        <v>78</v>
      </c>
      <c r="C18" s="179">
        <v>2014</v>
      </c>
      <c r="D18" s="174" t="str">
        <f>IF(VALUE(C18)&lt;='RFPR cover'!$C$7,"Actual","Forecast")</f>
        <v>Actual</v>
      </c>
      <c r="E18" s="395">
        <v>251.733</v>
      </c>
      <c r="F18" s="525">
        <v>255.25</v>
      </c>
      <c r="G18" s="175">
        <v>0.23</v>
      </c>
      <c r="H18" s="868"/>
      <c r="I18" s="544"/>
      <c r="J18" s="869"/>
    </row>
    <row r="19" spans="2:10">
      <c r="B19" s="173" t="s">
        <v>79</v>
      </c>
      <c r="C19" s="179">
        <v>2015</v>
      </c>
      <c r="D19" s="174" t="str">
        <f>IF(VALUE(C19)&lt;='RFPR cover'!$C$7,"Actual","Forecast")</f>
        <v>Actual</v>
      </c>
      <c r="E19" s="395">
        <v>256.66699999999997</v>
      </c>
      <c r="F19" s="525">
        <v>257.55</v>
      </c>
      <c r="G19" s="175">
        <v>0.21</v>
      </c>
      <c r="H19" s="868"/>
      <c r="I19" s="544"/>
      <c r="J19" s="869"/>
    </row>
    <row r="20" spans="2:10">
      <c r="B20" s="173" t="s">
        <v>80</v>
      </c>
      <c r="C20" s="179">
        <v>2016</v>
      </c>
      <c r="D20" s="174" t="str">
        <f>IF(VALUE(C20)&lt;='RFPR cover'!$C$7,"Actual","Forecast")</f>
        <v>Actual</v>
      </c>
      <c r="E20" s="395">
        <v>259.43299999999999</v>
      </c>
      <c r="F20" s="525">
        <v>261.25</v>
      </c>
      <c r="G20" s="175">
        <v>0.2</v>
      </c>
      <c r="H20" s="868"/>
      <c r="I20" s="544"/>
      <c r="J20" s="869"/>
    </row>
    <row r="21" spans="2:10">
      <c r="B21" s="173" t="s">
        <v>81</v>
      </c>
      <c r="C21" s="179">
        <v>2017</v>
      </c>
      <c r="D21" s="174" t="str">
        <f>IF(VALUE(C21)&lt;='RFPR cover'!$C$7,"Actual","Forecast")</f>
        <v>Actual</v>
      </c>
      <c r="E21" s="395">
        <v>264.99200000000002</v>
      </c>
      <c r="F21" s="525">
        <v>269.95000000000005</v>
      </c>
      <c r="G21" s="175">
        <v>0.2</v>
      </c>
      <c r="H21" s="868"/>
      <c r="I21" s="544"/>
      <c r="J21" s="869"/>
    </row>
    <row r="22" spans="2:10">
      <c r="B22" s="173" t="s">
        <v>63</v>
      </c>
      <c r="C22" s="179">
        <v>2018</v>
      </c>
      <c r="D22" s="174" t="str">
        <f>IF(VALUE(C22)&lt;='RFPR cover'!$C$7,"Actual","Forecast")</f>
        <v>Actual</v>
      </c>
      <c r="E22" s="395">
        <v>274.90800000000002</v>
      </c>
      <c r="F22" s="525">
        <v>279</v>
      </c>
      <c r="G22" s="175">
        <v>0.19</v>
      </c>
      <c r="H22" s="868"/>
      <c r="I22" s="544"/>
      <c r="J22" s="869"/>
    </row>
    <row r="23" spans="2:10">
      <c r="B23" s="527" t="s">
        <v>64</v>
      </c>
      <c r="C23" s="528">
        <v>2019</v>
      </c>
      <c r="D23" s="174" t="str">
        <f>IF(VALUE(C23)&lt;='RFPR cover'!$C$7,"Actual","Forecast")</f>
        <v>Actual</v>
      </c>
      <c r="E23" s="395">
        <v>283.30799999999999</v>
      </c>
      <c r="F23" s="525">
        <v>286.64999999999998</v>
      </c>
      <c r="G23" s="175">
        <v>0.19</v>
      </c>
      <c r="H23" s="868"/>
      <c r="J23" s="869"/>
    </row>
    <row r="24" spans="2:10">
      <c r="B24" s="527" t="s">
        <v>65</v>
      </c>
      <c r="C24" s="528">
        <v>2020</v>
      </c>
      <c r="D24" s="174" t="str">
        <f>IF(VALUE(C24)&lt;='RFPR cover'!$C$7,"Actual","Forecast")</f>
        <v>Forecast</v>
      </c>
      <c r="E24" s="526">
        <f t="shared" ref="E24:F27" si="0">E23*(1+INDEX($D$43:$J$43,0,MATCH($C24,$D$42:$J$42,0)))</f>
        <v>290.74483500000002</v>
      </c>
      <c r="F24" s="526">
        <f t="shared" si="0"/>
        <v>294.17456249999998</v>
      </c>
      <c r="G24" s="175">
        <v>0.19</v>
      </c>
      <c r="H24" s="868"/>
      <c r="J24" s="869"/>
    </row>
    <row r="25" spans="2:10">
      <c r="B25" s="527" t="s">
        <v>66</v>
      </c>
      <c r="C25" s="528">
        <v>2021</v>
      </c>
      <c r="D25" s="174" t="str">
        <f>IF(VALUE(C25)&lt;='RFPR cover'!$C$7,"Actual","Forecast")</f>
        <v>Forecast</v>
      </c>
      <c r="E25" s="526">
        <f t="shared" si="0"/>
        <v>298.81300417124999</v>
      </c>
      <c r="F25" s="526">
        <f t="shared" si="0"/>
        <v>302.33790660937495</v>
      </c>
      <c r="G25" s="175">
        <v>0.17</v>
      </c>
      <c r="H25" s="868"/>
      <c r="J25" s="869"/>
    </row>
    <row r="26" spans="2:10">
      <c r="B26" s="527" t="s">
        <v>67</v>
      </c>
      <c r="C26" s="528">
        <v>2022</v>
      </c>
      <c r="D26" s="174" t="str">
        <f>IF(VALUE(C26)&lt;='RFPR cover'!$C$7,"Actual","Forecast")</f>
        <v>Forecast</v>
      </c>
      <c r="E26" s="526">
        <f t="shared" si="0"/>
        <v>307.85209754743033</v>
      </c>
      <c r="F26" s="526">
        <f t="shared" si="0"/>
        <v>311.48362828430857</v>
      </c>
      <c r="G26" s="175">
        <v>0.17</v>
      </c>
      <c r="H26" s="868"/>
      <c r="J26" s="869"/>
    </row>
    <row r="27" spans="2:10">
      <c r="B27" s="527" t="s">
        <v>68</v>
      </c>
      <c r="C27" s="528">
        <v>2023</v>
      </c>
      <c r="D27" s="174" t="str">
        <f>IF(VALUE(C27)&lt;='RFPR cover'!$C$7,"Actual","Forecast")</f>
        <v>Forecast</v>
      </c>
      <c r="E27" s="526">
        <f t="shared" si="0"/>
        <v>317.31854954701384</v>
      </c>
      <c r="F27" s="526">
        <f t="shared" si="0"/>
        <v>321.06174985405107</v>
      </c>
      <c r="G27" s="175">
        <v>0.17</v>
      </c>
      <c r="H27" s="868"/>
      <c r="J27" s="869"/>
    </row>
    <row r="28" spans="2:10">
      <c r="B28" s="527" t="s">
        <v>205</v>
      </c>
      <c r="C28" s="528">
        <v>2024</v>
      </c>
      <c r="D28" s="174" t="str">
        <f>IF(VALUE(C28)&lt;='RFPR cover'!$C$7,"Actual","Forecast")</f>
        <v>Forecast</v>
      </c>
      <c r="E28" s="397"/>
      <c r="F28" s="397"/>
      <c r="G28" s="175">
        <v>0.17</v>
      </c>
    </row>
    <row r="29" spans="2:10">
      <c r="B29" s="527" t="s">
        <v>206</v>
      </c>
      <c r="C29" s="528">
        <v>2025</v>
      </c>
      <c r="D29" s="174" t="str">
        <f>IF(VALUE(C29)&lt;='RFPR cover'!$C$7,"Actual","Forecast")</f>
        <v>Forecast</v>
      </c>
      <c r="E29" s="397"/>
      <c r="F29" s="397"/>
      <c r="G29" s="175">
        <v>0.17</v>
      </c>
    </row>
    <row r="30" spans="2:10">
      <c r="B30" s="529" t="s">
        <v>207</v>
      </c>
      <c r="C30" s="530">
        <v>2026</v>
      </c>
      <c r="D30" s="176" t="str">
        <f>IF(VALUE(C30)&lt;='RFPR cover'!$C$7,"Actual","Forecast")</f>
        <v>Forecast</v>
      </c>
      <c r="E30" s="396"/>
      <c r="F30" s="396"/>
      <c r="G30" s="177">
        <v>0.17</v>
      </c>
    </row>
    <row r="31" spans="2:10">
      <c r="B31" s="90"/>
      <c r="C31" s="68"/>
      <c r="D31" s="68"/>
      <c r="E31" s="68"/>
      <c r="F31" s="68"/>
    </row>
    <row r="32" spans="2:10">
      <c r="B32" s="90"/>
      <c r="C32" s="361" t="str">
        <f>IF(C33&lt;='RFPR cover'!$C$7,"Actuals","Forecast")</f>
        <v>Actuals</v>
      </c>
      <c r="D32" s="362" t="str">
        <f>IF(D33&lt;='RFPR cover'!$C$7,"Actuals","Forecast")</f>
        <v>Actuals</v>
      </c>
      <c r="E32" s="362" t="str">
        <f>IF(E33&lt;='RFPR cover'!$C$7,"Actuals","Forecast")</f>
        <v>Actuals</v>
      </c>
      <c r="F32" s="362" t="str">
        <f>IF(F33&lt;='RFPR cover'!$C$7,"Actuals","Forecast")</f>
        <v>Actuals</v>
      </c>
      <c r="G32" s="362" t="str">
        <f>IF(G33&lt;='RFPR cover'!$C$7,"Actuals","Forecast")</f>
        <v>Forecast</v>
      </c>
      <c r="H32" s="362" t="str">
        <f>IF(H33&lt;='RFPR cover'!$C$7,"Actuals","Forecast")</f>
        <v>Forecast</v>
      </c>
      <c r="I32" s="362" t="str">
        <f>IF(I33&lt;='RFPR cover'!$C$7,"Actuals","Forecast")</f>
        <v>Forecast</v>
      </c>
      <c r="J32" s="363" t="str">
        <f>IF(J33&lt;='RFPR cover'!$C$7,"Actuals","Forecast")</f>
        <v>Forecast</v>
      </c>
    </row>
    <row r="33" spans="2:13" ht="15.75" customHeight="1">
      <c r="B33" s="304"/>
      <c r="C33" s="92">
        <f>'RFPR cover'!$C$13</f>
        <v>2016</v>
      </c>
      <c r="D33" s="93">
        <f t="shared" ref="D33:J33" si="1">C33+1</f>
        <v>2017</v>
      </c>
      <c r="E33" s="93">
        <f t="shared" si="1"/>
        <v>2018</v>
      </c>
      <c r="F33" s="93">
        <f t="shared" si="1"/>
        <v>2019</v>
      </c>
      <c r="G33" s="93">
        <f t="shared" si="1"/>
        <v>2020</v>
      </c>
      <c r="H33" s="93">
        <f t="shared" si="1"/>
        <v>2021</v>
      </c>
      <c r="I33" s="93">
        <f t="shared" si="1"/>
        <v>2022</v>
      </c>
      <c r="J33" s="335">
        <f t="shared" si="1"/>
        <v>2023</v>
      </c>
    </row>
    <row r="34" spans="2:13" ht="15.75" customHeight="1">
      <c r="B34" s="522" t="s">
        <v>377</v>
      </c>
      <c r="C34" s="520">
        <f>INDEX(Data!$E$14:$E$30,MATCH(C$33,Data!$C$14:$C$30,0),0)/IF('RFPR cover'!$C$6="ED1",Data!$E$17,Data!$E$14)</f>
        <v>1.0603167467048125</v>
      </c>
      <c r="D34" s="517">
        <f>INDEX(Data!$E$14:$E$30,MATCH(D$33,Data!$C$14:$C$30,0),0)/IF('RFPR cover'!$C$6="ED1",Data!$E$17,Data!$E$14)</f>
        <v>1.0830366813119445</v>
      </c>
      <c r="E34" s="517">
        <f>INDEX(Data!$E$14:$E$30,MATCH(E$33,Data!$C$14:$C$30,0),0)/IF('RFPR cover'!$C$6="ED1",Data!$E$17,Data!$E$14)</f>
        <v>1.1235639113109226</v>
      </c>
      <c r="F34" s="517">
        <f>INDEX(Data!$E$14:$E$30,MATCH(F$33,Data!$C$14:$C$30,0),0)/IF('RFPR cover'!$C$6="ED1",Data!$E$17,Data!$E$14)</f>
        <v>1.1578951670583426</v>
      </c>
      <c r="G34" s="517">
        <f>INDEX(Data!$E$14:$E$30,MATCH(G$33,Data!$C$14:$C$30,0),0)/IF('RFPR cover'!$C$6="ED1",Data!$E$17,Data!$E$14)</f>
        <v>1.1882899151936241</v>
      </c>
      <c r="H34" s="517">
        <f>INDEX(Data!$E$14:$E$30,MATCH(H$33,Data!$C$14:$C$30,0),0)/IF('RFPR cover'!$C$6="ED1",Data!$E$17,Data!$E$14)</f>
        <v>1.2212649603402472</v>
      </c>
      <c r="I34" s="518">
        <f>INDEX(Data!$E$14:$E$30,MATCH(I$33,Data!$C$14:$C$30,0),0)/IF('RFPR cover'!$C$6="ED1",Data!$E$17,Data!$E$14)</f>
        <v>1.2582082253905398</v>
      </c>
      <c r="J34" s="519">
        <f>INDEX(Data!$E$14:$E$30,MATCH(J$33,Data!$C$14:$C$30,0),0)/IF('RFPR cover'!$C$6="ED1",Data!$E$17,Data!$E$14)</f>
        <v>1.296898128321299</v>
      </c>
    </row>
    <row r="35" spans="2:13" ht="15.75" customHeight="1">
      <c r="B35" s="523" t="s">
        <v>42</v>
      </c>
      <c r="C35" s="521">
        <f>INDEX(Data!$F$14:$F$30,MATCH(C$33,Data!$C$14:$C$30,0),0)/IF('RFPR cover'!$C$6="ED1",Data!$E$17,Data!$E$14)</f>
        <v>1.0677429242873198</v>
      </c>
      <c r="D35" s="521">
        <f>INDEX(Data!$F$14:$F$30,MATCH(D$33,Data!$C$14:$C$30,0),0)/IF('RFPR cover'!$C$6="ED1",Data!$E$17,Data!$E$14)</f>
        <v>1.1033002963114336</v>
      </c>
      <c r="E35" s="521">
        <f>INDEX(Data!$F$14:$F$30,MATCH(E$33,Data!$C$14:$C$30,0),0)/IF('RFPR cover'!$C$6="ED1",Data!$E$17,Data!$E$14)</f>
        <v>1.1402881373250229</v>
      </c>
      <c r="F35" s="521">
        <f>INDEX(Data!$F$14:$F$30,MATCH(F$33,Data!$C$14:$C$30,0),0)/IF('RFPR cover'!$C$6="ED1",Data!$E$17,Data!$E$14)</f>
        <v>1.171554102380709</v>
      </c>
      <c r="G35" s="521">
        <f>INDEX(Data!$F$14:$F$30,MATCH(G$33,Data!$C$14:$C$30,0),0)/IF('RFPR cover'!$C$6="ED1",Data!$E$17,Data!$E$14)</f>
        <v>1.2023073975682026</v>
      </c>
      <c r="H35" s="521">
        <f>INDEX(Data!$F$14:$F$30,MATCH(H$33,Data!$C$14:$C$30,0),0)/IF('RFPR cover'!$C$6="ED1",Data!$E$17,Data!$E$14)</f>
        <v>1.2356714278507201</v>
      </c>
      <c r="I35" s="521">
        <f>INDEX(Data!$F$14:$F$30,MATCH(I$33,Data!$C$14:$C$30,0),0)/IF('RFPR cover'!$C$6="ED1",Data!$E$17,Data!$E$14)</f>
        <v>1.2730504885432044</v>
      </c>
      <c r="J35" s="521">
        <f>INDEX(Data!$F$14:$F$30,MATCH(J$33,Data!$C$14:$C$30,0),0)/IF('RFPR cover'!$C$6="ED1",Data!$E$17,Data!$E$14)</f>
        <v>1.312196791065908</v>
      </c>
    </row>
    <row r="36" spans="2:13">
      <c r="B36" s="523" t="s">
        <v>507</v>
      </c>
      <c r="C36" s="521">
        <f>INDEX(Data!$E$14:$E$30,MATCH(C$33,Data!$C$14:$C$30,0))/INDEX(Data!$E$14:$E$30,MATCH(C$33-1,Data!$C$14:$C$30,0))</f>
        <v>1.0107766093810269</v>
      </c>
      <c r="D36" s="521">
        <f>INDEX(Data!$E$14:$E$30,MATCH(D$33,Data!$C$14:$C$30,0))/INDEX(Data!$E$14:$E$30,MATCH(D$33-1,Data!$C$14:$C$30,0))</f>
        <v>1.0214274976583551</v>
      </c>
      <c r="E36" s="521">
        <f>INDEX(Data!$E$14:$E$30,MATCH(E$33,Data!$C$14:$C$30,0))/INDEX(Data!$E$14:$E$30,MATCH(E$33-1,Data!$C$14:$C$30,0))</f>
        <v>1.0374199975848328</v>
      </c>
      <c r="F36" s="521">
        <f>INDEX(Data!$E$14:$E$30,MATCH(F$33,Data!$C$14:$C$30,0))/INDEX(Data!$E$14:$E$30,MATCH(F$33-1,Data!$C$14:$C$30,0))</f>
        <v>1.0305556768082411</v>
      </c>
      <c r="G36" s="521">
        <f>INDEX(Data!$E$14:$E$30,MATCH(G$33,Data!$C$14:$C$30,0))/INDEX(Data!$E$14:$E$30,MATCH(G$33-1,Data!$C$14:$C$30,0))</f>
        <v>1.0262500000000001</v>
      </c>
      <c r="H36" s="521">
        <f>INDEX(Data!$E$14:$E$30,MATCH(H$33,Data!$C$14:$C$30,0))/INDEX(Data!$E$14:$E$30,MATCH(H$33-1,Data!$C$14:$C$30,0))</f>
        <v>1.0277499999999999</v>
      </c>
      <c r="I36" s="521">
        <f>INDEX(Data!$E$14:$E$30,MATCH(I$33,Data!$C$14:$C$30,0))/INDEX(Data!$E$14:$E$30,MATCH(I$33-1,Data!$C$14:$C$30,0))</f>
        <v>1.0302500000000001</v>
      </c>
      <c r="J36" s="521">
        <f>INDEX(Data!$E$14:$E$30,MATCH(J$33,Data!$C$14:$C$30,0))/INDEX(Data!$E$14:$E$30,MATCH(J$33-1,Data!$C$14:$C$30,0))</f>
        <v>1.0307500000000001</v>
      </c>
    </row>
    <row r="37" spans="2:13" ht="15.75" customHeight="1">
      <c r="B37" s="14" t="s">
        <v>275</v>
      </c>
      <c r="F37" s="544"/>
    </row>
    <row r="38" spans="2:13">
      <c r="C38" s="537" t="s">
        <v>276</v>
      </c>
      <c r="D38" s="119">
        <v>2017</v>
      </c>
      <c r="E38" s="120">
        <f t="shared" ref="E38:J38" si="2">D38+1</f>
        <v>2018</v>
      </c>
      <c r="F38" s="120">
        <f t="shared" si="2"/>
        <v>2019</v>
      </c>
      <c r="G38" s="120">
        <f t="shared" si="2"/>
        <v>2020</v>
      </c>
      <c r="H38" s="120">
        <f t="shared" si="2"/>
        <v>2021</v>
      </c>
      <c r="I38" s="120">
        <f t="shared" si="2"/>
        <v>2022</v>
      </c>
      <c r="J38" s="204">
        <f t="shared" si="2"/>
        <v>2023</v>
      </c>
      <c r="K38" s="952" t="s">
        <v>387</v>
      </c>
      <c r="L38" s="952"/>
      <c r="M38" s="952"/>
    </row>
    <row r="39" spans="2:13">
      <c r="B39" t="s">
        <v>388</v>
      </c>
      <c r="C39" s="210"/>
      <c r="D39" s="785"/>
      <c r="E39" s="785"/>
      <c r="F39" s="786">
        <v>2.5999999999999999E-2</v>
      </c>
      <c r="G39" s="786">
        <v>2.7E-2</v>
      </c>
      <c r="H39" s="786">
        <v>0.03</v>
      </c>
      <c r="I39" s="786">
        <v>3.1E-2</v>
      </c>
      <c r="J39" s="787">
        <v>0.03</v>
      </c>
      <c r="K39" s="953" t="s">
        <v>585</v>
      </c>
      <c r="L39" s="954"/>
      <c r="M39" s="955"/>
    </row>
    <row r="41" spans="2:13">
      <c r="B41" s="14" t="s">
        <v>277</v>
      </c>
    </row>
    <row r="42" spans="2:13">
      <c r="C42" s="536" t="s">
        <v>278</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279</v>
      </c>
      <c r="D43" s="597"/>
      <c r="E43" s="598"/>
      <c r="F43" s="598"/>
      <c r="G43" s="788">
        <f>(F39*0.75)+(G39*0.25)</f>
        <v>2.6249999999999999E-2</v>
      </c>
      <c r="H43" s="788">
        <f>(G39*0.75)+(H39*0.25)</f>
        <v>2.775E-2</v>
      </c>
      <c r="I43" s="788">
        <f>(H39*0.75)+(I39*0.25)</f>
        <v>3.0249999999999999E-2</v>
      </c>
      <c r="J43" s="789">
        <f>(I39*0.75)+(J39*0.25)</f>
        <v>3.075E-2</v>
      </c>
    </row>
    <row r="45" spans="2:13">
      <c r="B45" s="334" t="str">
        <f>"Selected Capitalisation rates for "&amp;'RFPR cover'!C5</f>
        <v>Selected Capitalisation rates for WPD-SWALES</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252</v>
      </c>
      <c r="D47" s="43"/>
      <c r="E47" s="43"/>
      <c r="F47" s="43"/>
      <c r="G47" s="43"/>
      <c r="H47" s="43"/>
      <c r="I47" s="43"/>
      <c r="J47" s="43"/>
      <c r="K47" s="43"/>
      <c r="L47" s="43"/>
      <c r="M47" s="212"/>
    </row>
    <row r="48" spans="2:13">
      <c r="B48" s="336" t="str">
        <f>INDEX($G$54:$G$57,MATCH(LEFT('RFPR cover'!$C$6,2),Data!$E$54:$E$57,0),0)</f>
        <v>Totex</v>
      </c>
      <c r="C48" s="332">
        <f>INDEX($F$73:$F$100,MATCH('RFPR cover'!$C$5,Data!$B$73:$B$100,0),0)</f>
        <v>0.8</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c r="M50" s="212"/>
    </row>
    <row r="51" spans="2:20">
      <c r="B51" s="336" t="str">
        <f>INDEX($J$54:$J$57,MATCH(LEFT('RFPR cover'!$C$6,2),Data!$E$54:$E$57,0),0)</f>
        <v>n/a</v>
      </c>
      <c r="C51" s="338">
        <f>IFERROR(INDEX(C$106:C$115,MATCH('RFPR cover'!$C$5,Data!$B$106:$B$115,0),0),0)</f>
        <v>0</v>
      </c>
      <c r="D51" s="320">
        <f>IFERROR(INDEX(D$106:D$115,MATCH('RFPR cover'!$C$5,Data!$B$106:$B$115,0),0),0)</f>
        <v>0</v>
      </c>
      <c r="E51" s="320">
        <f>IFERROR(INDEX(E$106:E$115,MATCH('RFPR cover'!$C$5,Data!$B$106:$B$115,0),0),0)</f>
        <v>0</v>
      </c>
      <c r="F51" s="320">
        <f>IFERROR(INDEX(F$106:F$115,MATCH('RFPR cover'!$C$5,Data!$B$106:$B$115,0),0),0)</f>
        <v>0</v>
      </c>
      <c r="G51" s="320">
        <f>IFERROR(INDEX(G$106:G$115,MATCH('RFPR cover'!$C$5,Data!$B$106:$B$115,0),0),0)</f>
        <v>0</v>
      </c>
      <c r="H51" s="320">
        <f>IFERROR(INDEX(H$106:H$115,MATCH('RFPR cover'!$C$5,Data!$B$106:$B$115,0),0),0)</f>
        <v>0</v>
      </c>
      <c r="I51" s="320">
        <f>IFERROR(INDEX(I$106:I$115,MATCH('RFPR cover'!$C$5,Data!$B$106:$B$115,0),0),0)</f>
        <v>0</v>
      </c>
      <c r="J51" s="320">
        <f>IFERROR(INDEX(J$106:J$115,MATCH('RFPR cover'!$C$5,Data!$B$106:$B$115,0),0),0)</f>
        <v>0</v>
      </c>
      <c r="K51" s="43"/>
      <c r="L51" s="43"/>
      <c r="M51" s="212"/>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172</v>
      </c>
      <c r="F54" s="350" t="s">
        <v>159</v>
      </c>
      <c r="G54" s="959" t="s">
        <v>253</v>
      </c>
      <c r="H54" s="960"/>
      <c r="I54" s="961"/>
      <c r="J54" s="968" t="s">
        <v>255</v>
      </c>
      <c r="K54" s="969"/>
    </row>
    <row r="55" spans="2:20">
      <c r="B55" s="324"/>
      <c r="C55" s="324"/>
      <c r="E55" s="322" t="s">
        <v>174</v>
      </c>
      <c r="F55" s="351" t="s">
        <v>184</v>
      </c>
      <c r="G55" s="962" t="s">
        <v>253</v>
      </c>
      <c r="H55" s="963"/>
      <c r="I55" s="964"/>
      <c r="J55" s="970" t="s">
        <v>255</v>
      </c>
      <c r="K55" s="971"/>
    </row>
    <row r="56" spans="2:20">
      <c r="B56" s="324"/>
      <c r="C56" s="324"/>
      <c r="E56" s="322" t="s">
        <v>173</v>
      </c>
      <c r="F56" s="351" t="s">
        <v>184</v>
      </c>
      <c r="G56" s="962" t="s">
        <v>244</v>
      </c>
      <c r="H56" s="963"/>
      <c r="I56" s="964"/>
      <c r="J56" s="970" t="s">
        <v>245</v>
      </c>
      <c r="K56" s="971"/>
    </row>
    <row r="57" spans="2:20">
      <c r="B57" s="324"/>
      <c r="C57" s="324"/>
      <c r="E57" s="323" t="s">
        <v>175</v>
      </c>
      <c r="F57" s="352" t="s">
        <v>184</v>
      </c>
      <c r="G57" s="965" t="s">
        <v>254</v>
      </c>
      <c r="H57" s="966"/>
      <c r="I57" s="967"/>
      <c r="J57" s="972" t="s">
        <v>256</v>
      </c>
      <c r="K57" s="973"/>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351</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4">
        <f t="shared" si="5"/>
        <v>2023</v>
      </c>
    </row>
    <row r="63" spans="2:20">
      <c r="B63" s="467" t="s">
        <v>349</v>
      </c>
      <c r="C63" s="593"/>
      <c r="D63" s="594"/>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336</v>
      </c>
      <c r="C64" s="581"/>
      <c r="D64" s="582"/>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61</v>
      </c>
      <c r="C65" s="424">
        <v>2.92E-2</v>
      </c>
      <c r="D65" s="425">
        <v>2.5000000000000001E-2</v>
      </c>
      <c r="E65" s="425">
        <v>2.1499999999999998E-2</v>
      </c>
      <c r="F65" s="425">
        <v>1.7899999999999999E-2</v>
      </c>
      <c r="G65" s="425">
        <v>1.5100000000000001E-2</v>
      </c>
      <c r="H65" s="425">
        <v>1.1599999999999999E-2</v>
      </c>
      <c r="I65" s="425">
        <v>1.0200000000000001E-2</v>
      </c>
      <c r="J65" s="425">
        <v>8.6E-3</v>
      </c>
      <c r="K65" s="595"/>
      <c r="L65" s="596"/>
    </row>
    <row r="66" spans="1:20">
      <c r="B66" s="468" t="s">
        <v>350</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2"/>
      <c r="L66" s="583"/>
    </row>
    <row r="67" spans="1:20">
      <c r="B67" s="468" t="s">
        <v>173</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2"/>
      <c r="L67" s="583"/>
    </row>
    <row r="68" spans="1:20">
      <c r="B68" s="469" t="s">
        <v>175</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4"/>
      <c r="L68" s="585"/>
    </row>
    <row r="69" spans="1:20">
      <c r="I69" s="68"/>
    </row>
    <row r="70" spans="1:20">
      <c r="H70" s="68"/>
      <c r="K70" s="43"/>
      <c r="L70" s="43"/>
      <c r="M70" s="43"/>
      <c r="N70" s="43"/>
      <c r="O70" s="43"/>
      <c r="P70" s="43"/>
      <c r="Q70" s="43"/>
      <c r="R70" s="43"/>
      <c r="S70" s="43"/>
      <c r="T70" s="43"/>
    </row>
    <row r="71" spans="1:20" ht="38.25">
      <c r="B71" s="22"/>
      <c r="C71" s="75" t="s">
        <v>251</v>
      </c>
      <c r="D71" s="76" t="s">
        <v>212</v>
      </c>
      <c r="E71" s="76" t="s">
        <v>72</v>
      </c>
      <c r="F71" s="76" t="s">
        <v>274</v>
      </c>
      <c r="G71" s="76" t="s">
        <v>116</v>
      </c>
      <c r="H71" s="77" t="s">
        <v>186</v>
      </c>
      <c r="I71" s="349" t="s">
        <v>269</v>
      </c>
      <c r="J71" s="349" t="s">
        <v>484</v>
      </c>
      <c r="K71" s="956" t="s">
        <v>345</v>
      </c>
      <c r="L71" s="957"/>
      <c r="M71" s="957"/>
      <c r="N71" s="957"/>
      <c r="O71" s="957"/>
      <c r="P71" s="957"/>
      <c r="Q71" s="957"/>
      <c r="R71" s="957"/>
      <c r="S71" s="957"/>
      <c r="T71" s="958"/>
    </row>
    <row r="72" spans="1:20">
      <c r="A72" s="353" t="s">
        <v>189</v>
      </c>
      <c r="B72" s="69" t="s">
        <v>69</v>
      </c>
      <c r="C72" s="325"/>
      <c r="D72" s="71"/>
      <c r="E72" s="70"/>
      <c r="F72" s="70"/>
      <c r="G72" s="71"/>
      <c r="H72" s="72"/>
      <c r="I72" s="72"/>
      <c r="J72" s="450"/>
      <c r="K72" s="451">
        <v>2014</v>
      </c>
      <c r="L72" s="452">
        <f t="shared" ref="L72:T72" si="6">K72+1</f>
        <v>2015</v>
      </c>
      <c r="M72" s="452">
        <f t="shared" si="6"/>
        <v>2016</v>
      </c>
      <c r="N72" s="452">
        <f t="shared" si="6"/>
        <v>2017</v>
      </c>
      <c r="O72" s="452">
        <f t="shared" si="6"/>
        <v>2018</v>
      </c>
      <c r="P72" s="452">
        <f t="shared" si="6"/>
        <v>2019</v>
      </c>
      <c r="Q72" s="452">
        <f t="shared" si="6"/>
        <v>2020</v>
      </c>
      <c r="R72" s="452">
        <f t="shared" si="6"/>
        <v>2021</v>
      </c>
      <c r="S72" s="452">
        <f t="shared" si="6"/>
        <v>2022</v>
      </c>
      <c r="T72" s="453">
        <f t="shared" si="6"/>
        <v>2023</v>
      </c>
    </row>
    <row r="73" spans="1:20">
      <c r="A73" s="61" t="s">
        <v>172</v>
      </c>
      <c r="B73" s="73" t="s">
        <v>43</v>
      </c>
      <c r="C73" s="326">
        <v>0.06</v>
      </c>
      <c r="D73" s="327">
        <v>0.58109999999999995</v>
      </c>
      <c r="E73" s="328">
        <v>0.65</v>
      </c>
      <c r="F73" s="328">
        <v>0.68</v>
      </c>
      <c r="G73" s="358">
        <v>2016</v>
      </c>
      <c r="H73" s="359" t="str">
        <f t="shared" ref="H73:H97" si="7">VLOOKUP($A73,$E$54:$F$57,2,FALSE)</f>
        <v>£m 12/13</v>
      </c>
      <c r="I73" s="359" t="s">
        <v>270</v>
      </c>
      <c r="J73" s="450" t="s">
        <v>485</v>
      </c>
      <c r="K73" s="581"/>
      <c r="L73" s="582"/>
      <c r="M73" s="458">
        <f t="shared" ref="M73:M82" si="8">E$64</f>
        <v>2.5499999999999998E-2</v>
      </c>
      <c r="N73" s="458">
        <f t="shared" ref="N73:N82" si="9">F$64</f>
        <v>2.4199999999999999E-2</v>
      </c>
      <c r="O73" s="458">
        <f t="shared" ref="O73:O82" si="10">G$64</f>
        <v>2.29E-2</v>
      </c>
      <c r="P73" s="458">
        <f t="shared" ref="P73:P82" si="11">H$64</f>
        <v>2.0899999999999998E-2</v>
      </c>
      <c r="Q73" s="458">
        <f t="shared" ref="Q73:Q82" si="12">I$64</f>
        <v>1.9400000000000001E-2</v>
      </c>
      <c r="R73" s="458">
        <f t="shared" ref="R73:R82" si="13">J$64</f>
        <v>1.8200000000000001E-2</v>
      </c>
      <c r="S73" s="458">
        <f t="shared" ref="S73:S82" si="14">K$64</f>
        <v>1.72E-2</v>
      </c>
      <c r="T73" s="462">
        <f t="shared" ref="T73:T82" si="15">L$64</f>
        <v>1.6299999999999999E-2</v>
      </c>
    </row>
    <row r="74" spans="1:20">
      <c r="A74" s="61" t="s">
        <v>172</v>
      </c>
      <c r="B74" s="73" t="s">
        <v>44</v>
      </c>
      <c r="C74" s="326">
        <v>0.06</v>
      </c>
      <c r="D74" s="327">
        <v>0.55843703457782867</v>
      </c>
      <c r="E74" s="328">
        <v>0.65</v>
      </c>
      <c r="F74" s="328">
        <v>0.7</v>
      </c>
      <c r="G74" s="358">
        <v>2016</v>
      </c>
      <c r="H74" s="359" t="str">
        <f t="shared" si="7"/>
        <v>£m 12/13</v>
      </c>
      <c r="I74" s="359" t="s">
        <v>270</v>
      </c>
      <c r="J74" s="450" t="s">
        <v>485</v>
      </c>
      <c r="K74" s="581"/>
      <c r="L74" s="582"/>
      <c r="M74" s="458">
        <f t="shared" si="8"/>
        <v>2.5499999999999998E-2</v>
      </c>
      <c r="N74" s="458">
        <f t="shared" si="9"/>
        <v>2.4199999999999999E-2</v>
      </c>
      <c r="O74" s="458">
        <f t="shared" si="10"/>
        <v>2.29E-2</v>
      </c>
      <c r="P74" s="458">
        <f t="shared" si="11"/>
        <v>2.0899999999999998E-2</v>
      </c>
      <c r="Q74" s="458">
        <f t="shared" si="12"/>
        <v>1.9400000000000001E-2</v>
      </c>
      <c r="R74" s="458">
        <f t="shared" si="13"/>
        <v>1.8200000000000001E-2</v>
      </c>
      <c r="S74" s="458">
        <f t="shared" si="14"/>
        <v>1.72E-2</v>
      </c>
      <c r="T74" s="462">
        <f t="shared" si="15"/>
        <v>1.6299999999999999E-2</v>
      </c>
    </row>
    <row r="75" spans="1:20">
      <c r="A75" s="61" t="s">
        <v>172</v>
      </c>
      <c r="B75" s="73" t="s">
        <v>73</v>
      </c>
      <c r="C75" s="326">
        <v>0.06</v>
      </c>
      <c r="D75" s="327">
        <v>0.55843703457782867</v>
      </c>
      <c r="E75" s="328">
        <v>0.65</v>
      </c>
      <c r="F75" s="328">
        <v>0.72</v>
      </c>
      <c r="G75" s="358">
        <v>2016</v>
      </c>
      <c r="H75" s="359" t="str">
        <f t="shared" si="7"/>
        <v>£m 12/13</v>
      </c>
      <c r="I75" s="359" t="s">
        <v>270</v>
      </c>
      <c r="J75" s="450" t="s">
        <v>485</v>
      </c>
      <c r="K75" s="581"/>
      <c r="L75" s="582"/>
      <c r="M75" s="458">
        <f t="shared" si="8"/>
        <v>2.5499999999999998E-2</v>
      </c>
      <c r="N75" s="458">
        <f t="shared" si="9"/>
        <v>2.4199999999999999E-2</v>
      </c>
      <c r="O75" s="458">
        <f t="shared" si="10"/>
        <v>2.29E-2</v>
      </c>
      <c r="P75" s="458">
        <f t="shared" si="11"/>
        <v>2.0899999999999998E-2</v>
      </c>
      <c r="Q75" s="458">
        <f t="shared" si="12"/>
        <v>1.9400000000000001E-2</v>
      </c>
      <c r="R75" s="458">
        <f t="shared" si="13"/>
        <v>1.8200000000000001E-2</v>
      </c>
      <c r="S75" s="458">
        <f t="shared" si="14"/>
        <v>1.72E-2</v>
      </c>
      <c r="T75" s="462">
        <f t="shared" si="15"/>
        <v>1.6299999999999999E-2</v>
      </c>
    </row>
    <row r="76" spans="1:20">
      <c r="A76" s="61" t="s">
        <v>172</v>
      </c>
      <c r="B76" s="73" t="s">
        <v>59</v>
      </c>
      <c r="C76" s="326">
        <v>0.06</v>
      </c>
      <c r="D76" s="327">
        <v>0.53280000000000005</v>
      </c>
      <c r="E76" s="328">
        <v>0.65</v>
      </c>
      <c r="F76" s="328">
        <v>0.68</v>
      </c>
      <c r="G76" s="358">
        <v>2016</v>
      </c>
      <c r="H76" s="359" t="str">
        <f t="shared" si="7"/>
        <v>£m 12/13</v>
      </c>
      <c r="I76" s="359" t="s">
        <v>270</v>
      </c>
      <c r="J76" s="450" t="s">
        <v>485</v>
      </c>
      <c r="K76" s="581"/>
      <c r="L76" s="582"/>
      <c r="M76" s="458">
        <f t="shared" si="8"/>
        <v>2.5499999999999998E-2</v>
      </c>
      <c r="N76" s="458">
        <f t="shared" si="9"/>
        <v>2.4199999999999999E-2</v>
      </c>
      <c r="O76" s="458">
        <f t="shared" si="10"/>
        <v>2.29E-2</v>
      </c>
      <c r="P76" s="458">
        <f t="shared" si="11"/>
        <v>2.0899999999999998E-2</v>
      </c>
      <c r="Q76" s="458">
        <f t="shared" si="12"/>
        <v>1.9400000000000001E-2</v>
      </c>
      <c r="R76" s="458">
        <f t="shared" si="13"/>
        <v>1.8200000000000001E-2</v>
      </c>
      <c r="S76" s="458">
        <f t="shared" si="14"/>
        <v>1.72E-2</v>
      </c>
      <c r="T76" s="462">
        <f t="shared" si="15"/>
        <v>1.6299999999999999E-2</v>
      </c>
    </row>
    <row r="77" spans="1:20">
      <c r="A77" s="61" t="s">
        <v>172</v>
      </c>
      <c r="B77" s="73" t="s">
        <v>57</v>
      </c>
      <c r="C77" s="326">
        <v>0.06</v>
      </c>
      <c r="D77" s="327">
        <v>0.53280000000000005</v>
      </c>
      <c r="E77" s="328">
        <v>0.65</v>
      </c>
      <c r="F77" s="328">
        <v>0.68</v>
      </c>
      <c r="G77" s="358">
        <v>2016</v>
      </c>
      <c r="H77" s="359" t="str">
        <f t="shared" si="7"/>
        <v>£m 12/13</v>
      </c>
      <c r="I77" s="359" t="s">
        <v>270</v>
      </c>
      <c r="J77" s="450" t="s">
        <v>485</v>
      </c>
      <c r="K77" s="581"/>
      <c r="L77" s="582"/>
      <c r="M77" s="458">
        <f t="shared" si="8"/>
        <v>2.5499999999999998E-2</v>
      </c>
      <c r="N77" s="458">
        <f t="shared" si="9"/>
        <v>2.4199999999999999E-2</v>
      </c>
      <c r="O77" s="458">
        <f t="shared" si="10"/>
        <v>2.29E-2</v>
      </c>
      <c r="P77" s="458">
        <f t="shared" si="11"/>
        <v>2.0899999999999998E-2</v>
      </c>
      <c r="Q77" s="458">
        <f t="shared" si="12"/>
        <v>1.9400000000000001E-2</v>
      </c>
      <c r="R77" s="458">
        <f t="shared" si="13"/>
        <v>1.8200000000000001E-2</v>
      </c>
      <c r="S77" s="458">
        <f t="shared" si="14"/>
        <v>1.72E-2</v>
      </c>
      <c r="T77" s="462">
        <f t="shared" si="15"/>
        <v>1.6299999999999999E-2</v>
      </c>
    </row>
    <row r="78" spans="1:20">
      <c r="A78" s="61" t="s">
        <v>172</v>
      </c>
      <c r="B78" s="73" t="s">
        <v>58</v>
      </c>
      <c r="C78" s="326">
        <v>0.06</v>
      </c>
      <c r="D78" s="327">
        <v>0.53280000000000005</v>
      </c>
      <c r="E78" s="328">
        <v>0.65</v>
      </c>
      <c r="F78" s="328">
        <v>0.68</v>
      </c>
      <c r="G78" s="358">
        <v>2016</v>
      </c>
      <c r="H78" s="359" t="str">
        <f t="shared" si="7"/>
        <v>£m 12/13</v>
      </c>
      <c r="I78" s="359" t="s">
        <v>270</v>
      </c>
      <c r="J78" s="450" t="s">
        <v>485</v>
      </c>
      <c r="K78" s="581"/>
      <c r="L78" s="582"/>
      <c r="M78" s="458">
        <f t="shared" si="8"/>
        <v>2.5499999999999998E-2</v>
      </c>
      <c r="N78" s="458">
        <f t="shared" si="9"/>
        <v>2.4199999999999999E-2</v>
      </c>
      <c r="O78" s="458">
        <f t="shared" si="10"/>
        <v>2.29E-2</v>
      </c>
      <c r="P78" s="458">
        <f t="shared" si="11"/>
        <v>2.0899999999999998E-2</v>
      </c>
      <c r="Q78" s="458">
        <f t="shared" si="12"/>
        <v>1.9400000000000001E-2</v>
      </c>
      <c r="R78" s="458">
        <f t="shared" si="13"/>
        <v>1.8200000000000001E-2</v>
      </c>
      <c r="S78" s="458">
        <f t="shared" si="14"/>
        <v>1.72E-2</v>
      </c>
      <c r="T78" s="462">
        <f t="shared" si="15"/>
        <v>1.6299999999999999E-2</v>
      </c>
    </row>
    <row r="79" spans="1:20">
      <c r="A79" s="61" t="s">
        <v>172</v>
      </c>
      <c r="B79" s="73" t="s">
        <v>45</v>
      </c>
      <c r="C79" s="326">
        <v>0.06</v>
      </c>
      <c r="D79" s="327">
        <v>0.53500000000000003</v>
      </c>
      <c r="E79" s="328">
        <v>0.65</v>
      </c>
      <c r="F79" s="328">
        <v>0.8</v>
      </c>
      <c r="G79" s="358">
        <v>2016</v>
      </c>
      <c r="H79" s="359" t="str">
        <f t="shared" si="7"/>
        <v>£m 12/13</v>
      </c>
      <c r="I79" s="359" t="s">
        <v>270</v>
      </c>
      <c r="J79" s="450" t="s">
        <v>485</v>
      </c>
      <c r="K79" s="581"/>
      <c r="L79" s="582"/>
      <c r="M79" s="458">
        <f t="shared" si="8"/>
        <v>2.5499999999999998E-2</v>
      </c>
      <c r="N79" s="458">
        <f t="shared" si="9"/>
        <v>2.4199999999999999E-2</v>
      </c>
      <c r="O79" s="458">
        <f t="shared" si="10"/>
        <v>2.29E-2</v>
      </c>
      <c r="P79" s="458">
        <f t="shared" si="11"/>
        <v>2.0899999999999998E-2</v>
      </c>
      <c r="Q79" s="458">
        <f t="shared" si="12"/>
        <v>1.9400000000000001E-2</v>
      </c>
      <c r="R79" s="458">
        <f t="shared" si="13"/>
        <v>1.8200000000000001E-2</v>
      </c>
      <c r="S79" s="458">
        <f t="shared" si="14"/>
        <v>1.72E-2</v>
      </c>
      <c r="T79" s="462">
        <f t="shared" si="15"/>
        <v>1.6299999999999999E-2</v>
      </c>
    </row>
    <row r="80" spans="1:20">
      <c r="A80" s="61" t="s">
        <v>172</v>
      </c>
      <c r="B80" s="73" t="s">
        <v>46</v>
      </c>
      <c r="C80" s="326">
        <v>0.06</v>
      </c>
      <c r="D80" s="327">
        <v>0.53500000000000003</v>
      </c>
      <c r="E80" s="328">
        <v>0.65</v>
      </c>
      <c r="F80" s="328">
        <v>0.8</v>
      </c>
      <c r="G80" s="358">
        <v>2016</v>
      </c>
      <c r="H80" s="359" t="str">
        <f t="shared" si="7"/>
        <v>£m 12/13</v>
      </c>
      <c r="I80" s="359" t="s">
        <v>270</v>
      </c>
      <c r="J80" s="450" t="s">
        <v>485</v>
      </c>
      <c r="K80" s="581"/>
      <c r="L80" s="582"/>
      <c r="M80" s="458">
        <f t="shared" si="8"/>
        <v>2.5499999999999998E-2</v>
      </c>
      <c r="N80" s="458">
        <f t="shared" si="9"/>
        <v>2.4199999999999999E-2</v>
      </c>
      <c r="O80" s="458">
        <f t="shared" si="10"/>
        <v>2.29E-2</v>
      </c>
      <c r="P80" s="458">
        <f t="shared" si="11"/>
        <v>2.0899999999999998E-2</v>
      </c>
      <c r="Q80" s="458">
        <f t="shared" si="12"/>
        <v>1.9400000000000001E-2</v>
      </c>
      <c r="R80" s="458">
        <f t="shared" si="13"/>
        <v>1.8200000000000001E-2</v>
      </c>
      <c r="S80" s="458">
        <f t="shared" si="14"/>
        <v>1.72E-2</v>
      </c>
      <c r="T80" s="462">
        <f t="shared" si="15"/>
        <v>1.6299999999999999E-2</v>
      </c>
    </row>
    <row r="81" spans="1:20">
      <c r="A81" s="61" t="s">
        <v>172</v>
      </c>
      <c r="B81" s="73" t="s">
        <v>47</v>
      </c>
      <c r="C81" s="326">
        <v>0.06</v>
      </c>
      <c r="D81" s="327">
        <v>0.56469999999999998</v>
      </c>
      <c r="E81" s="328">
        <v>0.65</v>
      </c>
      <c r="F81" s="328">
        <v>0.62</v>
      </c>
      <c r="G81" s="358">
        <v>2016</v>
      </c>
      <c r="H81" s="359" t="str">
        <f t="shared" si="7"/>
        <v>£m 12/13</v>
      </c>
      <c r="I81" s="359" t="s">
        <v>270</v>
      </c>
      <c r="J81" s="450" t="s">
        <v>485</v>
      </c>
      <c r="K81" s="581"/>
      <c r="L81" s="582"/>
      <c r="M81" s="458">
        <f t="shared" si="8"/>
        <v>2.5499999999999998E-2</v>
      </c>
      <c r="N81" s="458">
        <f t="shared" si="9"/>
        <v>2.4199999999999999E-2</v>
      </c>
      <c r="O81" s="458">
        <f t="shared" si="10"/>
        <v>2.29E-2</v>
      </c>
      <c r="P81" s="458">
        <f t="shared" si="11"/>
        <v>2.0899999999999998E-2</v>
      </c>
      <c r="Q81" s="458">
        <f t="shared" si="12"/>
        <v>1.9400000000000001E-2</v>
      </c>
      <c r="R81" s="458">
        <f t="shared" si="13"/>
        <v>1.8200000000000001E-2</v>
      </c>
      <c r="S81" s="458">
        <f t="shared" si="14"/>
        <v>1.72E-2</v>
      </c>
      <c r="T81" s="462">
        <f t="shared" si="15"/>
        <v>1.6299999999999999E-2</v>
      </c>
    </row>
    <row r="82" spans="1:20">
      <c r="A82" s="61" t="s">
        <v>172</v>
      </c>
      <c r="B82" s="73" t="s">
        <v>48</v>
      </c>
      <c r="C82" s="326">
        <v>0.06</v>
      </c>
      <c r="D82" s="327">
        <v>0.56469999999999998</v>
      </c>
      <c r="E82" s="328">
        <v>0.65</v>
      </c>
      <c r="F82" s="328">
        <v>0.7</v>
      </c>
      <c r="G82" s="358">
        <v>2016</v>
      </c>
      <c r="H82" s="359" t="str">
        <f t="shared" si="7"/>
        <v>£m 12/13</v>
      </c>
      <c r="I82" s="359" t="s">
        <v>270</v>
      </c>
      <c r="J82" s="450" t="s">
        <v>485</v>
      </c>
      <c r="K82" s="581"/>
      <c r="L82" s="582"/>
      <c r="M82" s="458">
        <f t="shared" si="8"/>
        <v>2.5499999999999998E-2</v>
      </c>
      <c r="N82" s="458">
        <f t="shared" si="9"/>
        <v>2.4199999999999999E-2</v>
      </c>
      <c r="O82" s="458">
        <f t="shared" si="10"/>
        <v>2.29E-2</v>
      </c>
      <c r="P82" s="458">
        <f t="shared" si="11"/>
        <v>2.0899999999999998E-2</v>
      </c>
      <c r="Q82" s="458">
        <f t="shared" si="12"/>
        <v>1.9400000000000001E-2</v>
      </c>
      <c r="R82" s="458">
        <f t="shared" si="13"/>
        <v>1.8200000000000001E-2</v>
      </c>
      <c r="S82" s="458">
        <f t="shared" si="14"/>
        <v>1.72E-2</v>
      </c>
      <c r="T82" s="462">
        <f t="shared" si="15"/>
        <v>1.6299999999999999E-2</v>
      </c>
    </row>
    <row r="83" spans="1:20">
      <c r="A83" s="61" t="s">
        <v>172</v>
      </c>
      <c r="B83" s="73" t="s">
        <v>246</v>
      </c>
      <c r="C83" s="326">
        <v>6.4000000000000001E-2</v>
      </c>
      <c r="D83" s="327">
        <v>0.7</v>
      </c>
      <c r="E83" s="328">
        <v>0.65</v>
      </c>
      <c r="F83" s="328">
        <v>0.8</v>
      </c>
      <c r="G83" s="358">
        <v>2016</v>
      </c>
      <c r="H83" s="359" t="str">
        <f t="shared" si="7"/>
        <v>£m 12/13</v>
      </c>
      <c r="I83" s="359" t="s">
        <v>271</v>
      </c>
      <c r="J83" s="450" t="s">
        <v>486</v>
      </c>
      <c r="K83" s="581"/>
      <c r="L83" s="582"/>
      <c r="M83" s="458">
        <f t="shared" ref="M83:T86" si="16">E$63</f>
        <v>2.5499999999999998E-2</v>
      </c>
      <c r="N83" s="458">
        <f t="shared" si="16"/>
        <v>2.3799999999999998E-2</v>
      </c>
      <c r="O83" s="458">
        <f t="shared" si="16"/>
        <v>2.2200000000000001E-2</v>
      </c>
      <c r="P83" s="458">
        <f t="shared" si="16"/>
        <v>1.9099999999999999E-2</v>
      </c>
      <c r="Q83" s="458">
        <f t="shared" si="16"/>
        <v>1.5800000000000002E-2</v>
      </c>
      <c r="R83" s="458">
        <f t="shared" si="16"/>
        <v>1.1399999999999999E-2</v>
      </c>
      <c r="S83" s="458">
        <f t="shared" si="16"/>
        <v>9.1999999999999998E-3</v>
      </c>
      <c r="T83" s="462">
        <f t="shared" si="16"/>
        <v>7.1999999999999998E-3</v>
      </c>
    </row>
    <row r="84" spans="1:20">
      <c r="A84" s="61" t="s">
        <v>172</v>
      </c>
      <c r="B84" s="73" t="s">
        <v>247</v>
      </c>
      <c r="C84" s="326">
        <v>6.4000000000000001E-2</v>
      </c>
      <c r="D84" s="327">
        <v>0.7</v>
      </c>
      <c r="E84" s="328">
        <v>0.65</v>
      </c>
      <c r="F84" s="328">
        <v>0.8</v>
      </c>
      <c r="G84" s="358">
        <v>2016</v>
      </c>
      <c r="H84" s="359" t="str">
        <f t="shared" si="7"/>
        <v>£m 12/13</v>
      </c>
      <c r="I84" s="359" t="s">
        <v>271</v>
      </c>
      <c r="J84" s="450" t="s">
        <v>486</v>
      </c>
      <c r="K84" s="581"/>
      <c r="L84" s="582"/>
      <c r="M84" s="458">
        <f t="shared" si="16"/>
        <v>2.5499999999999998E-2</v>
      </c>
      <c r="N84" s="458">
        <f t="shared" si="16"/>
        <v>2.3799999999999998E-2</v>
      </c>
      <c r="O84" s="458">
        <f t="shared" si="16"/>
        <v>2.2200000000000001E-2</v>
      </c>
      <c r="P84" s="458">
        <f t="shared" si="16"/>
        <v>1.9099999999999999E-2</v>
      </c>
      <c r="Q84" s="458">
        <f t="shared" si="16"/>
        <v>1.5800000000000002E-2</v>
      </c>
      <c r="R84" s="458">
        <f t="shared" si="16"/>
        <v>1.1399999999999999E-2</v>
      </c>
      <c r="S84" s="458">
        <f t="shared" si="16"/>
        <v>9.1999999999999998E-3</v>
      </c>
      <c r="T84" s="462">
        <f t="shared" si="16"/>
        <v>7.1999999999999998E-3</v>
      </c>
    </row>
    <row r="85" spans="1:20">
      <c r="A85" s="61" t="s">
        <v>172</v>
      </c>
      <c r="B85" s="73" t="s">
        <v>248</v>
      </c>
      <c r="C85" s="326">
        <v>6.4000000000000001E-2</v>
      </c>
      <c r="D85" s="327">
        <v>0.7</v>
      </c>
      <c r="E85" s="328">
        <v>0.65</v>
      </c>
      <c r="F85" s="328">
        <v>0.8</v>
      </c>
      <c r="G85" s="358">
        <v>2016</v>
      </c>
      <c r="H85" s="359" t="str">
        <f t="shared" si="7"/>
        <v>£m 12/13</v>
      </c>
      <c r="I85" s="359" t="s">
        <v>271</v>
      </c>
      <c r="J85" s="450" t="s">
        <v>486</v>
      </c>
      <c r="K85" s="581"/>
      <c r="L85" s="582"/>
      <c r="M85" s="458">
        <f t="shared" si="16"/>
        <v>2.5499999999999998E-2</v>
      </c>
      <c r="N85" s="458">
        <f t="shared" si="16"/>
        <v>2.3799999999999998E-2</v>
      </c>
      <c r="O85" s="458">
        <f t="shared" si="16"/>
        <v>2.2200000000000001E-2</v>
      </c>
      <c r="P85" s="458">
        <f t="shared" si="16"/>
        <v>1.9099999999999999E-2</v>
      </c>
      <c r="Q85" s="458">
        <f t="shared" si="16"/>
        <v>1.5800000000000002E-2</v>
      </c>
      <c r="R85" s="458">
        <f t="shared" si="16"/>
        <v>1.1399999999999999E-2</v>
      </c>
      <c r="S85" s="458">
        <f t="shared" si="16"/>
        <v>9.1999999999999998E-3</v>
      </c>
      <c r="T85" s="462">
        <f t="shared" si="16"/>
        <v>7.1999999999999998E-3</v>
      </c>
    </row>
    <row r="86" spans="1:20">
      <c r="A86" s="61" t="s">
        <v>172</v>
      </c>
      <c r="B86" s="73" t="s">
        <v>249</v>
      </c>
      <c r="C86" s="326">
        <v>6.4000000000000001E-2</v>
      </c>
      <c r="D86" s="327">
        <v>0.7</v>
      </c>
      <c r="E86" s="328">
        <v>0.65</v>
      </c>
      <c r="F86" s="328">
        <v>0.8</v>
      </c>
      <c r="G86" s="358">
        <v>2016</v>
      </c>
      <c r="H86" s="359" t="str">
        <f t="shared" si="7"/>
        <v>£m 12/13</v>
      </c>
      <c r="I86" s="359" t="s">
        <v>271</v>
      </c>
      <c r="J86" s="450" t="s">
        <v>486</v>
      </c>
      <c r="K86" s="581"/>
      <c r="L86" s="582"/>
      <c r="M86" s="458">
        <f t="shared" si="16"/>
        <v>2.5499999999999998E-2</v>
      </c>
      <c r="N86" s="458">
        <f t="shared" si="16"/>
        <v>2.3799999999999998E-2</v>
      </c>
      <c r="O86" s="458">
        <f t="shared" si="16"/>
        <v>2.2200000000000001E-2</v>
      </c>
      <c r="P86" s="458">
        <f t="shared" si="16"/>
        <v>1.9099999999999999E-2</v>
      </c>
      <c r="Q86" s="458">
        <f t="shared" si="16"/>
        <v>1.5800000000000002E-2</v>
      </c>
      <c r="R86" s="458">
        <f t="shared" si="16"/>
        <v>1.1399999999999999E-2</v>
      </c>
      <c r="S86" s="458">
        <f t="shared" si="16"/>
        <v>9.1999999999999998E-3</v>
      </c>
      <c r="T86" s="462">
        <f t="shared" si="16"/>
        <v>7.1999999999999998E-3</v>
      </c>
    </row>
    <row r="87" spans="1:20">
      <c r="A87" s="61" t="s">
        <v>173</v>
      </c>
      <c r="B87" s="73" t="s">
        <v>53</v>
      </c>
      <c r="C87" s="326">
        <v>6.7000000000000004E-2</v>
      </c>
      <c r="D87" s="327">
        <v>0.63039999999999996</v>
      </c>
      <c r="E87" s="328">
        <v>0.65</v>
      </c>
      <c r="F87" s="328">
        <v>0.26634501855794862</v>
      </c>
      <c r="G87" s="358">
        <v>2014</v>
      </c>
      <c r="H87" s="359" t="str">
        <f t="shared" si="7"/>
        <v>£m 09/10</v>
      </c>
      <c r="I87" s="359" t="s">
        <v>270</v>
      </c>
      <c r="J87" s="450" t="s">
        <v>486</v>
      </c>
      <c r="K87" s="460">
        <f t="shared" ref="K87:R94" si="17">C$67</f>
        <v>2.92E-2</v>
      </c>
      <c r="L87" s="458">
        <f t="shared" si="17"/>
        <v>2.7199999999999998E-2</v>
      </c>
      <c r="M87" s="458">
        <f t="shared" si="17"/>
        <v>2.5499999999999998E-2</v>
      </c>
      <c r="N87" s="458">
        <f t="shared" si="17"/>
        <v>2.3800000000000002E-2</v>
      </c>
      <c r="O87" s="458">
        <f t="shared" si="17"/>
        <v>2.2200000000000001E-2</v>
      </c>
      <c r="P87" s="458">
        <f t="shared" si="17"/>
        <v>1.9099999999999999E-2</v>
      </c>
      <c r="Q87" s="458">
        <f t="shared" si="17"/>
        <v>1.5800000000000002E-2</v>
      </c>
      <c r="R87" s="458">
        <f t="shared" si="17"/>
        <v>1.1399999999999999E-2</v>
      </c>
      <c r="S87" s="582"/>
      <c r="T87" s="583"/>
    </row>
    <row r="88" spans="1:20">
      <c r="A88" s="61" t="s">
        <v>173</v>
      </c>
      <c r="B88" s="73" t="s">
        <v>54</v>
      </c>
      <c r="C88" s="326">
        <v>6.7000000000000004E-2</v>
      </c>
      <c r="D88" s="327">
        <v>0.63039999999999996</v>
      </c>
      <c r="E88" s="328">
        <v>0.65</v>
      </c>
      <c r="F88" s="328">
        <v>0.23469337831705597</v>
      </c>
      <c r="G88" s="358">
        <v>2014</v>
      </c>
      <c r="H88" s="359" t="str">
        <f t="shared" si="7"/>
        <v>£m 09/10</v>
      </c>
      <c r="I88" s="359" t="s">
        <v>270</v>
      </c>
      <c r="J88" s="450" t="s">
        <v>486</v>
      </c>
      <c r="K88" s="460">
        <f t="shared" si="17"/>
        <v>2.92E-2</v>
      </c>
      <c r="L88" s="458">
        <f t="shared" si="17"/>
        <v>2.7199999999999998E-2</v>
      </c>
      <c r="M88" s="458">
        <f t="shared" si="17"/>
        <v>2.5499999999999998E-2</v>
      </c>
      <c r="N88" s="458">
        <f t="shared" si="17"/>
        <v>2.3800000000000002E-2</v>
      </c>
      <c r="O88" s="458">
        <f t="shared" si="17"/>
        <v>2.2200000000000001E-2</v>
      </c>
      <c r="P88" s="458">
        <f t="shared" si="17"/>
        <v>1.9099999999999999E-2</v>
      </c>
      <c r="Q88" s="458">
        <f t="shared" si="17"/>
        <v>1.5800000000000002E-2</v>
      </c>
      <c r="R88" s="458">
        <f t="shared" si="17"/>
        <v>1.1399999999999999E-2</v>
      </c>
      <c r="S88" s="582"/>
      <c r="T88" s="583"/>
    </row>
    <row r="89" spans="1:20">
      <c r="A89" s="61" t="s">
        <v>173</v>
      </c>
      <c r="B89" s="73" t="s">
        <v>55</v>
      </c>
      <c r="C89" s="326">
        <v>6.7000000000000004E-2</v>
      </c>
      <c r="D89" s="327">
        <v>0.63039999999999996</v>
      </c>
      <c r="E89" s="328">
        <v>0.65</v>
      </c>
      <c r="F89" s="328">
        <v>0.24946223864843597</v>
      </c>
      <c r="G89" s="358">
        <v>2014</v>
      </c>
      <c r="H89" s="359" t="str">
        <f t="shared" si="7"/>
        <v>£m 09/10</v>
      </c>
      <c r="I89" s="359" t="s">
        <v>270</v>
      </c>
      <c r="J89" s="450" t="s">
        <v>486</v>
      </c>
      <c r="K89" s="460">
        <f t="shared" si="17"/>
        <v>2.92E-2</v>
      </c>
      <c r="L89" s="458">
        <f t="shared" si="17"/>
        <v>2.7199999999999998E-2</v>
      </c>
      <c r="M89" s="458">
        <f t="shared" si="17"/>
        <v>2.5499999999999998E-2</v>
      </c>
      <c r="N89" s="458">
        <f t="shared" si="17"/>
        <v>2.3800000000000002E-2</v>
      </c>
      <c r="O89" s="458">
        <f t="shared" si="17"/>
        <v>2.2200000000000001E-2</v>
      </c>
      <c r="P89" s="458">
        <f t="shared" si="17"/>
        <v>1.9099999999999999E-2</v>
      </c>
      <c r="Q89" s="458">
        <f t="shared" si="17"/>
        <v>1.5800000000000002E-2</v>
      </c>
      <c r="R89" s="458">
        <f t="shared" si="17"/>
        <v>1.1399999999999999E-2</v>
      </c>
      <c r="S89" s="582"/>
      <c r="T89" s="583"/>
    </row>
    <row r="90" spans="1:20">
      <c r="A90" s="61" t="s">
        <v>173</v>
      </c>
      <c r="B90" s="73" t="s">
        <v>56</v>
      </c>
      <c r="C90" s="326">
        <v>6.7000000000000004E-2</v>
      </c>
      <c r="D90" s="327">
        <v>0.63039999999999996</v>
      </c>
      <c r="E90" s="328">
        <v>0.65</v>
      </c>
      <c r="F90" s="328">
        <v>0.26095352485819256</v>
      </c>
      <c r="G90" s="358">
        <v>2014</v>
      </c>
      <c r="H90" s="359" t="str">
        <f t="shared" si="7"/>
        <v>£m 09/10</v>
      </c>
      <c r="I90" s="359" t="s">
        <v>270</v>
      </c>
      <c r="J90" s="450" t="s">
        <v>486</v>
      </c>
      <c r="K90" s="460">
        <f t="shared" si="17"/>
        <v>2.92E-2</v>
      </c>
      <c r="L90" s="458">
        <f t="shared" si="17"/>
        <v>2.7199999999999998E-2</v>
      </c>
      <c r="M90" s="458">
        <f t="shared" si="17"/>
        <v>2.5499999999999998E-2</v>
      </c>
      <c r="N90" s="458">
        <f t="shared" si="17"/>
        <v>2.3800000000000002E-2</v>
      </c>
      <c r="O90" s="458">
        <f t="shared" si="17"/>
        <v>2.2200000000000001E-2</v>
      </c>
      <c r="P90" s="458">
        <f t="shared" si="17"/>
        <v>1.9099999999999999E-2</v>
      </c>
      <c r="Q90" s="458">
        <f t="shared" si="17"/>
        <v>1.5800000000000002E-2</v>
      </c>
      <c r="R90" s="458">
        <f t="shared" si="17"/>
        <v>1.1399999999999999E-2</v>
      </c>
      <c r="S90" s="582"/>
      <c r="T90" s="583"/>
    </row>
    <row r="91" spans="1:20">
      <c r="A91" s="61" t="s">
        <v>173</v>
      </c>
      <c r="B91" s="73" t="s">
        <v>50</v>
      </c>
      <c r="C91" s="326">
        <v>6.7000000000000004E-2</v>
      </c>
      <c r="D91" s="327">
        <v>0.63980000000000004</v>
      </c>
      <c r="E91" s="328">
        <v>0.65</v>
      </c>
      <c r="F91" s="328">
        <v>0.34984411379298247</v>
      </c>
      <c r="G91" s="358">
        <v>2014</v>
      </c>
      <c r="H91" s="359" t="str">
        <f t="shared" si="7"/>
        <v>£m 09/10</v>
      </c>
      <c r="I91" s="359" t="s">
        <v>270</v>
      </c>
      <c r="J91" s="450" t="s">
        <v>486</v>
      </c>
      <c r="K91" s="460">
        <f t="shared" si="17"/>
        <v>2.92E-2</v>
      </c>
      <c r="L91" s="458">
        <f t="shared" si="17"/>
        <v>2.7199999999999998E-2</v>
      </c>
      <c r="M91" s="458">
        <f t="shared" si="17"/>
        <v>2.5499999999999998E-2</v>
      </c>
      <c r="N91" s="458">
        <f t="shared" si="17"/>
        <v>2.3800000000000002E-2</v>
      </c>
      <c r="O91" s="458">
        <f t="shared" si="17"/>
        <v>2.2200000000000001E-2</v>
      </c>
      <c r="P91" s="458">
        <f t="shared" si="17"/>
        <v>1.9099999999999999E-2</v>
      </c>
      <c r="Q91" s="458">
        <f t="shared" si="17"/>
        <v>1.5800000000000002E-2</v>
      </c>
      <c r="R91" s="458">
        <f t="shared" si="17"/>
        <v>1.1399999999999999E-2</v>
      </c>
      <c r="S91" s="582"/>
      <c r="T91" s="583"/>
    </row>
    <row r="92" spans="1:20">
      <c r="A92" s="61" t="s">
        <v>173</v>
      </c>
      <c r="B92" s="73" t="s">
        <v>52</v>
      </c>
      <c r="C92" s="326">
        <v>6.7000000000000004E-2</v>
      </c>
      <c r="D92" s="327">
        <v>0.63729999999999998</v>
      </c>
      <c r="E92" s="328">
        <v>0.65</v>
      </c>
      <c r="F92" s="328">
        <v>0.35129049661183626</v>
      </c>
      <c r="G92" s="358">
        <v>2014</v>
      </c>
      <c r="H92" s="359" t="str">
        <f t="shared" si="7"/>
        <v>£m 09/10</v>
      </c>
      <c r="I92" s="359" t="s">
        <v>270</v>
      </c>
      <c r="J92" s="450" t="s">
        <v>486</v>
      </c>
      <c r="K92" s="460">
        <f t="shared" si="17"/>
        <v>2.92E-2</v>
      </c>
      <c r="L92" s="458">
        <f t="shared" si="17"/>
        <v>2.7199999999999998E-2</v>
      </c>
      <c r="M92" s="458">
        <f t="shared" si="17"/>
        <v>2.5499999999999998E-2</v>
      </c>
      <c r="N92" s="458">
        <f t="shared" si="17"/>
        <v>2.3800000000000002E-2</v>
      </c>
      <c r="O92" s="458">
        <f t="shared" si="17"/>
        <v>2.2200000000000001E-2</v>
      </c>
      <c r="P92" s="458">
        <f t="shared" si="17"/>
        <v>1.9099999999999999E-2</v>
      </c>
      <c r="Q92" s="458">
        <f t="shared" si="17"/>
        <v>1.5800000000000002E-2</v>
      </c>
      <c r="R92" s="458">
        <f t="shared" si="17"/>
        <v>1.1399999999999999E-2</v>
      </c>
      <c r="S92" s="582"/>
      <c r="T92" s="583"/>
    </row>
    <row r="93" spans="1:20">
      <c r="A93" s="61" t="s">
        <v>173</v>
      </c>
      <c r="B93" s="73" t="s">
        <v>51</v>
      </c>
      <c r="C93" s="326">
        <v>6.7000000000000004E-2</v>
      </c>
      <c r="D93" s="327">
        <v>0.63729999999999998</v>
      </c>
      <c r="E93" s="328">
        <v>0.65</v>
      </c>
      <c r="F93" s="328">
        <v>0.32230855902021693</v>
      </c>
      <c r="G93" s="358">
        <v>2014</v>
      </c>
      <c r="H93" s="359" t="str">
        <f t="shared" si="7"/>
        <v>£m 09/10</v>
      </c>
      <c r="I93" s="359" t="s">
        <v>270</v>
      </c>
      <c r="J93" s="450" t="s">
        <v>486</v>
      </c>
      <c r="K93" s="460">
        <f t="shared" si="17"/>
        <v>2.92E-2</v>
      </c>
      <c r="L93" s="458">
        <f t="shared" si="17"/>
        <v>2.7199999999999998E-2</v>
      </c>
      <c r="M93" s="458">
        <f t="shared" si="17"/>
        <v>2.5499999999999998E-2</v>
      </c>
      <c r="N93" s="458">
        <f t="shared" si="17"/>
        <v>2.3800000000000002E-2</v>
      </c>
      <c r="O93" s="458">
        <f t="shared" si="17"/>
        <v>2.2200000000000001E-2</v>
      </c>
      <c r="P93" s="458">
        <f t="shared" si="17"/>
        <v>1.9099999999999999E-2</v>
      </c>
      <c r="Q93" s="458">
        <f t="shared" si="17"/>
        <v>1.5800000000000002E-2</v>
      </c>
      <c r="R93" s="458">
        <f t="shared" si="17"/>
        <v>1.1399999999999999E-2</v>
      </c>
      <c r="S93" s="582"/>
      <c r="T93" s="583"/>
    </row>
    <row r="94" spans="1:20">
      <c r="A94" s="61" t="s">
        <v>173</v>
      </c>
      <c r="B94" s="73" t="s">
        <v>49</v>
      </c>
      <c r="C94" s="326">
        <v>6.7000000000000004E-2</v>
      </c>
      <c r="D94" s="327">
        <v>0.63170000000000004</v>
      </c>
      <c r="E94" s="328">
        <v>0.65</v>
      </c>
      <c r="F94" s="328">
        <v>0.35781904469402892</v>
      </c>
      <c r="G94" s="358">
        <v>2014</v>
      </c>
      <c r="H94" s="359" t="str">
        <f t="shared" si="7"/>
        <v>£m 09/10</v>
      </c>
      <c r="I94" s="359" t="s">
        <v>270</v>
      </c>
      <c r="J94" s="450" t="s">
        <v>486</v>
      </c>
      <c r="K94" s="460">
        <f t="shared" si="17"/>
        <v>2.92E-2</v>
      </c>
      <c r="L94" s="458">
        <f t="shared" si="17"/>
        <v>2.7199999999999998E-2</v>
      </c>
      <c r="M94" s="458">
        <f t="shared" si="17"/>
        <v>2.5499999999999998E-2</v>
      </c>
      <c r="N94" s="458">
        <f t="shared" si="17"/>
        <v>2.3800000000000002E-2</v>
      </c>
      <c r="O94" s="458">
        <f t="shared" si="17"/>
        <v>2.2200000000000001E-2</v>
      </c>
      <c r="P94" s="458">
        <f t="shared" si="17"/>
        <v>1.9099999999999999E-2</v>
      </c>
      <c r="Q94" s="458">
        <f t="shared" si="17"/>
        <v>1.5800000000000002E-2</v>
      </c>
      <c r="R94" s="458">
        <f t="shared" si="17"/>
        <v>1.1399999999999999E-2</v>
      </c>
      <c r="S94" s="582"/>
      <c r="T94" s="583"/>
    </row>
    <row r="95" spans="1:20">
      <c r="A95" s="61" t="s">
        <v>175</v>
      </c>
      <c r="B95" s="73" t="s">
        <v>113</v>
      </c>
      <c r="C95" s="326">
        <v>6.8000000000000005E-2</v>
      </c>
      <c r="D95" s="327">
        <v>0.44359999999999999</v>
      </c>
      <c r="E95" s="328">
        <v>0.625</v>
      </c>
      <c r="F95" s="328">
        <v>0.64400000000000002</v>
      </c>
      <c r="G95" s="358">
        <v>2014</v>
      </c>
      <c r="H95" s="359" t="str">
        <f t="shared" si="7"/>
        <v>£m 09/10</v>
      </c>
      <c r="I95" s="359" t="s">
        <v>270</v>
      </c>
      <c r="J95" s="450" t="s">
        <v>486</v>
      </c>
      <c r="K95" s="460">
        <f t="shared" ref="K95:R96" si="18">C$68</f>
        <v>2.92E-2</v>
      </c>
      <c r="L95" s="458">
        <f t="shared" si="18"/>
        <v>2.7199999999999998E-2</v>
      </c>
      <c r="M95" s="458">
        <f t="shared" si="18"/>
        <v>2.5499999999999998E-2</v>
      </c>
      <c r="N95" s="458">
        <f t="shared" si="18"/>
        <v>2.3800000000000002E-2</v>
      </c>
      <c r="O95" s="458">
        <f t="shared" si="18"/>
        <v>2.2200000000000001E-2</v>
      </c>
      <c r="P95" s="458">
        <f t="shared" si="18"/>
        <v>1.9099999999999999E-2</v>
      </c>
      <c r="Q95" s="458">
        <f t="shared" si="18"/>
        <v>1.5800000000000002E-2</v>
      </c>
      <c r="R95" s="458">
        <f t="shared" si="18"/>
        <v>1.1399999999999999E-2</v>
      </c>
      <c r="S95" s="582"/>
      <c r="T95" s="583"/>
    </row>
    <row r="96" spans="1:20">
      <c r="A96" s="61" t="s">
        <v>175</v>
      </c>
      <c r="B96" s="73" t="s">
        <v>114</v>
      </c>
      <c r="C96" s="326">
        <v>6.8000000000000005E-2</v>
      </c>
      <c r="D96" s="327">
        <v>0.44359999999999999</v>
      </c>
      <c r="E96" s="328">
        <v>0.625</v>
      </c>
      <c r="F96" s="328">
        <v>0.374</v>
      </c>
      <c r="G96" s="358">
        <v>2014</v>
      </c>
      <c r="H96" s="359" t="str">
        <f t="shared" si="7"/>
        <v>£m 09/10</v>
      </c>
      <c r="I96" s="359" t="s">
        <v>270</v>
      </c>
      <c r="J96" s="450" t="s">
        <v>486</v>
      </c>
      <c r="K96" s="460">
        <f t="shared" si="18"/>
        <v>2.92E-2</v>
      </c>
      <c r="L96" s="458">
        <f t="shared" si="18"/>
        <v>2.7199999999999998E-2</v>
      </c>
      <c r="M96" s="458">
        <f t="shared" si="18"/>
        <v>2.5499999999999998E-2</v>
      </c>
      <c r="N96" s="458">
        <f t="shared" si="18"/>
        <v>2.3800000000000002E-2</v>
      </c>
      <c r="O96" s="458">
        <f t="shared" si="18"/>
        <v>2.2200000000000001E-2</v>
      </c>
      <c r="P96" s="458">
        <f t="shared" si="18"/>
        <v>1.9099999999999999E-2</v>
      </c>
      <c r="Q96" s="458">
        <f t="shared" si="18"/>
        <v>1.5800000000000002E-2</v>
      </c>
      <c r="R96" s="458">
        <f t="shared" si="18"/>
        <v>1.1399999999999999E-2</v>
      </c>
      <c r="S96" s="582"/>
      <c r="T96" s="583"/>
    </row>
    <row r="97" spans="1:20">
      <c r="A97" s="61" t="s">
        <v>174</v>
      </c>
      <c r="B97" s="73" t="s">
        <v>111</v>
      </c>
      <c r="C97" s="326">
        <v>7.0000000000000007E-2</v>
      </c>
      <c r="D97" s="327">
        <v>0.46889999999999998</v>
      </c>
      <c r="E97" s="328">
        <v>0.6</v>
      </c>
      <c r="F97" s="328">
        <v>0.85</v>
      </c>
      <c r="G97" s="358">
        <v>2014</v>
      </c>
      <c r="H97" s="359" t="str">
        <f t="shared" si="7"/>
        <v>£m 09/10</v>
      </c>
      <c r="I97" s="359" t="s">
        <v>270</v>
      </c>
      <c r="J97" s="450" t="s">
        <v>486</v>
      </c>
      <c r="K97" s="460">
        <f t="shared" ref="K97:R99" si="19">C$66</f>
        <v>2.92E-2</v>
      </c>
      <c r="L97" s="458">
        <f t="shared" si="19"/>
        <v>2.7199999999999998E-2</v>
      </c>
      <c r="M97" s="458">
        <f t="shared" si="19"/>
        <v>2.5499999999999998E-2</v>
      </c>
      <c r="N97" s="458">
        <f t="shared" si="19"/>
        <v>2.3800000000000002E-2</v>
      </c>
      <c r="O97" s="458">
        <f t="shared" si="19"/>
        <v>2.2200000000000001E-2</v>
      </c>
      <c r="P97" s="458">
        <f t="shared" si="19"/>
        <v>1.9099999999999999E-2</v>
      </c>
      <c r="Q97" s="458">
        <f t="shared" si="19"/>
        <v>1.5800000000000002E-2</v>
      </c>
      <c r="R97" s="458">
        <f t="shared" si="19"/>
        <v>1.1399999999999999E-2</v>
      </c>
      <c r="S97" s="582"/>
      <c r="T97" s="583"/>
    </row>
    <row r="98" spans="1:20">
      <c r="A98" s="61" t="s">
        <v>174</v>
      </c>
      <c r="B98" s="73" t="s">
        <v>112</v>
      </c>
      <c r="C98" s="326">
        <v>7.0000000000000007E-2</v>
      </c>
      <c r="D98" s="327">
        <v>0.46889999999999998</v>
      </c>
      <c r="E98" s="328">
        <v>0.6</v>
      </c>
      <c r="F98" s="328">
        <v>0.27900000000000003</v>
      </c>
      <c r="G98" s="345">
        <v>2014</v>
      </c>
      <c r="H98" s="346" t="str">
        <f>VLOOKUP($A98,$E$54:$F$57,2,FALSE)</f>
        <v>£m 09/10</v>
      </c>
      <c r="I98" s="343" t="s">
        <v>270</v>
      </c>
      <c r="J98" s="450" t="s">
        <v>486</v>
      </c>
      <c r="K98" s="460">
        <f t="shared" si="19"/>
        <v>2.92E-2</v>
      </c>
      <c r="L98" s="458">
        <f t="shared" si="19"/>
        <v>2.7199999999999998E-2</v>
      </c>
      <c r="M98" s="458">
        <f t="shared" si="19"/>
        <v>2.5499999999999998E-2</v>
      </c>
      <c r="N98" s="458">
        <f t="shared" si="19"/>
        <v>2.3800000000000002E-2</v>
      </c>
      <c r="O98" s="458">
        <f t="shared" si="19"/>
        <v>2.2200000000000001E-2</v>
      </c>
      <c r="P98" s="458">
        <f t="shared" si="19"/>
        <v>1.9099999999999999E-2</v>
      </c>
      <c r="Q98" s="458">
        <f t="shared" si="19"/>
        <v>1.5800000000000002E-2</v>
      </c>
      <c r="R98" s="458">
        <f t="shared" si="19"/>
        <v>1.1399999999999999E-2</v>
      </c>
      <c r="S98" s="582"/>
      <c r="T98" s="583"/>
    </row>
    <row r="99" spans="1:20">
      <c r="A99" s="61" t="s">
        <v>174</v>
      </c>
      <c r="B99" s="73" t="s">
        <v>60</v>
      </c>
      <c r="C99" s="326">
        <v>7.0000000000000007E-2</v>
      </c>
      <c r="D99" s="327">
        <v>0.5</v>
      </c>
      <c r="E99" s="328">
        <v>0.55000000000000004</v>
      </c>
      <c r="F99" s="328">
        <v>0.9</v>
      </c>
      <c r="G99" s="345">
        <v>2014</v>
      </c>
      <c r="H99" s="346" t="str">
        <f>VLOOKUP($A99,$E$54:$F$57,2,FALSE)</f>
        <v>£m 09/10</v>
      </c>
      <c r="I99" s="343" t="s">
        <v>271</v>
      </c>
      <c r="J99" s="450" t="s">
        <v>486</v>
      </c>
      <c r="K99" s="460">
        <f t="shared" si="19"/>
        <v>2.92E-2</v>
      </c>
      <c r="L99" s="458">
        <f t="shared" si="19"/>
        <v>2.7199999999999998E-2</v>
      </c>
      <c r="M99" s="458">
        <f t="shared" si="19"/>
        <v>2.5499999999999998E-2</v>
      </c>
      <c r="N99" s="458">
        <f t="shared" si="19"/>
        <v>2.3800000000000002E-2</v>
      </c>
      <c r="O99" s="458">
        <f t="shared" si="19"/>
        <v>2.2200000000000001E-2</v>
      </c>
      <c r="P99" s="458">
        <f t="shared" si="19"/>
        <v>1.9099999999999999E-2</v>
      </c>
      <c r="Q99" s="458">
        <f t="shared" si="19"/>
        <v>1.5800000000000002E-2</v>
      </c>
      <c r="R99" s="458">
        <f t="shared" si="19"/>
        <v>1.1399999999999999E-2</v>
      </c>
      <c r="S99" s="582"/>
      <c r="T99" s="583"/>
    </row>
    <row r="100" spans="1:20">
      <c r="A100" s="61" t="s">
        <v>174</v>
      </c>
      <c r="B100" s="74" t="s">
        <v>61</v>
      </c>
      <c r="C100" s="329">
        <v>7.0000000000000007E-2</v>
      </c>
      <c r="D100" s="330">
        <v>0.5</v>
      </c>
      <c r="E100" s="331">
        <v>0.55000000000000004</v>
      </c>
      <c r="F100" s="331">
        <v>0.9</v>
      </c>
      <c r="G100" s="347">
        <v>2014</v>
      </c>
      <c r="H100" s="348" t="str">
        <f>VLOOKUP($A100,$E$54:$F$57,2,FALSE)</f>
        <v>£m 09/10</v>
      </c>
      <c r="I100" s="344" t="s">
        <v>271</v>
      </c>
      <c r="J100" s="450" t="s">
        <v>486</v>
      </c>
      <c r="K100" s="461">
        <f t="shared" ref="K100:R100" si="20">C$65</f>
        <v>2.92E-2</v>
      </c>
      <c r="L100" s="459">
        <f t="shared" si="20"/>
        <v>2.5000000000000001E-2</v>
      </c>
      <c r="M100" s="459">
        <f t="shared" si="20"/>
        <v>2.1499999999999998E-2</v>
      </c>
      <c r="N100" s="459">
        <f t="shared" si="20"/>
        <v>1.7899999999999999E-2</v>
      </c>
      <c r="O100" s="459">
        <f t="shared" si="20"/>
        <v>1.5100000000000001E-2</v>
      </c>
      <c r="P100" s="459">
        <f t="shared" si="20"/>
        <v>1.1599999999999999E-2</v>
      </c>
      <c r="Q100" s="459">
        <f t="shared" si="20"/>
        <v>1.0200000000000001E-2</v>
      </c>
      <c r="R100" s="459">
        <f t="shared" si="20"/>
        <v>8.6E-3</v>
      </c>
      <c r="S100" s="584"/>
      <c r="T100" s="585"/>
    </row>
    <row r="101" spans="1:20">
      <c r="I101" s="68"/>
    </row>
    <row r="102" spans="1:20">
      <c r="I102" s="68"/>
    </row>
    <row r="103" spans="1:20">
      <c r="I103" s="68"/>
    </row>
    <row r="104" spans="1:20" ht="13.5">
      <c r="B104" s="14" t="s">
        <v>250</v>
      </c>
      <c r="D104" s="313"/>
      <c r="E104" s="313"/>
      <c r="F104" s="313"/>
      <c r="G104" s="313"/>
      <c r="H104" s="313"/>
      <c r="I104" s="313"/>
      <c r="J104" s="313"/>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1" t="s">
        <v>53</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54</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55</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56</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50</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52</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51</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49</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113</v>
      </c>
      <c r="C114" s="229">
        <v>0.9</v>
      </c>
      <c r="D114" s="229">
        <v>0.9</v>
      </c>
      <c r="E114" s="229">
        <v>0.9</v>
      </c>
      <c r="F114" s="229">
        <v>0.9</v>
      </c>
      <c r="G114" s="229">
        <v>0.9</v>
      </c>
      <c r="H114" s="229">
        <v>0.9</v>
      </c>
      <c r="I114" s="229">
        <v>0.9</v>
      </c>
      <c r="J114" s="230">
        <v>0.9</v>
      </c>
    </row>
    <row r="115" spans="2:15">
      <c r="B115" s="323" t="s">
        <v>114</v>
      </c>
      <c r="C115" s="589"/>
      <c r="D115" s="589"/>
      <c r="E115" s="589"/>
      <c r="F115" s="589"/>
      <c r="G115" s="589"/>
      <c r="H115" s="589"/>
      <c r="I115" s="589"/>
      <c r="J115" s="589"/>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214</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4">
        <f t="shared" si="22"/>
        <v>2023</v>
      </c>
      <c r="M118" s="32"/>
      <c r="N118" s="32"/>
      <c r="O118" s="32"/>
    </row>
    <row r="119" spans="2:15">
      <c r="B119" s="485" t="s">
        <v>43</v>
      </c>
      <c r="C119" s="586"/>
      <c r="D119" s="587"/>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44</v>
      </c>
      <c r="C120" s="588"/>
      <c r="D120" s="589"/>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73</v>
      </c>
      <c r="C121" s="588"/>
      <c r="D121" s="589"/>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59</v>
      </c>
      <c r="C122" s="588"/>
      <c r="D122" s="589"/>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57</v>
      </c>
      <c r="C123" s="588"/>
      <c r="D123" s="589"/>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58</v>
      </c>
      <c r="C124" s="588"/>
      <c r="D124" s="589"/>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45</v>
      </c>
      <c r="C125" s="588"/>
      <c r="D125" s="589"/>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46</v>
      </c>
      <c r="C126" s="588"/>
      <c r="D126" s="589"/>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47</v>
      </c>
      <c r="C127" s="588"/>
      <c r="D127" s="589"/>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48</v>
      </c>
      <c r="C128" s="588"/>
      <c r="D128" s="589"/>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246</v>
      </c>
      <c r="C129" s="588"/>
      <c r="D129" s="589"/>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247</v>
      </c>
      <c r="C130" s="588"/>
      <c r="D130" s="589"/>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248</v>
      </c>
      <c r="C131" s="588"/>
      <c r="D131" s="589"/>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249</v>
      </c>
      <c r="C132" s="588"/>
      <c r="D132" s="589"/>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53</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89"/>
      <c r="L133" s="590"/>
      <c r="M133" s="32"/>
      <c r="N133" s="32"/>
      <c r="O133" s="32"/>
    </row>
    <row r="134" spans="2:15">
      <c r="B134" s="485" t="s">
        <v>54</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89"/>
      <c r="L134" s="590"/>
      <c r="M134" s="32"/>
      <c r="N134" s="32"/>
      <c r="O134" s="32"/>
    </row>
    <row r="135" spans="2:15">
      <c r="B135" s="485" t="s">
        <v>55</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89"/>
      <c r="L135" s="590"/>
      <c r="M135" s="32"/>
      <c r="N135" s="32"/>
      <c r="O135" s="32"/>
    </row>
    <row r="136" spans="2:15">
      <c r="B136" s="485" t="s">
        <v>56</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89"/>
      <c r="L136" s="590"/>
      <c r="M136" s="32"/>
      <c r="N136" s="32"/>
      <c r="O136" s="32"/>
    </row>
    <row r="137" spans="2:15">
      <c r="B137" s="485" t="s">
        <v>50</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89"/>
      <c r="L137" s="590"/>
      <c r="M137" s="32"/>
      <c r="N137" s="32"/>
      <c r="O137" s="32"/>
    </row>
    <row r="138" spans="2:15">
      <c r="B138" s="485" t="s">
        <v>52</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89"/>
      <c r="L138" s="590"/>
      <c r="M138" s="32"/>
      <c r="N138" s="32"/>
      <c r="O138" s="32"/>
    </row>
    <row r="139" spans="2:15">
      <c r="B139" s="485" t="s">
        <v>51</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89"/>
      <c r="L139" s="590"/>
      <c r="M139" s="32"/>
      <c r="N139" s="32"/>
      <c r="O139" s="32"/>
    </row>
    <row r="140" spans="2:15">
      <c r="B140" s="485" t="s">
        <v>49</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89"/>
      <c r="L140" s="590"/>
      <c r="M140" s="32"/>
      <c r="N140" s="32"/>
      <c r="O140" s="32"/>
    </row>
    <row r="141" spans="2:15">
      <c r="B141" s="485" t="s">
        <v>113</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89"/>
      <c r="L141" s="590"/>
      <c r="M141" s="32"/>
      <c r="N141" s="32"/>
      <c r="O141" s="32"/>
    </row>
    <row r="142" spans="2:15">
      <c r="B142" s="485" t="s">
        <v>114</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89"/>
      <c r="L142" s="590"/>
      <c r="M142" s="32"/>
      <c r="N142" s="32"/>
      <c r="O142" s="32"/>
    </row>
    <row r="143" spans="2:15">
      <c r="B143" s="485" t="s">
        <v>111</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89"/>
      <c r="L143" s="590"/>
      <c r="M143" s="32"/>
      <c r="N143" s="32"/>
      <c r="O143" s="32"/>
    </row>
    <row r="144" spans="2:15">
      <c r="B144" s="485" t="s">
        <v>112</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89"/>
      <c r="L144" s="590"/>
      <c r="M144" s="32"/>
      <c r="N144" s="32"/>
      <c r="O144" s="32"/>
    </row>
    <row r="145" spans="1:15">
      <c r="B145" s="485" t="s">
        <v>60</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89"/>
      <c r="L145" s="590"/>
      <c r="M145" s="32"/>
      <c r="N145" s="32"/>
      <c r="O145" s="32"/>
    </row>
    <row r="146" spans="1:15">
      <c r="B146" s="486" t="s">
        <v>61</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1"/>
      <c r="L146" s="592"/>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ED</v>
      </c>
      <c r="C149" s="446"/>
      <c r="D149" s="446"/>
      <c r="E149" s="446"/>
      <c r="F149" s="446"/>
      <c r="G149" s="446"/>
      <c r="H149" s="446"/>
      <c r="I149" s="446"/>
      <c r="J149" s="446"/>
      <c r="K149" s="446"/>
      <c r="L149" s="447"/>
    </row>
    <row r="150" spans="1:15" ht="14.25" customHeight="1">
      <c r="A150" s="215"/>
      <c r="B150" s="482" t="s">
        <v>407</v>
      </c>
      <c r="C150" s="483"/>
      <c r="D150" s="483"/>
      <c r="E150" s="483"/>
      <c r="F150" s="481"/>
      <c r="G150" s="481"/>
      <c r="H150" s="481"/>
      <c r="I150" s="481"/>
      <c r="J150" s="481"/>
      <c r="K150" s="481"/>
      <c r="L150" s="481"/>
      <c r="M150" s="481"/>
      <c r="N150" s="481"/>
    </row>
    <row r="151" spans="1:15" s="32" customFormat="1" ht="14.25" customHeight="1">
      <c r="A151" s="820"/>
      <c r="B151" s="821"/>
      <c r="C151" s="822"/>
      <c r="D151" s="822"/>
      <c r="E151" s="822"/>
      <c r="F151" s="823"/>
      <c r="G151" s="823"/>
      <c r="H151" s="823"/>
      <c r="I151" s="823"/>
      <c r="J151" s="823"/>
      <c r="K151" s="823"/>
      <c r="L151" s="823"/>
      <c r="M151" s="823"/>
      <c r="N151" s="823"/>
    </row>
    <row r="152" spans="1:15">
      <c r="A152" s="213"/>
      <c r="B152" s="824" t="s">
        <v>413</v>
      </c>
      <c r="C152" s="216"/>
      <c r="D152" s="216"/>
      <c r="E152" s="825" t="b">
        <f>OR((LEFT('RFPR cover'!$C$6,2)=Data!F152),'RFPR cover'!$C$5=Data!F152)</f>
        <v>1</v>
      </c>
      <c r="F152" s="384" t="str">
        <f>B162</f>
        <v>ED</v>
      </c>
      <c r="G152" s="826"/>
    </row>
    <row r="153" spans="1:15">
      <c r="A153" s="213"/>
      <c r="B153" s="841" t="str">
        <f t="shared" ref="B153:B160" si="23">CHOOSE(MATCH(TRUE,$E$152:$E$159,0),B163,B173,B183,E183,B193,E193,B203,E203)&amp;""</f>
        <v>Broad measure of customer service</v>
      </c>
      <c r="C153" s="216"/>
      <c r="D153" s="216"/>
      <c r="E153" s="827" t="b">
        <f>OR((LEFT('RFPR cover'!$C$6,2)=Data!F153),'RFPR cover'!$C$5=Data!F153)</f>
        <v>0</v>
      </c>
      <c r="F153" s="385" t="str">
        <f>B172</f>
        <v>GD</v>
      </c>
      <c r="G153" s="212"/>
    </row>
    <row r="154" spans="1:15" ht="25.5">
      <c r="A154" s="213"/>
      <c r="B154" s="842" t="str">
        <f t="shared" si="23"/>
        <v>Interruptions-related quality of service</v>
      </c>
      <c r="C154" s="216"/>
      <c r="D154" s="216"/>
      <c r="E154" s="827" t="b">
        <f>OR((LEFT('RFPR cover'!$C$6,2)=Data!F154),'RFPR cover'!$C$5=Data!F154)</f>
        <v>0</v>
      </c>
      <c r="F154" s="840" t="str">
        <f>B182</f>
        <v>NGGT (TO)</v>
      </c>
      <c r="G154" s="212"/>
    </row>
    <row r="155" spans="1:15">
      <c r="A155" s="213"/>
      <c r="B155" s="842" t="str">
        <f t="shared" si="23"/>
        <v>Incentive on connections engagement</v>
      </c>
      <c r="C155" s="216"/>
      <c r="D155" s="216"/>
      <c r="E155" s="827" t="b">
        <f>OR((LEFT('RFPR cover'!$C$6,2)=Data!F155),'RFPR cover'!$C$5=Data!F155)</f>
        <v>0</v>
      </c>
      <c r="F155" s="828" t="str">
        <f>E182</f>
        <v>NGGT (SO)</v>
      </c>
      <c r="G155" s="212"/>
    </row>
    <row r="156" spans="1:15">
      <c r="A156" s="213"/>
      <c r="B156" s="842" t="str">
        <f t="shared" si="23"/>
        <v>Time to Connect Incentive</v>
      </c>
      <c r="C156" s="216"/>
      <c r="D156" s="216"/>
      <c r="E156" s="827" t="b">
        <f>OR((LEFT('RFPR cover'!$C$6,2)=Data!F156),'RFPR cover'!$C$5=Data!F156)</f>
        <v>0</v>
      </c>
      <c r="F156" s="828" t="str">
        <f>B192</f>
        <v>NGET (TO)</v>
      </c>
      <c r="G156" s="212"/>
    </row>
    <row r="157" spans="1:15">
      <c r="A157" s="213"/>
      <c r="B157" s="843" t="str">
        <f t="shared" si="23"/>
        <v>Losses discretionary reward scheme</v>
      </c>
      <c r="C157" s="216"/>
      <c r="D157" s="216"/>
      <c r="E157" s="827" t="b">
        <f>OR((LEFT('RFPR cover'!$C$6,2)=Data!F157),'RFPR cover'!$C$5=Data!F157)</f>
        <v>0</v>
      </c>
      <c r="F157" s="828" t="str">
        <f>E192</f>
        <v>NGET (SO)</v>
      </c>
      <c r="G157" s="212"/>
    </row>
    <row r="158" spans="1:15">
      <c r="A158" s="213"/>
      <c r="B158" s="843" t="str">
        <f t="shared" si="23"/>
        <v/>
      </c>
      <c r="C158" s="216"/>
      <c r="D158" s="216"/>
      <c r="E158" s="827" t="b">
        <f>OR((LEFT('RFPR cover'!$C$6,2)=Data!F158),'RFPR cover'!$C$5=Data!F158)</f>
        <v>0</v>
      </c>
      <c r="F158" s="828" t="str">
        <f>B202</f>
        <v>SPT</v>
      </c>
      <c r="G158" s="212"/>
    </row>
    <row r="159" spans="1:15">
      <c r="A159" s="213"/>
      <c r="B159" s="843" t="str">
        <f t="shared" si="23"/>
        <v/>
      </c>
      <c r="C159" s="216"/>
      <c r="D159" s="216"/>
      <c r="E159" s="829" t="b">
        <f>OR((LEFT('RFPR cover'!$C$6,2)=Data!F159),'RFPR cover'!$C$5=Data!F159)</f>
        <v>0</v>
      </c>
      <c r="F159" s="830" t="str">
        <f>E202</f>
        <v>SHET</v>
      </c>
      <c r="G159" s="312"/>
    </row>
    <row r="160" spans="1:15">
      <c r="A160" s="213"/>
      <c r="B160" s="216" t="str">
        <f t="shared" si="23"/>
        <v/>
      </c>
      <c r="C160" s="216"/>
      <c r="D160" s="216"/>
      <c r="E160" s="60"/>
      <c r="F160" s="828"/>
      <c r="G160" s="43"/>
    </row>
    <row r="161" spans="1:7">
      <c r="A161" s="213"/>
      <c r="B161" s="216"/>
      <c r="C161" s="216"/>
      <c r="D161" s="216"/>
      <c r="E161" s="60"/>
      <c r="F161" s="828"/>
      <c r="G161" s="43"/>
    </row>
    <row r="162" spans="1:7" ht="12" customHeight="1">
      <c r="A162" s="213"/>
      <c r="B162" s="950" t="s">
        <v>172</v>
      </c>
      <c r="C162" s="951"/>
      <c r="D162" s="216"/>
      <c r="E162" s="216"/>
    </row>
    <row r="163" spans="1:7">
      <c r="A163" s="213"/>
      <c r="B163" s="976" t="s">
        <v>408</v>
      </c>
      <c r="C163" s="977"/>
      <c r="D163" s="216"/>
      <c r="E163" s="216"/>
    </row>
    <row r="164" spans="1:7">
      <c r="A164" s="213"/>
      <c r="B164" s="976" t="s">
        <v>409</v>
      </c>
      <c r="C164" s="977"/>
      <c r="D164" s="216"/>
      <c r="E164" s="216"/>
    </row>
    <row r="165" spans="1:7">
      <c r="A165" s="213"/>
      <c r="B165" s="938" t="s">
        <v>410</v>
      </c>
      <c r="C165" s="939"/>
      <c r="D165" s="216"/>
      <c r="E165" s="216"/>
    </row>
    <row r="166" spans="1:7">
      <c r="A166" s="213"/>
      <c r="B166" s="938" t="s">
        <v>411</v>
      </c>
      <c r="C166" s="939"/>
      <c r="D166" s="216"/>
      <c r="E166" s="216"/>
    </row>
    <row r="167" spans="1:7">
      <c r="A167" s="213"/>
      <c r="B167" s="938" t="s">
        <v>412</v>
      </c>
      <c r="C167" s="939"/>
      <c r="D167" s="216"/>
      <c r="E167" s="216"/>
    </row>
    <row r="168" spans="1:7">
      <c r="A168" s="213"/>
      <c r="B168" s="938"/>
      <c r="C168" s="939"/>
      <c r="D168" s="216"/>
      <c r="E168" s="216"/>
    </row>
    <row r="169" spans="1:7">
      <c r="A169" s="213"/>
      <c r="B169" s="938"/>
      <c r="C169" s="939"/>
      <c r="D169" s="216"/>
      <c r="E169" s="216"/>
    </row>
    <row r="170" spans="1:7">
      <c r="A170" s="213"/>
      <c r="B170" s="216"/>
      <c r="C170" s="216"/>
      <c r="D170" s="216"/>
      <c r="E170" s="216"/>
    </row>
    <row r="171" spans="1:7">
      <c r="A171" s="213"/>
      <c r="B171" s="216"/>
      <c r="C171" s="216"/>
      <c r="D171" s="216"/>
      <c r="E171" s="216"/>
    </row>
    <row r="172" spans="1:7">
      <c r="A172" s="213"/>
      <c r="B172" s="950" t="s">
        <v>173</v>
      </c>
      <c r="C172" s="951"/>
      <c r="D172" s="216"/>
      <c r="E172" s="216"/>
    </row>
    <row r="173" spans="1:7" ht="12.75" customHeight="1">
      <c r="A173" s="213"/>
      <c r="B173" s="945" t="s">
        <v>223</v>
      </c>
      <c r="C173" s="946"/>
      <c r="D173" s="216"/>
      <c r="E173" s="216"/>
    </row>
    <row r="174" spans="1:7" ht="12.75" customHeight="1">
      <c r="A174" s="213"/>
      <c r="B174" s="943" t="s">
        <v>224</v>
      </c>
      <c r="C174" s="944"/>
      <c r="D174" s="216"/>
      <c r="E174" s="216"/>
    </row>
    <row r="175" spans="1:7" ht="12.75" customHeight="1">
      <c r="A175" s="213"/>
      <c r="B175" s="943" t="s">
        <v>225</v>
      </c>
      <c r="C175" s="944"/>
      <c r="D175" s="216"/>
      <c r="E175" s="216"/>
    </row>
    <row r="176" spans="1:7" ht="12.75" customHeight="1">
      <c r="A176" s="213"/>
      <c r="B176" s="943" t="s">
        <v>226</v>
      </c>
      <c r="C176" s="944"/>
      <c r="D176" s="216"/>
      <c r="E176" s="216"/>
    </row>
    <row r="177" spans="1:9" ht="12.75" customHeight="1">
      <c r="A177" s="213"/>
      <c r="B177" s="940" t="s">
        <v>308</v>
      </c>
      <c r="C177" s="942"/>
      <c r="D177" s="216"/>
      <c r="E177" s="216"/>
    </row>
    <row r="178" spans="1:9" ht="12.75" customHeight="1">
      <c r="A178" s="213"/>
      <c r="B178" s="940"/>
      <c r="C178" s="942"/>
      <c r="D178" s="216"/>
      <c r="E178" s="216"/>
    </row>
    <row r="179" spans="1:9" ht="12.75" customHeight="1">
      <c r="A179" s="213"/>
      <c r="B179" s="940"/>
      <c r="C179" s="942"/>
      <c r="D179" s="216"/>
      <c r="E179" s="216"/>
    </row>
    <row r="180" spans="1:9">
      <c r="A180" s="213"/>
      <c r="B180" s="216"/>
      <c r="C180" s="216"/>
      <c r="D180" s="216"/>
      <c r="E180" s="216"/>
    </row>
    <row r="181" spans="1:9">
      <c r="A181" s="213"/>
      <c r="B181" s="216"/>
      <c r="C181" s="216"/>
      <c r="D181" s="216"/>
      <c r="E181" s="216"/>
    </row>
    <row r="182" spans="1:9">
      <c r="A182" s="213"/>
      <c r="B182" s="947" t="str">
        <f>B95</f>
        <v>NGGT (TO)</v>
      </c>
      <c r="C182" s="948"/>
      <c r="D182" s="216"/>
      <c r="E182" s="947" t="str">
        <f>B96</f>
        <v>NGGT (SO)</v>
      </c>
      <c r="F182" s="974"/>
      <c r="G182" s="974"/>
      <c r="H182" s="974"/>
      <c r="I182" s="951"/>
    </row>
    <row r="183" spans="1:9">
      <c r="A183" s="213"/>
      <c r="B183" s="945" t="s">
        <v>219</v>
      </c>
      <c r="C183" s="946"/>
      <c r="D183" s="216"/>
      <c r="E183" s="943"/>
      <c r="F183" s="975"/>
      <c r="G183" s="975"/>
      <c r="H183" s="975"/>
      <c r="I183" s="944"/>
    </row>
    <row r="184" spans="1:9">
      <c r="A184" s="213"/>
      <c r="B184" s="943" t="s">
        <v>227</v>
      </c>
      <c r="C184" s="944"/>
      <c r="D184" s="216"/>
      <c r="E184" s="943"/>
      <c r="F184" s="975"/>
      <c r="G184" s="975"/>
      <c r="H184" s="975"/>
      <c r="I184" s="944"/>
    </row>
    <row r="185" spans="1:9">
      <c r="A185" s="213"/>
      <c r="B185" s="943"/>
      <c r="C185" s="944"/>
      <c r="D185" s="216"/>
      <c r="E185" s="943"/>
      <c r="F185" s="975"/>
      <c r="G185" s="975"/>
      <c r="H185" s="975"/>
      <c r="I185" s="944"/>
    </row>
    <row r="186" spans="1:9">
      <c r="A186" s="213"/>
      <c r="B186" s="943"/>
      <c r="C186" s="944"/>
      <c r="D186" s="216"/>
      <c r="E186" s="943"/>
      <c r="F186" s="975"/>
      <c r="G186" s="975"/>
      <c r="H186" s="975"/>
      <c r="I186" s="944"/>
    </row>
    <row r="187" spans="1:9">
      <c r="A187" s="213"/>
      <c r="B187" s="940"/>
      <c r="C187" s="942"/>
      <c r="D187" s="216"/>
      <c r="E187" s="940"/>
      <c r="F187" s="941"/>
      <c r="G187" s="941"/>
      <c r="H187" s="941"/>
      <c r="I187" s="942"/>
    </row>
    <row r="188" spans="1:9">
      <c r="A188" s="213"/>
      <c r="B188" s="940"/>
      <c r="C188" s="942"/>
      <c r="D188" s="216"/>
      <c r="E188" s="940"/>
      <c r="F188" s="941"/>
      <c r="G188" s="941"/>
      <c r="H188" s="941"/>
      <c r="I188" s="942"/>
    </row>
    <row r="189" spans="1:9">
      <c r="A189" s="213"/>
      <c r="B189" s="940"/>
      <c r="C189" s="942"/>
      <c r="D189" s="216"/>
      <c r="E189" s="940"/>
      <c r="F189" s="941"/>
      <c r="G189" s="941"/>
      <c r="H189" s="941"/>
      <c r="I189" s="942"/>
    </row>
    <row r="190" spans="1:9">
      <c r="A190" s="213"/>
      <c r="B190" s="216"/>
      <c r="C190" s="216"/>
      <c r="D190" s="216"/>
      <c r="E190" s="216"/>
    </row>
    <row r="191" spans="1:9">
      <c r="A191" s="213"/>
      <c r="B191" s="216"/>
      <c r="C191" s="216"/>
      <c r="D191" s="216"/>
      <c r="E191" s="216"/>
    </row>
    <row r="192" spans="1:9">
      <c r="A192" s="213"/>
      <c r="B192" s="947" t="str">
        <f>B97</f>
        <v>NGET (TO)</v>
      </c>
      <c r="C192" s="948"/>
      <c r="D192" s="216"/>
      <c r="E192" s="947" t="str">
        <f>B98</f>
        <v>NGET (SO)</v>
      </c>
      <c r="F192" s="974"/>
      <c r="G192" s="974"/>
      <c r="H192" s="974"/>
      <c r="I192" s="951"/>
    </row>
    <row r="193" spans="1:9" ht="12.75" customHeight="1">
      <c r="A193" s="213"/>
      <c r="B193" s="945" t="s">
        <v>218</v>
      </c>
      <c r="C193" s="946"/>
      <c r="D193" s="216"/>
      <c r="E193" s="943"/>
      <c r="F193" s="975"/>
      <c r="G193" s="975"/>
      <c r="H193" s="975"/>
      <c r="I193" s="944"/>
    </row>
    <row r="194" spans="1:9" ht="12.75" customHeight="1">
      <c r="A194" s="213"/>
      <c r="B194" s="943" t="s">
        <v>219</v>
      </c>
      <c r="C194" s="944"/>
      <c r="D194" s="216"/>
      <c r="E194" s="943"/>
      <c r="F194" s="975"/>
      <c r="G194" s="975"/>
      <c r="H194" s="975"/>
      <c r="I194" s="944"/>
    </row>
    <row r="195" spans="1:9" ht="12.75" customHeight="1">
      <c r="A195" s="213"/>
      <c r="B195" s="943" t="s">
        <v>220</v>
      </c>
      <c r="C195" s="944"/>
      <c r="D195" s="216"/>
      <c r="E195" s="943"/>
      <c r="F195" s="975"/>
      <c r="G195" s="975"/>
      <c r="H195" s="975"/>
      <c r="I195" s="944"/>
    </row>
    <row r="196" spans="1:9" ht="12.75" customHeight="1">
      <c r="A196" s="213"/>
      <c r="B196" s="943" t="s">
        <v>221</v>
      </c>
      <c r="C196" s="944"/>
      <c r="D196" s="216"/>
      <c r="E196" s="943"/>
      <c r="F196" s="975"/>
      <c r="G196" s="975"/>
      <c r="H196" s="975"/>
      <c r="I196" s="944"/>
    </row>
    <row r="197" spans="1:9" ht="12.75" customHeight="1">
      <c r="A197" s="213"/>
      <c r="B197" s="940"/>
      <c r="C197" s="942"/>
      <c r="D197" s="216"/>
      <c r="E197" s="940"/>
      <c r="F197" s="941"/>
      <c r="G197" s="941"/>
      <c r="H197" s="941"/>
      <c r="I197" s="942"/>
    </row>
    <row r="198" spans="1:9" ht="12.75" customHeight="1">
      <c r="A198" s="213"/>
      <c r="B198" s="940"/>
      <c r="C198" s="942"/>
      <c r="D198" s="216"/>
      <c r="E198" s="940"/>
      <c r="F198" s="941"/>
      <c r="G198" s="941"/>
      <c r="H198" s="941"/>
      <c r="I198" s="942"/>
    </row>
    <row r="199" spans="1:9" ht="12.75" customHeight="1">
      <c r="A199" s="213"/>
      <c r="B199" s="940"/>
      <c r="C199" s="942"/>
      <c r="D199" s="216"/>
      <c r="E199" s="940"/>
      <c r="F199" s="941"/>
      <c r="G199" s="941"/>
      <c r="H199" s="941"/>
      <c r="I199" s="942"/>
    </row>
    <row r="200" spans="1:9" s="32" customFormat="1" ht="12.75" customHeight="1">
      <c r="A200" s="817"/>
      <c r="B200" s="817"/>
      <c r="C200" s="817"/>
      <c r="D200" s="818"/>
      <c r="E200" s="819"/>
      <c r="F200" s="819"/>
      <c r="G200" s="819"/>
      <c r="H200" s="819"/>
      <c r="I200" s="819"/>
    </row>
    <row r="201" spans="1:9" s="32" customFormat="1" ht="12.75" customHeight="1">
      <c r="A201" s="817"/>
      <c r="B201" s="817"/>
      <c r="C201" s="817"/>
      <c r="D201" s="818"/>
      <c r="E201" s="819"/>
      <c r="F201" s="819"/>
      <c r="G201" s="819"/>
      <c r="H201" s="819"/>
      <c r="I201" s="819"/>
    </row>
    <row r="202" spans="1:9">
      <c r="A202" s="213"/>
      <c r="B202" s="947" t="str">
        <f>B145</f>
        <v>SPT</v>
      </c>
      <c r="C202" s="948"/>
      <c r="D202" s="216"/>
      <c r="E202" s="947" t="str">
        <f>B100</f>
        <v>SHET</v>
      </c>
      <c r="F202" s="974"/>
      <c r="G202" s="974"/>
      <c r="H202" s="974"/>
      <c r="I202" s="951"/>
    </row>
    <row r="203" spans="1:9" ht="12.75" customHeight="1">
      <c r="A203" s="213"/>
      <c r="B203" s="945" t="s">
        <v>218</v>
      </c>
      <c r="C203" s="946"/>
      <c r="D203" s="216"/>
      <c r="E203" s="945" t="s">
        <v>218</v>
      </c>
      <c r="F203" s="978"/>
      <c r="G203" s="978"/>
      <c r="H203" s="978"/>
      <c r="I203" s="946"/>
    </row>
    <row r="204" spans="1:9" ht="12.75" customHeight="1">
      <c r="A204" s="213"/>
      <c r="B204" s="943" t="s">
        <v>219</v>
      </c>
      <c r="C204" s="944"/>
      <c r="D204" s="216"/>
      <c r="E204" s="943" t="s">
        <v>219</v>
      </c>
      <c r="F204" s="975"/>
      <c r="G204" s="975"/>
      <c r="H204" s="975"/>
      <c r="I204" s="944"/>
    </row>
    <row r="205" spans="1:9" ht="12.75" customHeight="1">
      <c r="A205" s="213"/>
      <c r="B205" s="943" t="s">
        <v>220</v>
      </c>
      <c r="C205" s="944"/>
      <c r="D205" s="216"/>
      <c r="E205" s="943" t="s">
        <v>220</v>
      </c>
      <c r="F205" s="975"/>
      <c r="G205" s="975"/>
      <c r="H205" s="975"/>
      <c r="I205" s="944"/>
    </row>
    <row r="206" spans="1:9" ht="12.75" customHeight="1">
      <c r="A206" s="213"/>
      <c r="B206" s="943" t="s">
        <v>221</v>
      </c>
      <c r="C206" s="944"/>
      <c r="D206" s="216"/>
      <c r="E206" s="943" t="s">
        <v>221</v>
      </c>
      <c r="F206" s="975"/>
      <c r="G206" s="975"/>
      <c r="H206" s="975"/>
      <c r="I206" s="944"/>
    </row>
    <row r="207" spans="1:9" ht="12.75" customHeight="1">
      <c r="A207" s="213"/>
      <c r="B207" s="940" t="s">
        <v>222</v>
      </c>
      <c r="C207" s="942"/>
      <c r="D207" s="216"/>
      <c r="E207" s="940" t="s">
        <v>222</v>
      </c>
      <c r="F207" s="941"/>
      <c r="G207" s="941"/>
      <c r="H207" s="941"/>
      <c r="I207" s="942"/>
    </row>
    <row r="208" spans="1:9" ht="12.75" customHeight="1">
      <c r="A208" s="213"/>
      <c r="B208" s="940"/>
      <c r="C208" s="942"/>
      <c r="D208" s="216"/>
      <c r="E208" s="940"/>
      <c r="F208" s="941"/>
      <c r="G208" s="941"/>
      <c r="H208" s="941"/>
      <c r="I208" s="942"/>
    </row>
    <row r="209" spans="1:14" ht="12.75" customHeight="1">
      <c r="A209" s="213"/>
      <c r="B209" s="940"/>
      <c r="C209" s="942"/>
      <c r="D209" s="216"/>
      <c r="E209" s="940"/>
      <c r="F209" s="941"/>
      <c r="G209" s="941"/>
      <c r="H209" s="941"/>
      <c r="I209" s="942"/>
    </row>
    <row r="210" spans="1:14">
      <c r="A210" s="213"/>
      <c r="D210" s="216"/>
      <c r="E210" s="216"/>
    </row>
    <row r="211" spans="1:14">
      <c r="A211" s="213"/>
      <c r="D211" s="216"/>
      <c r="E211" s="216"/>
    </row>
    <row r="212" spans="1:14" ht="12.75" customHeight="1">
      <c r="A212" s="213"/>
      <c r="B212" s="949" t="s">
        <v>240</v>
      </c>
      <c r="C212" s="949"/>
      <c r="D212" s="949"/>
      <c r="E212" s="300"/>
      <c r="F212" s="227"/>
      <c r="G212" s="227"/>
      <c r="H212" s="227"/>
      <c r="I212" s="227"/>
      <c r="J212" s="227"/>
      <c r="K212" s="227"/>
      <c r="L212" s="227"/>
      <c r="M212" s="227"/>
      <c r="N212" s="227"/>
    </row>
    <row r="213" spans="1:14">
      <c r="A213" s="213"/>
      <c r="B213" s="216"/>
      <c r="C213" s="216"/>
      <c r="D213" s="216"/>
      <c r="E213" s="216"/>
    </row>
    <row r="214" spans="1:14" ht="25.5">
      <c r="A214" s="213"/>
      <c r="B214" s="218" t="s">
        <v>129</v>
      </c>
      <c r="C214" s="217" t="s">
        <v>208</v>
      </c>
      <c r="D214" s="216"/>
      <c r="E214" s="216"/>
    </row>
    <row r="215" spans="1:14" ht="25.5">
      <c r="A215" s="213"/>
      <c r="B215" s="219" t="s">
        <v>130</v>
      </c>
      <c r="C215" s="305" t="s">
        <v>209</v>
      </c>
      <c r="D215" s="216"/>
      <c r="E215" s="216"/>
    </row>
    <row r="216" spans="1:14">
      <c r="B216" s="324"/>
      <c r="C216" s="43"/>
      <c r="D216" s="43"/>
      <c r="E216" s="43"/>
      <c r="F216" s="43"/>
      <c r="G216" s="43"/>
      <c r="H216" s="43"/>
      <c r="I216" s="43"/>
      <c r="J216" s="43"/>
    </row>
    <row r="217" spans="1:14">
      <c r="B217" s="214"/>
      <c r="I217" s="68"/>
    </row>
    <row r="218" spans="1:14">
      <c r="B218" s="833" t="s">
        <v>415</v>
      </c>
      <c r="I218" s="68"/>
    </row>
    <row r="219" spans="1:14">
      <c r="B219" s="835" t="s">
        <v>289</v>
      </c>
    </row>
    <row r="220" spans="1:14">
      <c r="B220" s="836" t="s">
        <v>288</v>
      </c>
    </row>
    <row r="221" spans="1:14">
      <c r="B221" s="839" t="s">
        <v>287</v>
      </c>
    </row>
    <row r="222" spans="1:14">
      <c r="B222" s="837"/>
    </row>
    <row r="223" spans="1:14">
      <c r="B223" s="223"/>
    </row>
    <row r="224" spans="1:14">
      <c r="B224" s="834" t="s">
        <v>285</v>
      </c>
    </row>
    <row r="225" spans="2:2">
      <c r="B225" s="838" t="s">
        <v>416</v>
      </c>
    </row>
    <row r="226" spans="2:2">
      <c r="B226" s="836" t="s">
        <v>417</v>
      </c>
    </row>
    <row r="227" spans="2:2">
      <c r="B227" s="836" t="s">
        <v>295</v>
      </c>
    </row>
    <row r="228" spans="2:2">
      <c r="B228" s="836" t="s">
        <v>418</v>
      </c>
    </row>
    <row r="229" spans="2:2">
      <c r="B229" s="836" t="s">
        <v>419</v>
      </c>
    </row>
    <row r="230" spans="2:2">
      <c r="B230" s="836" t="s">
        <v>543</v>
      </c>
    </row>
    <row r="231" spans="2:2">
      <c r="B231" s="836" t="s">
        <v>420</v>
      </c>
    </row>
    <row r="232" spans="2:2">
      <c r="B232" s="836" t="s">
        <v>537</v>
      </c>
    </row>
    <row r="233" spans="2:2">
      <c r="B233" s="837" t="s">
        <v>538</v>
      </c>
    </row>
    <row r="234" spans="2:2">
      <c r="B234" s="223"/>
    </row>
    <row r="235" spans="2:2">
      <c r="B235" s="834" t="s">
        <v>294</v>
      </c>
    </row>
    <row r="236" spans="2:2">
      <c r="B236" s="838" t="s">
        <v>421</v>
      </c>
    </row>
    <row r="237" spans="2:2">
      <c r="B237" s="836" t="s">
        <v>422</v>
      </c>
    </row>
    <row r="238" spans="2:2">
      <c r="B238" s="836" t="s">
        <v>423</v>
      </c>
    </row>
    <row r="239" spans="2:2">
      <c r="B239" s="836" t="s">
        <v>424</v>
      </c>
    </row>
    <row r="240" spans="2:2">
      <c r="B240" s="836" t="s">
        <v>425</v>
      </c>
    </row>
    <row r="241" spans="2:2">
      <c r="B241" s="837"/>
    </row>
    <row r="242" spans="2:2">
      <c r="B242" s="223"/>
    </row>
    <row r="243" spans="2:2">
      <c r="B243" s="834" t="s">
        <v>426</v>
      </c>
    </row>
    <row r="244" spans="2:2">
      <c r="B244" s="838" t="s">
        <v>427</v>
      </c>
    </row>
    <row r="245" spans="2:2">
      <c r="B245" s="836" t="s">
        <v>428</v>
      </c>
    </row>
    <row r="246" spans="2:2">
      <c r="B246" s="837"/>
    </row>
    <row r="247" spans="2:2">
      <c r="B247" s="223"/>
    </row>
    <row r="248" spans="2:2">
      <c r="B248" s="834" t="s">
        <v>429</v>
      </c>
    </row>
    <row r="249" spans="2:2">
      <c r="B249" s="838" t="s">
        <v>470</v>
      </c>
    </row>
    <row r="250" spans="2:2">
      <c r="B250" s="836" t="s">
        <v>469</v>
      </c>
    </row>
    <row r="251" spans="2:2">
      <c r="B251" s="837" t="s">
        <v>270</v>
      </c>
    </row>
    <row r="252" spans="2:2">
      <c r="B252" s="223"/>
    </row>
    <row r="253" spans="2:2">
      <c r="B253" s="834" t="s">
        <v>286</v>
      </c>
    </row>
    <row r="254" spans="2:2">
      <c r="B254" s="838" t="s">
        <v>430</v>
      </c>
    </row>
    <row r="255" spans="2:2">
      <c r="B255" s="836" t="s">
        <v>474</v>
      </c>
    </row>
    <row r="256" spans="2:2">
      <c r="B256" s="836"/>
    </row>
    <row r="257" spans="2:2">
      <c r="B257" s="837"/>
    </row>
    <row r="258" spans="2:2">
      <c r="B258" s="223"/>
    </row>
    <row r="259" spans="2:2">
      <c r="B259" s="834" t="s">
        <v>290</v>
      </c>
    </row>
    <row r="260" spans="2:2">
      <c r="B260" s="838" t="s">
        <v>291</v>
      </c>
    </row>
    <row r="261" spans="2:2">
      <c r="B261" s="836" t="s">
        <v>296</v>
      </c>
    </row>
    <row r="262" spans="2:2">
      <c r="B262" s="836"/>
    </row>
    <row r="263" spans="2:2">
      <c r="B263" s="837"/>
    </row>
    <row r="264" spans="2:2">
      <c r="B264" s="223"/>
    </row>
    <row r="265" spans="2:2">
      <c r="B265" s="834" t="s">
        <v>431</v>
      </c>
    </row>
    <row r="266" spans="2:2">
      <c r="B266" s="838" t="s">
        <v>289</v>
      </c>
    </row>
    <row r="267" spans="2:2">
      <c r="B267" s="836" t="s">
        <v>288</v>
      </c>
    </row>
    <row r="268" spans="2:2">
      <c r="B268" s="837"/>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9" priority="20">
      <formula>AND(#REF!="Actuals",#REF!="Forecast")</formula>
    </cfRule>
  </conditionalFormatting>
  <conditionalFormatting sqref="C47">
    <cfRule type="expression" dxfId="78" priority="18">
      <formula>AND(#REF!="Actuals",#REF!="Forecast")</formula>
    </cfRule>
  </conditionalFormatting>
  <conditionalFormatting sqref="C50:J50">
    <cfRule type="expression" dxfId="77" priority="17">
      <formula>AND(#REF!="Actuals",#REF!="Forecast")</formula>
    </cfRule>
  </conditionalFormatting>
  <conditionalFormatting sqref="B14:D30">
    <cfRule type="cellIs" dxfId="76" priority="14" operator="equal">
      <formula>"Forecast"</formula>
    </cfRule>
  </conditionalFormatting>
  <conditionalFormatting sqref="B23:C30 E24:F27">
    <cfRule type="expression" dxfId="75" priority="111">
      <formula>$D13="Forecast"</formula>
    </cfRule>
  </conditionalFormatting>
  <conditionalFormatting sqref="K71">
    <cfRule type="expression" dxfId="74" priority="5">
      <formula>AND(#REF!="Actuals",#REF!="Forecast")</formula>
    </cfRule>
  </conditionalFormatting>
  <conditionalFormatting sqref="K72:T72">
    <cfRule type="expression" dxfId="73" priority="4">
      <formula>AND(#REF!="Actuals",#REF!="Forecast")</formula>
    </cfRule>
  </conditionalFormatting>
  <conditionalFormatting sqref="C62:L62">
    <cfRule type="expression" dxfId="72" priority="3">
      <formula>AND(#REF!="Actuals",#REF!="Forecast")</formula>
    </cfRule>
  </conditionalFormatting>
  <conditionalFormatting sqref="C118:L118">
    <cfRule type="expression" dxfId="71" priority="1">
      <formula>AND(#REF!="Actuals",#REF!="Forecast")</formula>
    </cfRule>
  </conditionalFormatting>
  <hyperlinks>
    <hyperlink ref="K39" r:id="rId1" display="https://assets.publishing.service.gov.uk/government/uploads/system/uploads/attachment_data/file/801759/PU797_Forecast_for_the_UK_Economy_May_2019_covers.pdf"/>
  </hyperlinks>
  <pageMargins left="0.7" right="0.7" top="0.75" bottom="0.75" header="0.3" footer="0.3"/>
  <pageSetup paperSize="9" scale="37" orientation="portrait" r:id="rId2"/>
  <rowBreaks count="2" manualBreakCount="2">
    <brk id="116" max="16383" man="1"/>
    <brk id="147" max="16383" man="1"/>
  </rowBreaks>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D8" sqref="D8"/>
      <selection pane="bottomLeft" activeCell="A3" sqref="A3"/>
    </sheetView>
  </sheetViews>
  <sheetFormatPr defaultRowHeight="12.75"/>
  <cols>
    <col min="1" max="1" width="8.375" customWidth="1"/>
    <col min="2" max="2" width="23.75" customWidth="1"/>
    <col min="3" max="3" width="25.75" customWidth="1"/>
    <col min="4" max="4" width="9.75" customWidth="1"/>
  </cols>
  <sheetData>
    <row r="1" spans="1:14" s="32" customFormat="1" ht="20.25">
      <c r="A1" s="30" t="s">
        <v>83</v>
      </c>
      <c r="B1" s="30"/>
      <c r="C1" s="30"/>
      <c r="D1" s="30"/>
      <c r="E1" s="30"/>
      <c r="F1" s="30"/>
      <c r="G1" s="30"/>
      <c r="H1" s="30"/>
      <c r="I1" s="33" t="s">
        <v>84</v>
      </c>
      <c r="J1" s="34"/>
      <c r="K1" s="34"/>
      <c r="L1" s="34"/>
      <c r="M1" s="34"/>
    </row>
    <row r="2" spans="1:14" s="32" customFormat="1" ht="20.25">
      <c r="A2" s="30" t="str">
        <f>'RFPR cover'!C5</f>
        <v>WPD-SWALES</v>
      </c>
      <c r="B2" s="30"/>
      <c r="C2" s="30"/>
      <c r="D2" s="30"/>
      <c r="E2" s="30"/>
      <c r="F2" s="30"/>
      <c r="G2" s="30"/>
      <c r="H2" s="30"/>
      <c r="I2" s="34"/>
      <c r="J2" s="34"/>
      <c r="K2" s="34"/>
      <c r="L2" s="34"/>
      <c r="M2" s="34"/>
      <c r="N2" s="385"/>
    </row>
    <row r="3" spans="1:14" s="32" customFormat="1" ht="20.25">
      <c r="A3" s="30">
        <f>'RFPR cover'!C7</f>
        <v>2019</v>
      </c>
      <c r="B3" s="30"/>
      <c r="C3" s="30"/>
      <c r="D3" s="30"/>
      <c r="E3" s="30"/>
      <c r="F3" s="30"/>
      <c r="G3" s="30"/>
      <c r="H3" s="30"/>
      <c r="I3" s="34"/>
      <c r="J3" s="34"/>
      <c r="K3" s="34"/>
      <c r="L3" s="34"/>
      <c r="M3" s="34"/>
      <c r="N3" s="385"/>
    </row>
    <row r="4" spans="1:14">
      <c r="A4" s="24"/>
      <c r="B4" s="24"/>
      <c r="C4" s="24"/>
      <c r="D4" s="24"/>
      <c r="E4" s="24"/>
      <c r="F4" s="24"/>
      <c r="G4" s="24"/>
      <c r="H4" s="24"/>
      <c r="I4" s="573"/>
      <c r="J4" s="573"/>
      <c r="K4" s="573"/>
      <c r="L4" s="573"/>
      <c r="M4" s="573"/>
      <c r="N4" s="43"/>
    </row>
    <row r="5" spans="1:14">
      <c r="A5" s="24"/>
      <c r="B5" s="24"/>
      <c r="C5" s="24"/>
      <c r="D5" s="24"/>
      <c r="E5" s="24"/>
      <c r="F5" s="24"/>
      <c r="G5" s="24"/>
      <c r="H5" s="24"/>
      <c r="I5" s="573"/>
      <c r="J5" s="573"/>
      <c r="K5" s="573"/>
      <c r="L5" s="573"/>
      <c r="M5" s="573"/>
      <c r="N5" s="43"/>
    </row>
    <row r="6" spans="1:14">
      <c r="A6" s="24"/>
      <c r="B6" s="25" t="s">
        <v>85</v>
      </c>
      <c r="C6" s="24"/>
      <c r="D6" s="24"/>
      <c r="E6" s="24"/>
      <c r="F6" s="24"/>
      <c r="G6" s="24"/>
      <c r="H6" s="24"/>
      <c r="I6" s="573"/>
      <c r="J6" s="573"/>
      <c r="K6" s="573"/>
      <c r="L6" s="573"/>
      <c r="M6" s="573"/>
      <c r="N6" s="43"/>
    </row>
    <row r="7" spans="1:14">
      <c r="A7" s="24"/>
      <c r="B7" s="24"/>
      <c r="C7" s="24"/>
      <c r="D7" s="24"/>
      <c r="E7" s="24"/>
      <c r="F7" s="24"/>
      <c r="G7" s="24"/>
      <c r="H7" s="24"/>
      <c r="I7" s="573"/>
      <c r="J7" s="573"/>
      <c r="K7" s="573"/>
      <c r="L7" s="573"/>
      <c r="M7" s="573"/>
      <c r="N7" s="43"/>
    </row>
    <row r="8" spans="1:14">
      <c r="A8" s="24"/>
      <c r="B8" s="48" t="s">
        <v>86</v>
      </c>
      <c r="C8" s="48" t="s">
        <v>87</v>
      </c>
      <c r="D8" s="981" t="s">
        <v>88</v>
      </c>
      <c r="E8" s="982"/>
      <c r="F8" s="982"/>
      <c r="G8" s="982"/>
      <c r="H8" s="982"/>
      <c r="I8" s="573"/>
      <c r="J8" s="573"/>
      <c r="K8" s="573"/>
      <c r="L8" s="573"/>
      <c r="M8" s="573"/>
      <c r="N8" s="43"/>
    </row>
    <row r="9" spans="1:14">
      <c r="A9" s="24"/>
      <c r="B9" s="26" t="s">
        <v>89</v>
      </c>
      <c r="C9" s="47">
        <v>43677</v>
      </c>
      <c r="D9" s="979"/>
      <c r="E9" s="980"/>
      <c r="F9" s="980"/>
      <c r="G9" s="980"/>
      <c r="H9" s="980"/>
      <c r="I9" s="24"/>
      <c r="J9" s="24"/>
      <c r="K9" s="24"/>
      <c r="L9" s="24"/>
      <c r="M9" s="24"/>
    </row>
    <row r="10" spans="1:14">
      <c r="A10" s="24"/>
      <c r="B10" s="26" t="s">
        <v>90</v>
      </c>
      <c r="C10" s="47"/>
      <c r="D10" s="979"/>
      <c r="E10" s="980"/>
      <c r="F10" s="980"/>
      <c r="G10" s="980"/>
      <c r="H10" s="980"/>
      <c r="I10" s="24"/>
      <c r="J10" s="24"/>
      <c r="K10" s="24"/>
      <c r="L10" s="24"/>
      <c r="M10" s="24"/>
    </row>
    <row r="11" spans="1:14">
      <c r="A11" s="24"/>
      <c r="B11" s="26" t="s">
        <v>91</v>
      </c>
      <c r="C11" s="47"/>
      <c r="D11" s="979"/>
      <c r="E11" s="980"/>
      <c r="F11" s="980"/>
      <c r="G11" s="980"/>
      <c r="H11" s="980"/>
      <c r="I11" s="24"/>
      <c r="J11" s="24"/>
      <c r="K11" s="24"/>
      <c r="L11" s="24"/>
      <c r="M11" s="24"/>
    </row>
    <row r="12" spans="1:14">
      <c r="A12" s="24"/>
      <c r="B12" s="26" t="s">
        <v>92</v>
      </c>
      <c r="C12" s="47"/>
      <c r="D12" s="979"/>
      <c r="E12" s="980"/>
      <c r="F12" s="980"/>
      <c r="G12" s="980"/>
      <c r="H12" s="980"/>
      <c r="I12" s="24"/>
      <c r="J12" s="24"/>
      <c r="K12" s="24"/>
      <c r="L12" s="24"/>
      <c r="M12" s="24"/>
    </row>
    <row r="13" spans="1:14">
      <c r="A13" s="24"/>
      <c r="B13" s="26" t="s">
        <v>93</v>
      </c>
      <c r="C13" s="47"/>
      <c r="D13" s="979"/>
      <c r="E13" s="980"/>
      <c r="F13" s="980"/>
      <c r="G13" s="980"/>
      <c r="H13" s="980"/>
      <c r="I13" s="24"/>
      <c r="J13" s="24"/>
      <c r="K13" s="24"/>
      <c r="L13" s="24"/>
      <c r="M13" s="24"/>
    </row>
    <row r="14" spans="1:14">
      <c r="A14" s="24"/>
      <c r="B14" s="26" t="s">
        <v>94</v>
      </c>
      <c r="C14" s="47"/>
      <c r="D14" s="979"/>
      <c r="E14" s="980"/>
      <c r="F14" s="980"/>
      <c r="G14" s="980"/>
      <c r="H14" s="980"/>
      <c r="I14" s="24"/>
      <c r="J14" s="24"/>
      <c r="K14" s="24"/>
      <c r="L14" s="24"/>
      <c r="M14" s="24"/>
    </row>
    <row r="15" spans="1:14">
      <c r="A15" s="24"/>
      <c r="B15" s="26" t="s">
        <v>95</v>
      </c>
      <c r="C15" s="47"/>
      <c r="D15" s="979"/>
      <c r="E15" s="980"/>
      <c r="F15" s="980"/>
      <c r="G15" s="980"/>
      <c r="H15" s="980"/>
      <c r="I15" s="24"/>
      <c r="J15" s="24"/>
      <c r="K15" s="24"/>
      <c r="L15" s="24"/>
      <c r="M15" s="24"/>
    </row>
    <row r="16" spans="1:14">
      <c r="A16" s="24"/>
      <c r="B16" s="26" t="s">
        <v>96</v>
      </c>
      <c r="C16" s="47"/>
      <c r="D16" s="979"/>
      <c r="E16" s="980"/>
      <c r="F16" s="980"/>
      <c r="G16" s="980"/>
      <c r="H16" s="980"/>
      <c r="I16" s="24"/>
      <c r="J16" s="24"/>
      <c r="K16" s="24"/>
      <c r="L16" s="24"/>
      <c r="M16" s="24"/>
    </row>
    <row r="17" spans="1:13">
      <c r="A17" s="24"/>
      <c r="B17" s="26" t="s">
        <v>97</v>
      </c>
      <c r="C17" s="47"/>
      <c r="D17" s="979"/>
      <c r="E17" s="980"/>
      <c r="F17" s="980"/>
      <c r="G17" s="980"/>
      <c r="H17" s="980"/>
      <c r="I17" s="24"/>
      <c r="J17" s="24"/>
      <c r="K17" s="24"/>
      <c r="L17" s="24"/>
      <c r="M17" s="24"/>
    </row>
    <row r="18" spans="1:13">
      <c r="A18" s="24"/>
      <c r="B18" s="26" t="s">
        <v>98</v>
      </c>
      <c r="C18" s="47"/>
      <c r="D18" s="979"/>
      <c r="E18" s="980"/>
      <c r="F18" s="980"/>
      <c r="G18" s="980"/>
      <c r="H18" s="980"/>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263</v>
      </c>
      <c r="C21" s="24"/>
      <c r="D21" s="24"/>
      <c r="E21" s="24"/>
      <c r="F21" s="24"/>
      <c r="G21" s="24"/>
      <c r="H21" s="24"/>
      <c r="I21" s="24"/>
      <c r="J21" s="24"/>
      <c r="K21" s="24"/>
      <c r="L21" s="24"/>
    </row>
    <row r="22" spans="1:13">
      <c r="A22" s="24"/>
      <c r="B22" s="301" t="s">
        <v>119</v>
      </c>
      <c r="C22" s="24"/>
      <c r="D22" s="24"/>
      <c r="E22" s="24"/>
      <c r="F22" s="24"/>
      <c r="G22" s="24"/>
      <c r="H22" s="24"/>
      <c r="I22" s="24"/>
      <c r="J22" s="24"/>
      <c r="K22" s="24"/>
      <c r="L22" s="24"/>
    </row>
    <row r="23" spans="1:13">
      <c r="A23" s="24"/>
      <c r="B23" s="301" t="s">
        <v>264</v>
      </c>
      <c r="C23" s="24"/>
      <c r="D23" s="24"/>
      <c r="E23" s="24"/>
      <c r="F23" s="24"/>
      <c r="G23" s="24"/>
      <c r="H23" s="24"/>
      <c r="I23" s="24"/>
      <c r="J23" s="24"/>
      <c r="K23" s="24"/>
      <c r="L23" s="24"/>
    </row>
    <row r="24" spans="1:13">
      <c r="B24" s="301" t="s">
        <v>99</v>
      </c>
    </row>
    <row r="25" spans="1:13">
      <c r="B25" s="301" t="s">
        <v>262</v>
      </c>
    </row>
    <row r="26" spans="1:13">
      <c r="B26" s="301" t="s">
        <v>100</v>
      </c>
    </row>
    <row r="27" spans="1:13">
      <c r="B27" s="301" t="s">
        <v>265</v>
      </c>
    </row>
    <row r="28" spans="1:13">
      <c r="B28" s="301" t="s">
        <v>281</v>
      </c>
      <c r="C28" t="s">
        <v>609</v>
      </c>
    </row>
    <row r="29" spans="1:13">
      <c r="B29" s="301" t="s">
        <v>237</v>
      </c>
    </row>
    <row r="30" spans="1:13">
      <c r="B30" s="301" t="s">
        <v>284</v>
      </c>
      <c r="C30" t="s">
        <v>609</v>
      </c>
    </row>
    <row r="31" spans="1:13">
      <c r="B31" s="301" t="s">
        <v>101</v>
      </c>
    </row>
    <row r="32" spans="1:13">
      <c r="B32" s="301" t="s">
        <v>261</v>
      </c>
    </row>
    <row r="33" spans="2:2">
      <c r="B33" s="301" t="s">
        <v>266</v>
      </c>
    </row>
    <row r="34" spans="2:2">
      <c r="B34" s="301" t="s">
        <v>259</v>
      </c>
    </row>
    <row r="35" spans="2:2">
      <c r="B35" s="301" t="s">
        <v>267</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80" zoomScaleNormal="80" workbookViewId="0">
      <pane ySplit="5" topLeftCell="A6" activePane="bottomLeft" state="frozen"/>
      <selection activeCell="D8" sqref="D8"/>
      <selection pane="bottomLeft" activeCell="A3" sqref="A3"/>
    </sheetView>
  </sheetViews>
  <sheetFormatPr defaultRowHeight="12.75"/>
  <cols>
    <col min="1" max="1" width="19.125" bestFit="1" customWidth="1"/>
    <col min="2" max="2" width="12.125" bestFit="1" customWidth="1"/>
    <col min="3" max="3" width="104.125" customWidth="1"/>
    <col min="4" max="4" width="35.5" customWidth="1"/>
  </cols>
  <sheetData>
    <row r="1" spans="1:4" s="32" customFormat="1" ht="20.25">
      <c r="A1" s="30" t="s">
        <v>121</v>
      </c>
      <c r="B1" s="30"/>
      <c r="C1" s="30"/>
      <c r="D1" s="30"/>
    </row>
    <row r="2" spans="1:4" s="32" customFormat="1" ht="20.25">
      <c r="A2" s="30" t="str">
        <f>'RFPR cover'!C5</f>
        <v>WPD-SWALES</v>
      </c>
      <c r="B2" s="30"/>
      <c r="C2" s="30"/>
      <c r="D2" s="30"/>
    </row>
    <row r="3" spans="1:4" s="32" customFormat="1" ht="20.25">
      <c r="A3" s="30">
        <f>'RFPR cover'!C7</f>
        <v>2019</v>
      </c>
      <c r="B3" s="30"/>
      <c r="C3" s="30"/>
      <c r="D3" s="30"/>
    </row>
    <row r="4" spans="1:4" s="32" customFormat="1" ht="20.25">
      <c r="A4" s="866"/>
      <c r="B4" s="866"/>
      <c r="C4" s="866"/>
      <c r="D4" s="866"/>
    </row>
    <row r="5" spans="1:4" ht="30">
      <c r="A5" s="863" t="s">
        <v>453</v>
      </c>
      <c r="B5" s="864" t="s">
        <v>454</v>
      </c>
      <c r="C5" s="865" t="s">
        <v>455</v>
      </c>
    </row>
    <row r="6" spans="1:4" ht="25.5">
      <c r="A6" s="937">
        <v>1</v>
      </c>
      <c r="B6" s="872" t="s">
        <v>582</v>
      </c>
      <c r="C6" s="880" t="s">
        <v>604</v>
      </c>
    </row>
    <row r="7" spans="1:4">
      <c r="A7" s="937">
        <v>1</v>
      </c>
      <c r="B7" s="874" t="s">
        <v>581</v>
      </c>
      <c r="C7" s="881" t="s">
        <v>605</v>
      </c>
    </row>
    <row r="8" spans="1:4" ht="63.75">
      <c r="A8" s="937">
        <v>1</v>
      </c>
      <c r="B8" s="874" t="s">
        <v>100</v>
      </c>
      <c r="C8" s="881" t="s">
        <v>592</v>
      </c>
    </row>
    <row r="9" spans="1:4" ht="38.25">
      <c r="A9" s="937">
        <v>1</v>
      </c>
      <c r="B9" s="874" t="s">
        <v>265</v>
      </c>
      <c r="C9" s="881" t="s">
        <v>593</v>
      </c>
    </row>
    <row r="10" spans="1:4" ht="25.5">
      <c r="A10" s="937">
        <v>1</v>
      </c>
      <c r="B10" s="874" t="s">
        <v>541</v>
      </c>
      <c r="C10" s="881" t="s">
        <v>584</v>
      </c>
    </row>
    <row r="11" spans="1:4" ht="25.5">
      <c r="A11" s="937">
        <v>1</v>
      </c>
      <c r="B11" s="874" t="s">
        <v>594</v>
      </c>
      <c r="C11" s="880" t="s">
        <v>595</v>
      </c>
    </row>
    <row r="12" spans="1:4" ht="38.25">
      <c r="A12" s="937">
        <v>1</v>
      </c>
      <c r="B12" s="874" t="s">
        <v>596</v>
      </c>
      <c r="C12" s="880" t="s">
        <v>597</v>
      </c>
    </row>
    <row r="13" spans="1:4" ht="51">
      <c r="A13" s="937">
        <v>1</v>
      </c>
      <c r="B13" s="874" t="s">
        <v>596</v>
      </c>
      <c r="C13" s="880" t="s">
        <v>598</v>
      </c>
    </row>
    <row r="14" spans="1:4" ht="25.5">
      <c r="A14" s="937">
        <v>1</v>
      </c>
      <c r="B14" s="874" t="s">
        <v>101</v>
      </c>
      <c r="C14" s="880" t="s">
        <v>606</v>
      </c>
    </row>
    <row r="15" spans="1:4" ht="76.5">
      <c r="A15" s="937">
        <v>1</v>
      </c>
      <c r="B15" s="872" t="s">
        <v>261</v>
      </c>
      <c r="C15" s="880" t="s">
        <v>583</v>
      </c>
    </row>
    <row r="16" spans="1:4" ht="25.5">
      <c r="A16" s="937">
        <v>1</v>
      </c>
      <c r="B16" s="872" t="s">
        <v>261</v>
      </c>
      <c r="C16" s="880" t="s">
        <v>591</v>
      </c>
    </row>
    <row r="17" spans="1:3" ht="25.5">
      <c r="A17" s="937">
        <v>1</v>
      </c>
      <c r="B17" s="872" t="s">
        <v>261</v>
      </c>
      <c r="C17" s="880" t="s">
        <v>590</v>
      </c>
    </row>
    <row r="18" spans="1:3" ht="25.5">
      <c r="A18" s="937">
        <v>1</v>
      </c>
      <c r="B18" s="872" t="s">
        <v>261</v>
      </c>
      <c r="C18" s="880" t="s">
        <v>599</v>
      </c>
    </row>
    <row r="19" spans="1:3" ht="25.5">
      <c r="A19" s="937">
        <v>1</v>
      </c>
      <c r="B19" s="872" t="s">
        <v>261</v>
      </c>
      <c r="C19" s="880" t="s">
        <v>600</v>
      </c>
    </row>
    <row r="20" spans="1:3" ht="25.5">
      <c r="A20" s="937">
        <v>1</v>
      </c>
      <c r="B20" s="872" t="s">
        <v>261</v>
      </c>
      <c r="C20" s="880" t="s">
        <v>601</v>
      </c>
    </row>
    <row r="21" spans="1:3" ht="38.25">
      <c r="A21" s="937">
        <v>1</v>
      </c>
      <c r="B21" s="872" t="s">
        <v>602</v>
      </c>
      <c r="C21" s="302" t="s">
        <v>603</v>
      </c>
    </row>
    <row r="22" spans="1:3">
      <c r="A22" s="354"/>
      <c r="B22" s="872"/>
      <c r="C22" s="302"/>
    </row>
    <row r="23" spans="1:3">
      <c r="A23" s="354"/>
      <c r="B23" s="872"/>
      <c r="C23" s="302"/>
    </row>
    <row r="24" spans="1:3">
      <c r="A24" s="354"/>
      <c r="B24" s="872"/>
      <c r="C24" s="302"/>
    </row>
    <row r="25" spans="1:3">
      <c r="A25" s="354"/>
      <c r="B25" s="872"/>
      <c r="C25" s="302"/>
    </row>
    <row r="26" spans="1:3">
      <c r="A26" s="354"/>
      <c r="B26" s="872"/>
      <c r="C26" s="302"/>
    </row>
    <row r="27" spans="1:3">
      <c r="A27" s="354"/>
      <c r="B27" s="872"/>
      <c r="C27" s="302"/>
    </row>
    <row r="28" spans="1:3">
      <c r="A28" s="354"/>
      <c r="B28" s="872"/>
      <c r="C28" s="302"/>
    </row>
    <row r="29" spans="1:3">
      <c r="A29" s="354"/>
      <c r="B29" s="872"/>
      <c r="C29" s="302"/>
    </row>
    <row r="30" spans="1:3">
      <c r="A30" s="354"/>
      <c r="B30" s="872"/>
      <c r="C30" s="302"/>
    </row>
    <row r="31" spans="1:3">
      <c r="A31" s="354"/>
      <c r="B31" s="872"/>
      <c r="C31" s="302"/>
    </row>
    <row r="32" spans="1:3">
      <c r="A32" s="354"/>
      <c r="B32" s="872"/>
      <c r="C32" s="894"/>
    </row>
    <row r="33" spans="1:3">
      <c r="A33" s="354"/>
      <c r="B33" s="872"/>
      <c r="C33" s="302"/>
    </row>
    <row r="34" spans="1:3">
      <c r="A34" s="354"/>
      <c r="B34" s="872"/>
      <c r="C34" s="302"/>
    </row>
    <row r="35" spans="1:3">
      <c r="A35" s="355"/>
      <c r="B35" s="872"/>
      <c r="C35" s="302"/>
    </row>
    <row r="36" spans="1:3">
      <c r="A36" s="355"/>
      <c r="B36" s="897"/>
      <c r="C36" s="302"/>
    </row>
    <row r="37" spans="1:3">
      <c r="A37" s="355"/>
      <c r="B37" s="897"/>
      <c r="C37" s="302"/>
    </row>
    <row r="38" spans="1:3">
      <c r="A38" s="355"/>
      <c r="B38" s="897"/>
      <c r="C38" s="302"/>
    </row>
    <row r="39" spans="1:3">
      <c r="A39" s="355"/>
      <c r="B39" s="897"/>
      <c r="C39" s="302"/>
    </row>
    <row r="40" spans="1:3">
      <c r="A40" s="354"/>
      <c r="B40" s="897"/>
      <c r="C40" s="302"/>
    </row>
    <row r="41" spans="1:3">
      <c r="A41" s="355"/>
      <c r="B41" s="897"/>
      <c r="C41" s="302"/>
    </row>
    <row r="42" spans="1:3">
      <c r="A42" s="355"/>
      <c r="B42" s="897"/>
      <c r="C42" s="302"/>
    </row>
    <row r="43" spans="1:3">
      <c r="A43" s="355"/>
      <c r="B43" s="897"/>
      <c r="C43" s="302"/>
    </row>
    <row r="44" spans="1:3">
      <c r="A44" s="355"/>
      <c r="B44" s="872"/>
      <c r="C44" s="302"/>
    </row>
    <row r="45" spans="1:3">
      <c r="A45" s="355"/>
      <c r="B45" s="872"/>
      <c r="C45" s="302"/>
    </row>
    <row r="46" spans="1:3">
      <c r="A46" s="355"/>
      <c r="B46" s="872"/>
      <c r="C46" s="302"/>
    </row>
    <row r="47" spans="1:3">
      <c r="A47" s="355"/>
      <c r="B47" s="872"/>
      <c r="C47" s="302"/>
    </row>
    <row r="48" spans="1:3">
      <c r="A48" s="355"/>
      <c r="B48" s="872"/>
      <c r="C48" s="302"/>
    </row>
    <row r="49" spans="1:3">
      <c r="A49" s="355"/>
      <c r="B49" s="872"/>
      <c r="C49" s="302"/>
    </row>
    <row r="50" spans="1:3">
      <c r="A50" s="355"/>
      <c r="B50" s="872"/>
      <c r="C50" s="302"/>
    </row>
    <row r="51" spans="1:3">
      <c r="A51" s="355"/>
      <c r="B51" s="872"/>
      <c r="C51" s="302"/>
    </row>
    <row r="52" spans="1:3">
      <c r="A52" s="355"/>
      <c r="B52" s="872"/>
      <c r="C52" s="302"/>
    </row>
    <row r="53" spans="1:3">
      <c r="A53" s="355"/>
      <c r="B53" s="872"/>
      <c r="C53" s="302"/>
    </row>
    <row r="54" spans="1:3">
      <c r="A54" s="355"/>
      <c r="B54" s="904"/>
      <c r="C54" s="905"/>
    </row>
    <row r="55" spans="1:3">
      <c r="A55" s="355"/>
      <c r="B55" s="872"/>
      <c r="C55" s="302"/>
    </row>
    <row r="56" spans="1:3">
      <c r="A56" s="355"/>
      <c r="B56" s="872"/>
      <c r="C56" s="302"/>
    </row>
    <row r="57" spans="1:3">
      <c r="A57" s="355"/>
      <c r="B57" s="872"/>
      <c r="C57" s="302"/>
    </row>
    <row r="58" spans="1:3">
      <c r="A58" s="355"/>
      <c r="B58" s="872"/>
      <c r="C58" s="302"/>
    </row>
    <row r="59" spans="1:3">
      <c r="A59" s="355"/>
      <c r="B59" s="872"/>
      <c r="C59" s="894"/>
    </row>
    <row r="60" spans="1:3">
      <c r="A60" s="356"/>
      <c r="B60" s="873"/>
      <c r="C60" s="303"/>
    </row>
    <row r="61" spans="1:3">
      <c r="A61" s="356"/>
      <c r="B61" s="873"/>
      <c r="C61" s="303"/>
    </row>
    <row r="62" spans="1:3">
      <c r="A62" s="356"/>
      <c r="B62" s="873"/>
      <c r="C62" s="303"/>
    </row>
    <row r="63" spans="1:3">
      <c r="A63" s="356"/>
      <c r="B63" s="873"/>
      <c r="C63" s="303"/>
    </row>
    <row r="64" spans="1:3">
      <c r="A64" s="356"/>
      <c r="B64" s="873"/>
      <c r="C64" s="303"/>
    </row>
    <row r="65" spans="1:3">
      <c r="A65" s="356"/>
      <c r="B65" s="873"/>
      <c r="C65" s="303"/>
    </row>
    <row r="66" spans="1:3">
      <c r="A66" s="356"/>
      <c r="B66" s="873"/>
      <c r="C66" s="303"/>
    </row>
    <row r="67" spans="1:3">
      <c r="A67" s="356"/>
      <c r="B67" s="873"/>
      <c r="C67" s="303"/>
    </row>
  </sheetData>
  <pageMargins left="0.70866141732283472" right="0.70866141732283472" top="0.74803149606299213" bottom="0.74803149606299213" header="0.31496062992125984" footer="0.31496062992125984"/>
  <pageSetup paperSize="8"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R66"/>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63.375" style="206" customWidth="1"/>
    <col min="3" max="3" width="13.375" style="43" customWidth="1"/>
    <col min="4" max="11" width="9.125" customWidth="1"/>
    <col min="12" max="12" width="3.625" customWidth="1"/>
    <col min="13" max="14" width="13.75" customWidth="1"/>
    <col min="15" max="15" width="5.125" customWidth="1"/>
  </cols>
  <sheetData>
    <row r="1" spans="1:18" s="32" customFormat="1" ht="20.25">
      <c r="A1" s="382" t="s">
        <v>239</v>
      </c>
      <c r="B1" s="386"/>
      <c r="C1" s="269"/>
      <c r="D1" s="269"/>
      <c r="E1" s="269"/>
      <c r="F1" s="269"/>
      <c r="G1" s="269"/>
      <c r="H1" s="269"/>
      <c r="I1" s="270"/>
      <c r="J1" s="270"/>
      <c r="K1" s="271"/>
      <c r="L1" s="271"/>
      <c r="M1" s="271"/>
      <c r="N1" s="271"/>
      <c r="O1" s="387" t="s">
        <v>84</v>
      </c>
    </row>
    <row r="2" spans="1:18" s="32" customFormat="1" ht="20.25">
      <c r="A2" s="126" t="str">
        <f>'RFPR cover'!C5</f>
        <v>WPD-SWALES</v>
      </c>
      <c r="B2" s="205"/>
      <c r="C2" s="30"/>
      <c r="D2" s="30"/>
      <c r="E2" s="30"/>
      <c r="F2" s="30"/>
      <c r="G2" s="30"/>
      <c r="H2" s="30"/>
      <c r="I2" s="27"/>
      <c r="J2" s="27"/>
      <c r="K2" s="27"/>
      <c r="L2" s="27"/>
      <c r="M2" s="27"/>
      <c r="N2" s="27"/>
      <c r="O2" s="127"/>
    </row>
    <row r="3" spans="1:18" s="32" customFormat="1" ht="23.25">
      <c r="A3" s="273">
        <f>'RFPR cover'!C7</f>
        <v>2019</v>
      </c>
      <c r="B3" s="932" t="str">
        <f>IF('RFPR cover'!C5=Data!B98,"Not required to be completed for System Operator",(IF('RFPR cover'!C5=Data!B96,"Not required to be completed for Syestem Operator","")))</f>
        <v/>
      </c>
      <c r="C3" s="274"/>
      <c r="D3" s="274"/>
      <c r="E3" s="274"/>
      <c r="F3" s="274"/>
      <c r="G3" s="274"/>
      <c r="H3" s="274"/>
      <c r="I3" s="267"/>
      <c r="J3" s="267"/>
      <c r="K3" s="267"/>
      <c r="L3" s="267"/>
      <c r="M3" s="267"/>
      <c r="N3" s="267"/>
      <c r="O3" s="275"/>
    </row>
    <row r="4" spans="1:18" ht="12.75" customHeight="1"/>
    <row r="5" spans="1:18">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L5" s="2"/>
      <c r="M5" s="2"/>
    </row>
    <row r="6" spans="1:18" ht="31.5" customHeight="1">
      <c r="C6" s="18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50"/>
      <c r="M6" s="103" t="str">
        <f>"Cumulative to "&amp;'RFPR cover'!$C$7</f>
        <v>Cumulative to 2019</v>
      </c>
      <c r="N6" s="203" t="s">
        <v>109</v>
      </c>
    </row>
    <row r="7" spans="1:18">
      <c r="C7" s="181"/>
      <c r="D7" s="181"/>
      <c r="E7" s="181"/>
      <c r="F7" s="181"/>
      <c r="G7" s="181"/>
      <c r="H7" s="181"/>
      <c r="I7" s="181"/>
      <c r="J7" s="181"/>
      <c r="K7" s="181"/>
      <c r="L7" s="181"/>
      <c r="M7" s="181"/>
      <c r="N7" s="181"/>
      <c r="O7" s="181"/>
    </row>
    <row r="8" spans="1:18">
      <c r="B8" s="556" t="s">
        <v>108</v>
      </c>
      <c r="C8" s="449"/>
      <c r="D8" s="449"/>
      <c r="E8" s="449"/>
      <c r="F8" s="449"/>
      <c r="G8" s="449"/>
      <c r="H8" s="449"/>
      <c r="I8" s="449"/>
      <c r="J8" s="449"/>
      <c r="K8" s="449"/>
      <c r="L8" s="557"/>
      <c r="M8" s="227"/>
      <c r="N8" s="227"/>
      <c r="O8" s="227"/>
    </row>
    <row r="9" spans="1:18">
      <c r="B9" s="207"/>
      <c r="D9" s="43"/>
      <c r="E9" s="43"/>
      <c r="F9" s="43"/>
      <c r="G9" s="43"/>
      <c r="H9" s="43"/>
      <c r="I9" s="43"/>
      <c r="J9" s="43"/>
      <c r="K9" s="43"/>
      <c r="L9" s="50"/>
    </row>
    <row r="10" spans="1:18">
      <c r="B10" s="262" t="s">
        <v>215</v>
      </c>
      <c r="C10" s="264" t="s">
        <v>7</v>
      </c>
      <c r="D10" s="533">
        <f t="shared" ref="D10:K19" si="1">D48/D$65</f>
        <v>6.4000000000000001E-2</v>
      </c>
      <c r="E10" s="535">
        <f t="shared" si="1"/>
        <v>6.4000000000000001E-2</v>
      </c>
      <c r="F10" s="535">
        <f t="shared" si="1"/>
        <v>6.4000000000000001E-2</v>
      </c>
      <c r="G10" s="535">
        <f t="shared" si="1"/>
        <v>6.4000000000000001E-2</v>
      </c>
      <c r="H10" s="535">
        <f t="shared" si="1"/>
        <v>6.4000000000000001E-2</v>
      </c>
      <c r="I10" s="535">
        <f t="shared" si="1"/>
        <v>6.4000000000000001E-2</v>
      </c>
      <c r="J10" s="535">
        <f t="shared" si="1"/>
        <v>6.4000000000000001E-2</v>
      </c>
      <c r="K10" s="534">
        <f t="shared" si="1"/>
        <v>6.4000000000000001E-2</v>
      </c>
      <c r="L10" s="182"/>
      <c r="M10" s="535">
        <f>AVERAGE(D48:INDEX(D48:K48,0,MATCH('RFPR cover'!$C$7,$D$6:$K$6,0)))/AVERAGE($D$65:INDEX($D$65:$K$65,0,MATCH('RFPR cover'!$C$7,$D$6:$K$6,0)))</f>
        <v>6.4000000000000001E-2</v>
      </c>
      <c r="N10" s="535">
        <f>AVERAGE(D48:K48)/AVERAGE($D$65:$K$65)</f>
        <v>6.4000000000000001E-2</v>
      </c>
      <c r="R10" s="182"/>
    </row>
    <row r="11" spans="1:18">
      <c r="B11" s="262" t="str">
        <f t="shared" ref="B11:B18" si="2">B49</f>
        <v>Totex outperformance</v>
      </c>
      <c r="C11" s="264" t="s">
        <v>7</v>
      </c>
      <c r="D11" s="184">
        <f t="shared" si="1"/>
        <v>3.0938374057781225E-2</v>
      </c>
      <c r="E11" s="185">
        <f t="shared" si="1"/>
        <v>4.2283205674769911E-2</v>
      </c>
      <c r="F11" s="185">
        <f t="shared" si="1"/>
        <v>-5.1960397349762544E-2</v>
      </c>
      <c r="G11" s="185">
        <f t="shared" si="1"/>
        <v>3.3225667357451111E-2</v>
      </c>
      <c r="H11" s="185">
        <f t="shared" si="1"/>
        <v>2.7351268686979817E-3</v>
      </c>
      <c r="I11" s="185">
        <f t="shared" si="1"/>
        <v>3.0114893273274147E-3</v>
      </c>
      <c r="J11" s="185">
        <f t="shared" si="1"/>
        <v>1.1400107223751951E-3</v>
      </c>
      <c r="K11" s="186">
        <f t="shared" si="1"/>
        <v>5.8749676169410391E-3</v>
      </c>
      <c r="L11" s="182"/>
      <c r="M11" s="185">
        <f>AVERAGE(D49:INDEX(D49:K49,0,MATCH('RFPR cover'!$C$7,$D$6:$K$6,0)))/AVERAGE($D$65:INDEX($D$65:$K$65,0,MATCH('RFPR cover'!$C$7,$D$6:$K$6,0)))</f>
        <v>1.3329464799833849E-2</v>
      </c>
      <c r="N11" s="185">
        <f t="shared" ref="N11:N19" si="3">AVERAGE(D49:K49)/AVERAGE($D$65:$K$65)</f>
        <v>7.9601938632429502E-3</v>
      </c>
      <c r="P11" s="182"/>
      <c r="R11" s="182"/>
    </row>
    <row r="12" spans="1:18">
      <c r="B12" s="262" t="str">
        <f t="shared" si="2"/>
        <v>IQI Reward</v>
      </c>
      <c r="C12" s="264" t="s">
        <v>7</v>
      </c>
      <c r="D12" s="184">
        <f t="shared" si="1"/>
        <v>1.0012146124677079E-2</v>
      </c>
      <c r="E12" s="185">
        <f t="shared" si="1"/>
        <v>9.6665150772931932E-3</v>
      </c>
      <c r="F12" s="185">
        <f t="shared" si="1"/>
        <v>9.1072226034961852E-3</v>
      </c>
      <c r="G12" s="185">
        <f t="shared" si="1"/>
        <v>9.4603956283701631E-3</v>
      </c>
      <c r="H12" s="185">
        <f t="shared" si="1"/>
        <v>8.3634670168274902E-3</v>
      </c>
      <c r="I12" s="185">
        <f t="shared" si="1"/>
        <v>8.2924847642127254E-3</v>
      </c>
      <c r="J12" s="185">
        <f t="shared" si="1"/>
        <v>7.7564797248950859E-3</v>
      </c>
      <c r="K12" s="186">
        <f t="shared" si="1"/>
        <v>7.6521519780104975E-3</v>
      </c>
      <c r="L12" s="182"/>
      <c r="M12" s="185">
        <f>AVERAGE(D50:INDEX(D50:K50,0,MATCH('RFPR cover'!$C$7,$D$6:$K$6,0)))/AVERAGE($D$65:INDEX($D$65:$K$65,0,MATCH('RFPR cover'!$C$7,$D$6:$K$6,0)))</f>
        <v>9.5538985921742679E-3</v>
      </c>
      <c r="N12" s="185">
        <f t="shared" si="3"/>
        <v>8.7312821088447699E-3</v>
      </c>
      <c r="R12" s="182"/>
    </row>
    <row r="13" spans="1:18">
      <c r="B13" s="262" t="str">
        <f t="shared" si="2"/>
        <v>Broad measure of customer service</v>
      </c>
      <c r="C13" s="264" t="s">
        <v>7</v>
      </c>
      <c r="D13" s="184">
        <f t="shared" si="1"/>
        <v>7.147343068779094E-3</v>
      </c>
      <c r="E13" s="185">
        <f t="shared" si="1"/>
        <v>6.5456982312720284E-3</v>
      </c>
      <c r="F13" s="185">
        <f t="shared" si="1"/>
        <v>7.1689863928539078E-3</v>
      </c>
      <c r="G13" s="185">
        <f t="shared" si="1"/>
        <v>6.9828615481242473E-3</v>
      </c>
      <c r="H13" s="185">
        <f t="shared" si="1"/>
        <v>6.76979071213817E-3</v>
      </c>
      <c r="I13" s="185">
        <f t="shared" si="1"/>
        <v>6.5351732088768377E-3</v>
      </c>
      <c r="J13" s="185">
        <f t="shared" si="1"/>
        <v>6.3251895150410074E-3</v>
      </c>
      <c r="K13" s="186">
        <f t="shared" si="1"/>
        <v>6.1325524992991275E-3</v>
      </c>
      <c r="L13" s="182"/>
      <c r="M13" s="185">
        <f>AVERAGE(D51:INDEX(D51:K51,0,MATCH('RFPR cover'!$C$7,$D$6:$K$6,0)))/AVERAGE($D$65:INDEX($D$65:$K$65,0,MATCH('RFPR cover'!$C$7,$D$6:$K$6,0)))</f>
        <v>6.9611189715432778E-3</v>
      </c>
      <c r="N13" s="185">
        <f t="shared" si="3"/>
        <v>6.6800449140100937E-3</v>
      </c>
      <c r="R13" s="182"/>
    </row>
    <row r="14" spans="1:18">
      <c r="B14" s="262" t="str">
        <f t="shared" si="2"/>
        <v>Interruptions-related quality of service</v>
      </c>
      <c r="C14" s="264" t="s">
        <v>7</v>
      </c>
      <c r="D14" s="184">
        <f t="shared" si="1"/>
        <v>1.1899943766775153E-2</v>
      </c>
      <c r="E14" s="185">
        <f t="shared" si="1"/>
        <v>1.2473133658582802E-2</v>
      </c>
      <c r="F14" s="185">
        <f t="shared" si="1"/>
        <v>6.5174072449135402E-3</v>
      </c>
      <c r="G14" s="185">
        <f t="shared" si="1"/>
        <v>1.2622893530030431E-2</v>
      </c>
      <c r="H14" s="185">
        <f t="shared" si="1"/>
        <v>9.4651810859436823E-3</v>
      </c>
      <c r="I14" s="185">
        <f t="shared" si="1"/>
        <v>8.8474553036177652E-3</v>
      </c>
      <c r="J14" s="185">
        <f t="shared" si="1"/>
        <v>8.3791191730689992E-3</v>
      </c>
      <c r="K14" s="186">
        <f t="shared" si="1"/>
        <v>7.9780983147972918E-3</v>
      </c>
      <c r="L14" s="182"/>
      <c r="M14" s="185">
        <f>AVERAGE(D52:INDEX(D52:K52,0,MATCH('RFPR cover'!$C$7,$D$6:$K$6,0)))/AVERAGE($D$65:INDEX($D$65:$K$65,0,MATCH('RFPR cover'!$C$7,$D$6:$K$6,0)))</f>
        <v>1.0865315959100359E-2</v>
      </c>
      <c r="N14" s="185">
        <f t="shared" si="3"/>
        <v>9.6871243081626691E-3</v>
      </c>
      <c r="R14" s="182"/>
    </row>
    <row r="15" spans="1:18">
      <c r="B15" s="262" t="str">
        <f t="shared" si="2"/>
        <v>Incentive on connections engagement</v>
      </c>
      <c r="C15" s="264" t="s">
        <v>7</v>
      </c>
      <c r="D15" s="184">
        <f t="shared" si="1"/>
        <v>0</v>
      </c>
      <c r="E15" s="185">
        <f t="shared" si="1"/>
        <v>0</v>
      </c>
      <c r="F15" s="185">
        <f t="shared" si="1"/>
        <v>0</v>
      </c>
      <c r="G15" s="185">
        <f t="shared" si="1"/>
        <v>0</v>
      </c>
      <c r="H15" s="185">
        <f t="shared" si="1"/>
        <v>0</v>
      </c>
      <c r="I15" s="185">
        <f t="shared" si="1"/>
        <v>0</v>
      </c>
      <c r="J15" s="185">
        <f t="shared" si="1"/>
        <v>0</v>
      </c>
      <c r="K15" s="186">
        <f t="shared" si="1"/>
        <v>0</v>
      </c>
      <c r="L15" s="182"/>
      <c r="M15" s="185">
        <f>AVERAGE(D53:INDEX(D53:K53,0,MATCH('RFPR cover'!$C$7,$D$6:$K$6,0)))/AVERAGE($D$65:INDEX($D$65:$K$65,0,MATCH('RFPR cover'!$C$7,$D$6:$K$6,0)))</f>
        <v>0</v>
      </c>
      <c r="N15" s="185">
        <f t="shared" si="3"/>
        <v>0</v>
      </c>
      <c r="R15" s="182"/>
    </row>
    <row r="16" spans="1:18">
      <c r="B16" s="262" t="str">
        <f t="shared" si="2"/>
        <v>Time to Connect Incentive</v>
      </c>
      <c r="C16" s="264" t="s">
        <v>7</v>
      </c>
      <c r="D16" s="184">
        <f t="shared" si="1"/>
        <v>1.2604361561492762E-3</v>
      </c>
      <c r="E16" s="185">
        <f t="shared" si="1"/>
        <v>1.7790695397774657E-3</v>
      </c>
      <c r="F16" s="185">
        <f t="shared" si="1"/>
        <v>1.9305520888777913E-3</v>
      </c>
      <c r="G16" s="185">
        <f t="shared" si="1"/>
        <v>2.0456687203971899E-3</v>
      </c>
      <c r="H16" s="185">
        <f t="shared" si="1"/>
        <v>1.5819594053590117E-3</v>
      </c>
      <c r="I16" s="185">
        <f t="shared" si="1"/>
        <v>1.527134170469455E-3</v>
      </c>
      <c r="J16" s="185">
        <f t="shared" si="1"/>
        <v>1.4780653449236352E-3</v>
      </c>
      <c r="K16" s="186">
        <f t="shared" si="1"/>
        <v>1.4330500775643718E-3</v>
      </c>
      <c r="L16" s="182"/>
      <c r="M16" s="185">
        <f>AVERAGE(D54:INDEX(D54:K54,0,MATCH('RFPR cover'!$C$7,$D$6:$K$6,0)))/AVERAGE($D$65:INDEX($D$65:$K$65,0,MATCH('RFPR cover'!$C$7,$D$6:$K$6,0)))</f>
        <v>1.7626421698970351E-3</v>
      </c>
      <c r="N16" s="185">
        <f t="shared" si="3"/>
        <v>1.6247373426514582E-3</v>
      </c>
      <c r="R16" s="182"/>
    </row>
    <row r="17" spans="2:18">
      <c r="B17" s="262" t="str">
        <f t="shared" si="2"/>
        <v>Losses discretionary reward scheme</v>
      </c>
      <c r="C17" s="264" t="s">
        <v>7</v>
      </c>
      <c r="D17" s="184">
        <f t="shared" si="1"/>
        <v>0</v>
      </c>
      <c r="E17" s="185">
        <f t="shared" si="1"/>
        <v>1.0653372228135295E-4</v>
      </c>
      <c r="F17" s="185">
        <f t="shared" si="1"/>
        <v>0</v>
      </c>
      <c r="G17" s="185">
        <f t="shared" si="1"/>
        <v>0</v>
      </c>
      <c r="H17" s="185">
        <f t="shared" si="1"/>
        <v>0</v>
      </c>
      <c r="I17" s="185">
        <f t="shared" si="1"/>
        <v>4.8490885480278305E-5</v>
      </c>
      <c r="J17" s="185">
        <f t="shared" si="1"/>
        <v>0</v>
      </c>
      <c r="K17" s="186">
        <f t="shared" si="1"/>
        <v>0</v>
      </c>
      <c r="L17" s="182"/>
      <c r="M17" s="185">
        <f>AVERAGE(D55:INDEX(D55:K55,0,MATCH('RFPR cover'!$C$7,$D$6:$K$6,0)))/AVERAGE($D$65:INDEX($D$65:$K$65,0,MATCH('RFPR cover'!$C$7,$D$6:$K$6,0)))</f>
        <v>2.6382997862481524E-5</v>
      </c>
      <c r="N17" s="185">
        <f t="shared" si="3"/>
        <v>1.8706795521821151E-5</v>
      </c>
      <c r="R17" s="182"/>
    </row>
    <row r="18" spans="2:18">
      <c r="B18" s="262" t="str">
        <f t="shared" si="2"/>
        <v xml:space="preserve">Network Innovation </v>
      </c>
      <c r="C18" s="264" t="s">
        <v>7</v>
      </c>
      <c r="D18" s="184">
        <f t="shared" si="1"/>
        <v>2.4397350085286497E-3</v>
      </c>
      <c r="E18" s="185">
        <f t="shared" si="1"/>
        <v>-2.5678779311961552E-4</v>
      </c>
      <c r="F18" s="185">
        <f t="shared" si="1"/>
        <v>9.4052434343721788E-4</v>
      </c>
      <c r="G18" s="185">
        <f t="shared" si="1"/>
        <v>-1.9352115028165216E-4</v>
      </c>
      <c r="H18" s="185">
        <f t="shared" si="1"/>
        <v>-2.8172903713275134E-4</v>
      </c>
      <c r="I18" s="185">
        <f t="shared" si="1"/>
        <v>-2.7480639806879743E-4</v>
      </c>
      <c r="J18" s="185">
        <f t="shared" si="1"/>
        <v>-7.6416660781271416E-4</v>
      </c>
      <c r="K18" s="186">
        <f t="shared" si="1"/>
        <v>-8.3575205618743496E-4</v>
      </c>
      <c r="L18" s="182"/>
      <c r="M18" s="185">
        <f>AVERAGE(D56:INDEX(D56:K56,0,MATCH('RFPR cover'!$C$7,$D$6:$K$6,0)))/AVERAGE($D$65:INDEX($D$65:$K$65,0,MATCH('RFPR cover'!$C$7,$D$6:$K$6,0)))</f>
        <v>7.0812359238306487E-4</v>
      </c>
      <c r="N18" s="185">
        <f t="shared" si="3"/>
        <v>4.0952990948034232E-5</v>
      </c>
      <c r="R18" s="182"/>
    </row>
    <row r="19" spans="2:18">
      <c r="B19" s="262" t="str">
        <f>B57</f>
        <v>Penalties and fines</v>
      </c>
      <c r="C19" s="264" t="s">
        <v>7</v>
      </c>
      <c r="D19" s="194">
        <f t="shared" si="1"/>
        <v>-5.4413598406429012E-5</v>
      </c>
      <c r="E19" s="195">
        <f t="shared" si="1"/>
        <v>-3.748828268703365E-5</v>
      </c>
      <c r="F19" s="195">
        <f t="shared" si="1"/>
        <v>-3.6592205542439261E-5</v>
      </c>
      <c r="G19" s="195">
        <f t="shared" si="1"/>
        <v>-6.4457897996520334E-5</v>
      </c>
      <c r="H19" s="195">
        <f t="shared" si="1"/>
        <v>-4.2184344466608064E-5</v>
      </c>
      <c r="I19" s="195">
        <f t="shared" si="1"/>
        <v>-4.0601189062278114E-5</v>
      </c>
      <c r="J19" s="195">
        <f t="shared" si="1"/>
        <v>-3.8142799865147601E-5</v>
      </c>
      <c r="K19" s="196">
        <f t="shared" si="1"/>
        <v>-3.5877895298374055E-5</v>
      </c>
      <c r="L19" s="182"/>
      <c r="M19" s="195">
        <f>AVERAGE(D57:INDEX(D57:K57,0,MATCH('RFPR cover'!$C$7,$D$6:$K$6,0)))/AVERAGE($D$65:INDEX($D$65:$K$65,0,MATCH('RFPR cover'!$C$7,$D$6:$K$6,0)))</f>
        <v>-4.8313192610359035E-5</v>
      </c>
      <c r="N19" s="195">
        <f t="shared" si="3"/>
        <v>-4.3426829675005978E-5</v>
      </c>
      <c r="R19" s="182"/>
    </row>
    <row r="20" spans="2:18">
      <c r="B20" s="263" t="str">
        <f>B58</f>
        <v>RoRE - Operational performance</v>
      </c>
      <c r="C20" s="264" t="s">
        <v>7</v>
      </c>
      <c r="D20" s="197">
        <f t="shared" ref="D20:K20" si="4">SUM(D10:D19)</f>
        <v>0.12764356458428402</v>
      </c>
      <c r="E20" s="198">
        <f t="shared" si="4"/>
        <v>0.13655987982817014</v>
      </c>
      <c r="F20" s="198">
        <f t="shared" si="4"/>
        <v>3.7667703118273665E-2</v>
      </c>
      <c r="G20" s="198">
        <f t="shared" si="4"/>
        <v>0.12807950773609494</v>
      </c>
      <c r="H20" s="198">
        <f t="shared" si="4"/>
        <v>9.2591611707366989E-2</v>
      </c>
      <c r="I20" s="198">
        <f t="shared" si="4"/>
        <v>9.1946820072853402E-2</v>
      </c>
      <c r="J20" s="198">
        <f t="shared" si="4"/>
        <v>8.8276555072626051E-2</v>
      </c>
      <c r="K20" s="199">
        <f t="shared" si="4"/>
        <v>9.2199190535126513E-2</v>
      </c>
      <c r="L20" s="183"/>
      <c r="M20" s="198">
        <f>SUM(M10:M19)</f>
        <v>0.10715863389018399</v>
      </c>
      <c r="N20" s="198">
        <f>SUM(N10:N19)</f>
        <v>9.8699615493706802E-2</v>
      </c>
      <c r="R20" s="182"/>
    </row>
    <row r="21" spans="2:18">
      <c r="B21" s="262" t="str">
        <f>B59</f>
        <v>Debt performance - at notional gearing</v>
      </c>
      <c r="C21" s="264" t="s">
        <v>7</v>
      </c>
      <c r="D21" s="184">
        <f>(D59)/D$65</f>
        <v>-4.1365421344695841E-2</v>
      </c>
      <c r="E21" s="185">
        <f t="shared" ref="E21:K21" si="5">(E59)/E$65</f>
        <v>-2.2807484558576424E-2</v>
      </c>
      <c r="F21" s="185">
        <f t="shared" si="5"/>
        <v>-2.993669908630953E-3</v>
      </c>
      <c r="G21" s="185">
        <f t="shared" si="5"/>
        <v>-1.4149697591302406E-2</v>
      </c>
      <c r="H21" s="185">
        <f t="shared" si="5"/>
        <v>-2.5581505899341012E-2</v>
      </c>
      <c r="I21" s="185">
        <f t="shared" si="5"/>
        <v>-1.704567639672085E-2</v>
      </c>
      <c r="J21" s="185">
        <f t="shared" si="5"/>
        <v>-3.9140202674362821E-3</v>
      </c>
      <c r="K21" s="186">
        <f t="shared" si="5"/>
        <v>-5.8899059040118168E-3</v>
      </c>
      <c r="L21" s="182"/>
      <c r="M21" s="185">
        <f>AVERAGE(D59:INDEX(D59:K59,0,MATCH('RFPR cover'!$C$7,$D$6:$K$6,0)))/AVERAGE($D$65:INDEX($D$65:$K$65,0,MATCH('RFPR cover'!$C$7,$D$6:$K$6,0)))</f>
        <v>-1.9975965843838154E-2</v>
      </c>
      <c r="N21" s="185">
        <f>AVERAGE(D59:K59)/AVERAGE($D$65:$K$65)</f>
        <v>-1.616953596031567E-2</v>
      </c>
      <c r="R21" s="182"/>
    </row>
    <row r="22" spans="2:18">
      <c r="B22" s="262" t="str">
        <f>B61</f>
        <v>Tax performance - at notional gearing</v>
      </c>
      <c r="C22" s="264" t="s">
        <v>7</v>
      </c>
      <c r="D22" s="184">
        <f>(D61)/D$65</f>
        <v>5.1056210275953803E-3</v>
      </c>
      <c r="E22" s="185">
        <f t="shared" ref="E22:K22" si="6">(E61)/E$65</f>
        <v>2.0304168244568193E-2</v>
      </c>
      <c r="F22" s="185">
        <f t="shared" si="6"/>
        <v>1.647574173247051E-2</v>
      </c>
      <c r="G22" s="185">
        <f t="shared" si="6"/>
        <v>1.369336988263899E-2</v>
      </c>
      <c r="H22" s="185">
        <f t="shared" si="6"/>
        <v>-5.2472089796491437E-3</v>
      </c>
      <c r="I22" s="185">
        <f t="shared" si="6"/>
        <v>-5.5823464637802288E-3</v>
      </c>
      <c r="J22" s="185">
        <f t="shared" si="6"/>
        <v>-1.1139194799024937E-3</v>
      </c>
      <c r="K22" s="186">
        <f t="shared" si="6"/>
        <v>-8.3614915937437254E-4</v>
      </c>
      <c r="L22" s="182"/>
      <c r="M22" s="185">
        <f>AVERAGE(D61:INDEX(D61:K61,0,MATCH('RFPR cover'!$C$7,$D$6:$K$6,0)))/AVERAGE($D$65:INDEX($D$65:$K$65,0,MATCH('RFPR cover'!$C$7,$D$6:$K$6,0)))</f>
        <v>1.3981621303060661E-2</v>
      </c>
      <c r="N22" s="185">
        <f>AVERAGE(D61:K61)/AVERAGE($D$65:$K$65)</f>
        <v>4.8966918059847866E-3</v>
      </c>
      <c r="R22" s="182"/>
    </row>
    <row r="23" spans="2:18">
      <c r="B23" s="263" t="str">
        <f>B63</f>
        <v>RoRE - including financing and tax</v>
      </c>
      <c r="C23" s="264" t="s">
        <v>7</v>
      </c>
      <c r="D23" s="200">
        <f>SUM(D20:D22)</f>
        <v>9.1383764267183559E-2</v>
      </c>
      <c r="E23" s="201">
        <f t="shared" ref="E23:K23" si="7">SUM(E20:E22)</f>
        <v>0.1340565635141619</v>
      </c>
      <c r="F23" s="201">
        <f t="shared" si="7"/>
        <v>5.1149774942113223E-2</v>
      </c>
      <c r="G23" s="201">
        <f t="shared" si="7"/>
        <v>0.12762318002743153</v>
      </c>
      <c r="H23" s="201">
        <f t="shared" si="7"/>
        <v>6.1762896828376837E-2</v>
      </c>
      <c r="I23" s="201">
        <f t="shared" si="7"/>
        <v>6.9318797212352332E-2</v>
      </c>
      <c r="J23" s="201">
        <f t="shared" si="7"/>
        <v>8.3248615325287267E-2</v>
      </c>
      <c r="K23" s="202">
        <f t="shared" si="7"/>
        <v>8.5473135471740333E-2</v>
      </c>
      <c r="L23" s="183"/>
      <c r="M23" s="201">
        <f>SUM(M20:M22)</f>
        <v>0.10116428934940649</v>
      </c>
      <c r="N23" s="201">
        <f>SUM(N20:N22)</f>
        <v>8.7426771339375917E-2</v>
      </c>
      <c r="R23" s="182"/>
    </row>
    <row r="24" spans="2:18">
      <c r="R24" s="182"/>
    </row>
    <row r="25" spans="2:18">
      <c r="R25" s="182"/>
    </row>
    <row r="26" spans="2:18" s="32" customFormat="1">
      <c r="B26" s="495"/>
      <c r="C26" s="385"/>
      <c r="Q26"/>
      <c r="R26" s="182"/>
    </row>
    <row r="27" spans="2:18">
      <c r="B27" s="556" t="s">
        <v>216</v>
      </c>
      <c r="C27" s="449"/>
      <c r="D27" s="227"/>
      <c r="E27" s="227"/>
      <c r="F27" s="227"/>
      <c r="G27" s="227"/>
      <c r="H27" s="227"/>
      <c r="I27" s="227"/>
      <c r="J27" s="227"/>
      <c r="K27" s="227"/>
      <c r="L27" s="557"/>
      <c r="M27" s="227"/>
      <c r="N27" s="227"/>
      <c r="O27" s="227"/>
      <c r="R27" s="182"/>
    </row>
    <row r="28" spans="2:18">
      <c r="B28" s="207"/>
      <c r="L28" s="50"/>
      <c r="R28" s="182"/>
    </row>
    <row r="29" spans="2:18">
      <c r="B29" s="262" t="s">
        <v>215</v>
      </c>
      <c r="C29" s="264" t="s">
        <v>7</v>
      </c>
      <c r="D29" s="184">
        <f t="shared" ref="D29:K38" si="8">D48/D$66</f>
        <v>6.108848400550683E-2</v>
      </c>
      <c r="E29" s="185">
        <f t="shared" si="8"/>
        <v>6.0064558883326812E-2</v>
      </c>
      <c r="F29" s="185">
        <f t="shared" si="8"/>
        <v>5.6706602781459614E-2</v>
      </c>
      <c r="G29" s="185">
        <f t="shared" si="8"/>
        <v>5.5524740911011561E-2</v>
      </c>
      <c r="H29" s="185">
        <f t="shared" si="8"/>
        <v>5.9175613061092994E-2</v>
      </c>
      <c r="I29" s="185">
        <f t="shared" si="8"/>
        <v>6.4071508098194757E-2</v>
      </c>
      <c r="J29" s="185">
        <f t="shared" si="8"/>
        <v>6.1135822928589614E-2</v>
      </c>
      <c r="K29" s="186">
        <f t="shared" si="8"/>
        <v>5.7901551610072093E-2</v>
      </c>
      <c r="L29" s="182"/>
      <c r="M29" s="185">
        <f>AVERAGE(D48:INDEX(D48:K48,0,MATCH('RFPR cover'!$C$7,$D$6:$K$6,0)))/AVERAGE($D$66:INDEX($D$66:$K$66,0,MATCH('RFPR cover'!$C$7,$D$6:$K$6,0)))</f>
        <v>5.8188975521657874E-2</v>
      </c>
      <c r="N29" s="185">
        <f>AVERAGE(D48:K48)/AVERAGE($D$66:$K$66)</f>
        <v>5.9371663002706285E-2</v>
      </c>
      <c r="P29" s="341"/>
      <c r="R29" s="182"/>
    </row>
    <row r="30" spans="2:18">
      <c r="B30" s="262" t="str">
        <f t="shared" ref="B30:B37" si="9">B49</f>
        <v>Totex outperformance</v>
      </c>
      <c r="C30" s="264" t="s">
        <v>7</v>
      </c>
      <c r="D30" s="184">
        <f t="shared" si="8"/>
        <v>2.9530912012268058E-2</v>
      </c>
      <c r="E30" s="185">
        <f t="shared" si="8"/>
        <v>3.9683157766063057E-2</v>
      </c>
      <c r="F30" s="185">
        <f t="shared" si="8"/>
        <v>-4.6039025201246732E-2</v>
      </c>
      <c r="G30" s="185">
        <f t="shared" si="8"/>
        <v>2.8825727681530113E-2</v>
      </c>
      <c r="H30" s="185">
        <f t="shared" si="8"/>
        <v>2.5289501446104793E-3</v>
      </c>
      <c r="I30" s="185">
        <f t="shared" si="8"/>
        <v>3.0148541066169613E-3</v>
      </c>
      <c r="J30" s="185">
        <f t="shared" si="8"/>
        <v>1.0889920884347415E-3</v>
      </c>
      <c r="K30" s="186">
        <f t="shared" si="8"/>
        <v>5.3151521981220909E-3</v>
      </c>
      <c r="L30" s="182"/>
      <c r="M30" s="185">
        <f>AVERAGE(D49:INDEX(D49:K49,0,MATCH('RFPR cover'!$C$7,$D$6:$K$6,0)))/AVERAGE($D$66:INDEX($D$66:$K$66,0,MATCH('RFPR cover'!$C$7,$D$6:$K$6,0)))</f>
        <v>1.2119185952411437E-2</v>
      </c>
      <c r="N30" s="185">
        <f t="shared" ref="N30:N38" si="10">AVERAGE(D49:K49)/AVERAGE($D$66:$K$66)</f>
        <v>7.3845304294479852E-3</v>
      </c>
      <c r="R30" s="182"/>
    </row>
    <row r="31" spans="2:18">
      <c r="B31" s="262" t="str">
        <f t="shared" si="9"/>
        <v>IQI Reward</v>
      </c>
      <c r="C31" s="264" t="s">
        <v>7</v>
      </c>
      <c r="D31" s="184">
        <f t="shared" si="8"/>
        <v>9.5566691937208261E-3</v>
      </c>
      <c r="E31" s="185">
        <f t="shared" si="8"/>
        <v>9.0721088133850544E-3</v>
      </c>
      <c r="F31" s="185">
        <f t="shared" si="8"/>
        <v>8.0693696034185719E-3</v>
      </c>
      <c r="G31" s="185">
        <f t="shared" si="8"/>
        <v>8.207594002826871E-3</v>
      </c>
      <c r="H31" s="185">
        <f t="shared" si="8"/>
        <v>7.7330201255780828E-3</v>
      </c>
      <c r="I31" s="185">
        <f t="shared" si="8"/>
        <v>8.3017500738189424E-3</v>
      </c>
      <c r="J31" s="185">
        <f t="shared" si="8"/>
        <v>7.40935579703721E-3</v>
      </c>
      <c r="K31" s="186">
        <f t="shared" si="8"/>
        <v>6.9229917606701569E-3</v>
      </c>
      <c r="L31" s="182"/>
      <c r="M31" s="185">
        <f>AVERAGE(D50:INDEX(D50:K50,0,MATCH('RFPR cover'!$C$7,$D$6:$K$6,0)))/AVERAGE($D$66:INDEX($D$66:$K$66,0,MATCH('RFPR cover'!$C$7,$D$6:$K$6,0)))</f>
        <v>8.6864308018192206E-3</v>
      </c>
      <c r="N31" s="185">
        <f t="shared" si="10"/>
        <v>8.0998552960607848E-3</v>
      </c>
      <c r="R31" s="182"/>
    </row>
    <row r="32" spans="2:18">
      <c r="B32" s="262" t="str">
        <f t="shared" si="9"/>
        <v>Broad measure of customer service</v>
      </c>
      <c r="C32" s="264" t="s">
        <v>7</v>
      </c>
      <c r="D32" s="184">
        <f t="shared" si="8"/>
        <v>6.8221930115465899E-3</v>
      </c>
      <c r="E32" s="185">
        <f t="shared" si="8"/>
        <v>6.1431949506988576E-3</v>
      </c>
      <c r="F32" s="185">
        <f t="shared" si="8"/>
        <v>6.352013495707117E-3</v>
      </c>
      <c r="G32" s="185">
        <f t="shared" si="8"/>
        <v>6.058149660579124E-3</v>
      </c>
      <c r="H32" s="185">
        <f t="shared" si="8"/>
        <v>6.2594768075948373E-3</v>
      </c>
      <c r="I32" s="185">
        <f t="shared" si="8"/>
        <v>6.542475049619652E-3</v>
      </c>
      <c r="J32" s="185">
        <f t="shared" si="8"/>
        <v>6.0421197840831026E-3</v>
      </c>
      <c r="K32" s="186">
        <f t="shared" si="8"/>
        <v>5.548192266244454E-3</v>
      </c>
      <c r="L32" s="182"/>
      <c r="M32" s="185">
        <f>AVERAGE(D51:INDEX(D51:K51,0,MATCH('RFPR cover'!$C$7,$D$6:$K$6,0)))/AVERAGE($D$66:INDEX($D$66:$K$66,0,MATCH('RFPR cover'!$C$7,$D$6:$K$6,0)))</f>
        <v>6.3290684599762491E-3</v>
      </c>
      <c r="N32" s="185">
        <f t="shared" si="10"/>
        <v>6.1969589918367081E-3</v>
      </c>
      <c r="R32" s="182"/>
    </row>
    <row r="33" spans="2:18">
      <c r="B33" s="262" t="str">
        <f t="shared" si="9"/>
        <v>Interruptions-related quality of service</v>
      </c>
      <c r="C33" s="264" t="s">
        <v>7</v>
      </c>
      <c r="D33" s="184">
        <f t="shared" si="8"/>
        <v>1.1358586319735541E-2</v>
      </c>
      <c r="E33" s="185">
        <f t="shared" si="8"/>
        <v>1.1706144860868005E-2</v>
      </c>
      <c r="F33" s="185">
        <f t="shared" si="8"/>
        <v>5.7746878719112365E-3</v>
      </c>
      <c r="G33" s="185">
        <f t="shared" si="8"/>
        <v>1.0951295200034747E-2</v>
      </c>
      <c r="H33" s="185">
        <f t="shared" si="8"/>
        <v>8.7516858358590525E-3</v>
      </c>
      <c r="I33" s="185">
        <f t="shared" si="8"/>
        <v>8.8573406895962777E-3</v>
      </c>
      <c r="J33" s="185">
        <f t="shared" si="8"/>
        <v>8.0041304072233817E-3</v>
      </c>
      <c r="K33" s="186">
        <f t="shared" si="8"/>
        <v>7.2178792394447583E-3</v>
      </c>
      <c r="L33" s="182"/>
      <c r="M33" s="185">
        <f>AVERAGE(D52:INDEX(D52:K52,0,MATCH('RFPR cover'!$C$7,$D$6:$K$6,0)))/AVERAGE($D$66:INDEX($D$66:$K$66,0,MATCH('RFPR cover'!$C$7,$D$6:$K$6,0)))</f>
        <v>9.8787750684245206E-3</v>
      </c>
      <c r="N33" s="185">
        <f t="shared" si="10"/>
        <v>8.9865731232743468E-3</v>
      </c>
      <c r="R33" s="182"/>
    </row>
    <row r="34" spans="2:18">
      <c r="B34" s="262" t="str">
        <f t="shared" si="9"/>
        <v>Incentive on connections engagement</v>
      </c>
      <c r="C34" s="264" t="s">
        <v>7</v>
      </c>
      <c r="D34" s="184">
        <f t="shared" si="8"/>
        <v>0</v>
      </c>
      <c r="E34" s="185">
        <f t="shared" si="8"/>
        <v>0</v>
      </c>
      <c r="F34" s="185">
        <f t="shared" si="8"/>
        <v>0</v>
      </c>
      <c r="G34" s="185">
        <f t="shared" si="8"/>
        <v>0</v>
      </c>
      <c r="H34" s="185">
        <f t="shared" si="8"/>
        <v>0</v>
      </c>
      <c r="I34" s="185">
        <f t="shared" si="8"/>
        <v>0</v>
      </c>
      <c r="J34" s="185">
        <f t="shared" si="8"/>
        <v>0</v>
      </c>
      <c r="K34" s="186">
        <f t="shared" si="8"/>
        <v>0</v>
      </c>
      <c r="L34" s="182"/>
      <c r="M34" s="185">
        <f>AVERAGE(D53:INDEX(D53:K53,0,MATCH('RFPR cover'!$C$7,$D$6:$K$6,0)))/AVERAGE($D$66:INDEX($D$66:$K$66,0,MATCH('RFPR cover'!$C$7,$D$6:$K$6,0)))</f>
        <v>0</v>
      </c>
      <c r="N34" s="185">
        <f t="shared" si="10"/>
        <v>0</v>
      </c>
      <c r="R34" s="182"/>
    </row>
    <row r="35" spans="2:18">
      <c r="B35" s="262" t="str">
        <f t="shared" si="9"/>
        <v>Time to Connect Incentive</v>
      </c>
      <c r="C35" s="264" t="s">
        <v>7</v>
      </c>
      <c r="D35" s="184">
        <f t="shared" si="8"/>
        <v>1.2030958432013683E-3</v>
      </c>
      <c r="E35" s="185">
        <f t="shared" si="8"/>
        <v>1.6696722988983862E-3</v>
      </c>
      <c r="F35" s="185">
        <f t="shared" si="8"/>
        <v>1.7105476633267191E-3</v>
      </c>
      <c r="G35" s="185">
        <f t="shared" si="8"/>
        <v>1.7747691514033519E-3</v>
      </c>
      <c r="H35" s="185">
        <f t="shared" si="8"/>
        <v>1.4627096507794006E-3</v>
      </c>
      <c r="I35" s="185">
        <f t="shared" si="8"/>
        <v>1.5288404589103692E-3</v>
      </c>
      <c r="J35" s="185">
        <f t="shared" si="8"/>
        <v>1.4119178313146262E-3</v>
      </c>
      <c r="K35" s="186">
        <f t="shared" si="8"/>
        <v>1.2964972347798639E-3</v>
      </c>
      <c r="L35" s="182"/>
      <c r="M35" s="185">
        <f>AVERAGE(D54:INDEX(D54:K54,0,MATCH('RFPR cover'!$C$7,$D$6:$K$6,0)))/AVERAGE($D$66:INDEX($D$66:$K$66,0,MATCH('RFPR cover'!$C$7,$D$6:$K$6,0)))</f>
        <v>1.6025990949621951E-3</v>
      </c>
      <c r="N35" s="185">
        <f t="shared" si="10"/>
        <v>1.5072399683721078E-3</v>
      </c>
      <c r="R35" s="182"/>
    </row>
    <row r="36" spans="2:18">
      <c r="B36" s="262" t="str">
        <f t="shared" si="9"/>
        <v>Losses discretionary reward scheme</v>
      </c>
      <c r="C36" s="264" t="s">
        <v>7</v>
      </c>
      <c r="D36" s="184">
        <f t="shared" si="8"/>
        <v>0</v>
      </c>
      <c r="E36" s="185">
        <f t="shared" si="8"/>
        <v>9.9982828672317336E-5</v>
      </c>
      <c r="F36" s="185">
        <f t="shared" si="8"/>
        <v>0</v>
      </c>
      <c r="G36" s="185">
        <f t="shared" si="8"/>
        <v>0</v>
      </c>
      <c r="H36" s="185">
        <f t="shared" si="8"/>
        <v>0</v>
      </c>
      <c r="I36" s="185">
        <f t="shared" si="8"/>
        <v>4.8545065027160716E-5</v>
      </c>
      <c r="J36" s="185">
        <f t="shared" si="8"/>
        <v>0</v>
      </c>
      <c r="K36" s="186">
        <f t="shared" si="8"/>
        <v>0</v>
      </c>
      <c r="L36" s="182"/>
      <c r="M36" s="185">
        <f>AVERAGE(D55:INDEX(D55:K55,0,MATCH('RFPR cover'!$C$7,$D$6:$K$6,0)))/AVERAGE($D$66:INDEX($D$66:$K$66,0,MATCH('RFPR cover'!$C$7,$D$6:$K$6,0)))</f>
        <v>2.3987494012623268E-5</v>
      </c>
      <c r="N36" s="185">
        <f t="shared" si="10"/>
        <v>1.7353961868470318E-5</v>
      </c>
      <c r="R36" s="182"/>
    </row>
    <row r="37" spans="2:18">
      <c r="B37" s="262" t="str">
        <f t="shared" si="9"/>
        <v xml:space="preserve">Network Innovation </v>
      </c>
      <c r="C37" s="264" t="s">
        <v>7</v>
      </c>
      <c r="D37" s="184">
        <f t="shared" si="8"/>
        <v>2.328745516346523E-3</v>
      </c>
      <c r="E37" s="185">
        <f t="shared" si="8"/>
        <v>-2.4099758625551075E-4</v>
      </c>
      <c r="F37" s="185">
        <f t="shared" si="8"/>
        <v>8.333428179623033E-4</v>
      </c>
      <c r="G37" s="185">
        <f t="shared" si="8"/>
        <v>-1.6789393328421357E-4</v>
      </c>
      <c r="H37" s="185">
        <f t="shared" si="8"/>
        <v>-2.6049200764753113E-4</v>
      </c>
      <c r="I37" s="185">
        <f t="shared" si="8"/>
        <v>-2.7511344311407322E-4</v>
      </c>
      <c r="J37" s="185">
        <f t="shared" si="8"/>
        <v>-7.2996803786217303E-4</v>
      </c>
      <c r="K37" s="186">
        <f t="shared" si="8"/>
        <v>-7.5611470022750988E-4</v>
      </c>
      <c r="L37" s="182"/>
      <c r="M37" s="185">
        <f>AVERAGE(D56:INDEX(D56:K56,0,MATCH('RFPR cover'!$C$7,$D$6:$K$6,0)))/AVERAGE($D$66:INDEX($D$66:$K$66,0,MATCH('RFPR cover'!$C$7,$D$6:$K$6,0)))</f>
        <v>6.4382791224197806E-4</v>
      </c>
      <c r="N37" s="185">
        <f t="shared" si="10"/>
        <v>3.7991362148743268E-5</v>
      </c>
      <c r="R37" s="182"/>
    </row>
    <row r="38" spans="2:18">
      <c r="B38" s="262" t="str">
        <f>B57</f>
        <v>Penalties and fines</v>
      </c>
      <c r="C38" s="264" t="s">
        <v>7</v>
      </c>
      <c r="D38" s="194">
        <f t="shared" si="8"/>
        <v>-5.1938191186456413E-5</v>
      </c>
      <c r="E38" s="195">
        <f t="shared" si="8"/>
        <v>-3.5183080670158343E-5</v>
      </c>
      <c r="F38" s="195">
        <f t="shared" si="8"/>
        <v>-3.2422182259259811E-5</v>
      </c>
      <c r="G38" s="195">
        <f t="shared" si="8"/>
        <v>-5.5922001342581297E-5</v>
      </c>
      <c r="H38" s="195">
        <f t="shared" si="8"/>
        <v>-3.9004444459247789E-5</v>
      </c>
      <c r="I38" s="195">
        <f t="shared" si="8"/>
        <v>-4.0646553340626381E-5</v>
      </c>
      <c r="J38" s="195">
        <f t="shared" si="8"/>
        <v>-3.6435804039942115E-5</v>
      </c>
      <c r="K38" s="196">
        <f t="shared" si="8"/>
        <v>-3.245915322311825E-5</v>
      </c>
      <c r="L38" s="182"/>
      <c r="M38" s="195">
        <f>AVERAGE(D57:INDEX(D57:K57,0,MATCH('RFPR cover'!$C$7,$D$6:$K$6,0)))/AVERAGE($D$66:INDEX($D$66:$K$66,0,MATCH('RFPR cover'!$C$7,$D$6:$K$6,0)))</f>
        <v>-4.3926487221520683E-5</v>
      </c>
      <c r="N38" s="195">
        <f t="shared" si="10"/>
        <v>-4.0286298386568431E-5</v>
      </c>
      <c r="R38" s="182"/>
    </row>
    <row r="39" spans="2:18">
      <c r="B39" s="263" t="str">
        <f>B58</f>
        <v>RoRE - Operational performance</v>
      </c>
      <c r="C39" s="264" t="s">
        <v>7</v>
      </c>
      <c r="D39" s="197">
        <f t="shared" ref="D39:K39" si="11">SUM(D29:D38)</f>
        <v>0.12183674771113928</v>
      </c>
      <c r="E39" s="198">
        <f t="shared" si="11"/>
        <v>0.12816263973498682</v>
      </c>
      <c r="F39" s="198">
        <f t="shared" si="11"/>
        <v>3.3375116850279572E-2</v>
      </c>
      <c r="G39" s="198">
        <f t="shared" si="11"/>
        <v>0.11111846067275898</v>
      </c>
      <c r="H39" s="198">
        <f t="shared" si="11"/>
        <v>8.5611959173408067E-2</v>
      </c>
      <c r="I39" s="198">
        <f t="shared" si="11"/>
        <v>9.2049553545329427E-2</v>
      </c>
      <c r="J39" s="198">
        <f t="shared" si="11"/>
        <v>8.4325934994780555E-2</v>
      </c>
      <c r="K39" s="199">
        <f t="shared" si="11"/>
        <v>8.3413690455882789E-2</v>
      </c>
      <c r="L39" s="183"/>
      <c r="M39" s="198">
        <f>SUM(M29:M38)</f>
        <v>9.7428923818284566E-2</v>
      </c>
      <c r="N39" s="198">
        <f>SUM(N29:N38)</f>
        <v>9.1561879837328886E-2</v>
      </c>
      <c r="R39" s="182"/>
    </row>
    <row r="40" spans="2:18">
      <c r="B40" s="262" t="s">
        <v>460</v>
      </c>
      <c r="C40" s="264" t="s">
        <v>7</v>
      </c>
      <c r="D40" s="184">
        <f>(D59+D60)/D$66</f>
        <v>-3.7542277403565777E-2</v>
      </c>
      <c r="E40" s="185">
        <f t="shared" ref="E40:K40" si="12">(E59+E60)/E$66</f>
        <v>-1.9479058314353877E-2</v>
      </c>
      <c r="F40" s="185">
        <f t="shared" si="12"/>
        <v>-4.1959686790252806E-4</v>
      </c>
      <c r="G40" s="185">
        <f t="shared" si="12"/>
        <v>-9.2181872594549411E-3</v>
      </c>
      <c r="H40" s="185">
        <f t="shared" si="12"/>
        <v>-2.1650070549171809E-2</v>
      </c>
      <c r="I40" s="185">
        <f t="shared" si="12"/>
        <v>-1.7085548996670367E-2</v>
      </c>
      <c r="J40" s="185">
        <f t="shared" si="12"/>
        <v>-3.3028062389924141E-3</v>
      </c>
      <c r="K40" s="186">
        <f t="shared" si="12"/>
        <v>-4.4570188823054796E-3</v>
      </c>
      <c r="L40" s="182"/>
      <c r="M40" s="185">
        <f>(AVERAGE(D59:INDEX(D59:K59,0,MATCH('RFPR cover'!$C$7,$D$6:$K$6,0)))+AVERAGE(D60:INDEX(D60:K60,0,MATCH('RFPR cover'!$C$7,$D$6:$K$6,0))))/AVERAGE($D$66:INDEX($D$66:$K$66,0,MATCH('RFPR cover'!$C$7,$D$6:$K$6,0)))</f>
        <v>-1.5844898764160245E-2</v>
      </c>
      <c r="N40" s="185">
        <f>(AVERAGE(D59:K59)+AVERAGE(D60:K60))/AVERAGE($D$66:$K$66)</f>
        <v>-1.3458975272940184E-2</v>
      </c>
      <c r="R40" s="182"/>
    </row>
    <row r="41" spans="2:18">
      <c r="B41" s="262" t="s">
        <v>461</v>
      </c>
      <c r="C41" s="264" t="s">
        <v>7</v>
      </c>
      <c r="D41" s="184">
        <f>(D61+D62)/D$66</f>
        <v>4.8806173771754804E-3</v>
      </c>
      <c r="E41" s="185">
        <f t="shared" ref="E41:K41" si="13">(E61+E62)/E$66</f>
        <v>1.9065015635763842E-2</v>
      </c>
      <c r="F41" s="185">
        <f t="shared" si="13"/>
        <v>1.4606135601490381E-2</v>
      </c>
      <c r="G41" s="185">
        <f t="shared" si="13"/>
        <v>1.188650406551627E-2</v>
      </c>
      <c r="H41" s="185">
        <f t="shared" si="13"/>
        <v>-4.8483779163414438E-3</v>
      </c>
      <c r="I41" s="185">
        <f t="shared" si="13"/>
        <v>-5.5886130930724006E-3</v>
      </c>
      <c r="J41" s="185">
        <f t="shared" si="13"/>
        <v>-1.0635196039767811E-3</v>
      </c>
      <c r="K41" s="186">
        <f t="shared" si="13"/>
        <v>-7.5533794711053379E-4</v>
      </c>
      <c r="L41" s="182"/>
      <c r="M41" s="185">
        <f>(AVERAGE(D61:INDEX(D61:K61,0,MATCH('RFPR cover'!$C$7,$D$6:$K$6,0)))+AVERAGE(D62:INDEX(D62:K62,0,MATCH('RFPR cover'!$C$7,$D$6:$K$6,0))))/AVERAGE($D$66:INDEX($D$66:$K$66,0,MATCH('RFPR cover'!$C$7,$D$6:$K$6,0)))</f>
        <v>1.271986945495529E-2</v>
      </c>
      <c r="N41" s="185">
        <f>(AVERAGE(D61:K61)+AVERAGE(D62:K62))/AVERAGE($D$66:$K$66)</f>
        <v>4.5469242851826517E-3</v>
      </c>
      <c r="R41" s="182"/>
    </row>
    <row r="42" spans="2:18">
      <c r="B42" s="263" t="str">
        <f>B63</f>
        <v>RoRE - including financing and tax</v>
      </c>
      <c r="C42" s="264" t="s">
        <v>7</v>
      </c>
      <c r="D42" s="200">
        <f>SUM(D39:D41)</f>
        <v>8.917508768474898E-2</v>
      </c>
      <c r="E42" s="201">
        <f t="shared" ref="E42:K42" si="14">SUM(E39:E41)</f>
        <v>0.1277485970563968</v>
      </c>
      <c r="F42" s="201">
        <f t="shared" si="14"/>
        <v>4.7561655583867421E-2</v>
      </c>
      <c r="G42" s="201">
        <f t="shared" si="14"/>
        <v>0.11378677747882029</v>
      </c>
      <c r="H42" s="201">
        <f t="shared" si="14"/>
        <v>5.9113510707894813E-2</v>
      </c>
      <c r="I42" s="201">
        <f t="shared" si="14"/>
        <v>6.937539145558666E-2</v>
      </c>
      <c r="J42" s="201">
        <f t="shared" si="14"/>
        <v>7.9959609151811356E-2</v>
      </c>
      <c r="K42" s="202">
        <f t="shared" si="14"/>
        <v>7.8201333626466765E-2</v>
      </c>
      <c r="L42" s="183"/>
      <c r="M42" s="201">
        <f>SUM(M39:M41)</f>
        <v>9.4303894509079611E-2</v>
      </c>
      <c r="N42" s="201">
        <f>SUM(N39:N41)</f>
        <v>8.2649828849571352E-2</v>
      </c>
      <c r="R42" s="182"/>
    </row>
    <row r="43" spans="2:18" s="32" customFormat="1">
      <c r="B43" s="496"/>
      <c r="C43" s="497"/>
      <c r="D43" s="498"/>
      <c r="E43" s="498"/>
      <c r="F43" s="498"/>
      <c r="G43" s="498"/>
      <c r="H43" s="498"/>
      <c r="I43" s="498"/>
      <c r="J43" s="498"/>
      <c r="K43" s="498"/>
      <c r="L43" s="499"/>
      <c r="M43" s="498"/>
      <c r="N43" s="498"/>
      <c r="Q43"/>
      <c r="R43" s="182"/>
    </row>
    <row r="44" spans="2:18" s="32" customFormat="1">
      <c r="B44" s="496"/>
      <c r="C44" s="497"/>
      <c r="D44" s="498"/>
      <c r="E44" s="498"/>
      <c r="F44" s="498"/>
      <c r="G44" s="498"/>
      <c r="H44" s="498"/>
      <c r="I44" s="498"/>
      <c r="J44" s="498"/>
      <c r="K44" s="498"/>
      <c r="L44" s="499"/>
      <c r="M44" s="498"/>
      <c r="N44" s="498"/>
      <c r="Q44"/>
      <c r="R44" s="182"/>
    </row>
    <row r="45" spans="2:18" s="32" customFormat="1">
      <c r="B45" s="550" t="s">
        <v>396</v>
      </c>
      <c r="C45" s="551"/>
      <c r="D45" s="552"/>
      <c r="E45" s="552"/>
      <c r="F45" s="552"/>
      <c r="G45" s="552"/>
      <c r="H45" s="552"/>
      <c r="I45" s="552"/>
      <c r="J45" s="552"/>
      <c r="K45" s="552"/>
      <c r="L45" s="553"/>
      <c r="M45" s="552"/>
      <c r="N45" s="552"/>
      <c r="O45" s="227"/>
      <c r="Q45"/>
      <c r="R45" s="182"/>
    </row>
    <row r="46" spans="2:18" s="32" customFormat="1">
      <c r="B46" s="555" t="str">
        <f>"Input values provided in "&amp;'RFPR cover'!C14&amp;" prices"</f>
        <v>Input values provided in £m 12/13 prices</v>
      </c>
      <c r="C46" s="554"/>
      <c r="D46" s="554"/>
      <c r="E46" s="554"/>
      <c r="F46" s="554"/>
      <c r="G46" s="554"/>
      <c r="H46" s="554"/>
      <c r="I46" s="554"/>
      <c r="J46" s="554"/>
      <c r="K46" s="554"/>
      <c r="L46" s="554"/>
      <c r="M46" s="554"/>
      <c r="N46" s="554"/>
      <c r="O46" s="554"/>
      <c r="Q46"/>
      <c r="R46" s="182"/>
    </row>
    <row r="47" spans="2:18">
      <c r="R47" s="182"/>
    </row>
    <row r="48" spans="2:18">
      <c r="B48" s="257" t="s">
        <v>228</v>
      </c>
      <c r="C48" s="360" t="str">
        <f>'RFPR cover'!$C$14</f>
        <v>£m 12/13</v>
      </c>
      <c r="D48" s="187">
        <f>'R9 - RAV'!D50</f>
        <v>18.799892310605564</v>
      </c>
      <c r="E48" s="188">
        <f>'R9 - RAV'!E50</f>
        <v>19.464259349951874</v>
      </c>
      <c r="F48" s="188">
        <f>'R9 - RAV'!F50</f>
        <v>19.921812118706644</v>
      </c>
      <c r="G48" s="188">
        <f>'R9 - RAV'!G50</f>
        <v>20.410108236827963</v>
      </c>
      <c r="H48" s="188">
        <f>'R9 - RAV'!H50</f>
        <v>21.149972510958836</v>
      </c>
      <c r="I48" s="188">
        <f>'R9 - RAV'!I50</f>
        <v>21.909272010140711</v>
      </c>
      <c r="J48" s="188">
        <f>'R9 - RAV'!J50</f>
        <v>22.636616203544456</v>
      </c>
      <c r="K48" s="189">
        <f>'R9 - RAV'!K50</f>
        <v>23.347682304070041</v>
      </c>
      <c r="M48" s="97">
        <f>SUM(D48:INDEX(D48:K48,0,MATCH('RFPR cover'!$C$7,$D$6:$K$6,0)))</f>
        <v>78.596072016092052</v>
      </c>
      <c r="N48" s="97">
        <f>SUM(D48:K48)</f>
        <v>167.63961504480611</v>
      </c>
      <c r="R48" s="182"/>
    </row>
    <row r="49" spans="2:18">
      <c r="B49" s="257" t="s">
        <v>102</v>
      </c>
      <c r="C49" s="360" t="str">
        <f>'RFPR cover'!$C$14</f>
        <v>£m 12/13</v>
      </c>
      <c r="D49" s="261">
        <f>'R4 - Totex'!D35+'R4 - Totex'!D63</f>
        <v>9.088095321117498</v>
      </c>
      <c r="E49" s="261">
        <f>'R4 - Totex'!E35+'R4 - Totex'!E63</f>
        <v>12.859551271891849</v>
      </c>
      <c r="F49" s="261">
        <f>'R4 - Totex'!F35+'R4 - Totex'!F63</f>
        <v>-16.174144900239249</v>
      </c>
      <c r="G49" s="261">
        <f>'R4 - Totex'!G35+'R4 - Totex'!G63</f>
        <v>10.595929171975296</v>
      </c>
      <c r="H49" s="261">
        <f>'R4 - Totex'!H35+'R4 - Totex'!H63</f>
        <v>0.90387278260855053</v>
      </c>
      <c r="I49" s="261">
        <f>'R4 - Totex'!I35+'R4 - Totex'!I63</f>
        <v>1.0309302941883125</v>
      </c>
      <c r="J49" s="261">
        <f>'R4 - Totex'!J35+'R4 - Totex'!J63</f>
        <v>0.40321851859894942</v>
      </c>
      <c r="K49" s="261">
        <f>'R4 - Totex'!K35+'R4 - Totex'!K63</f>
        <v>2.1432324604224817</v>
      </c>
      <c r="M49" s="97">
        <f>SUM(D49:INDEX(D49:K49,0,MATCH('RFPR cover'!$C$7,$D$6:$K$6,0)))</f>
        <v>16.369430864745393</v>
      </c>
      <c r="N49" s="97">
        <f>SUM(D49:K49)</f>
        <v>20.850684920563687</v>
      </c>
      <c r="R49" s="182"/>
    </row>
    <row r="50" spans="2:18">
      <c r="B50" s="259" t="s">
        <v>110</v>
      </c>
      <c r="C50" s="360" t="str">
        <f>'RFPR cover'!$C$14</f>
        <v>£m 12/13</v>
      </c>
      <c r="D50" s="252">
        <f>'R4 - Totex'!D79</f>
        <v>2.9410510772183733</v>
      </c>
      <c r="E50" s="190">
        <f>'R4 - Totex'!E79</f>
        <v>2.9398680699164812</v>
      </c>
      <c r="F50" s="190">
        <f>'R4 - Totex'!F79</f>
        <v>2.8348809004701465</v>
      </c>
      <c r="G50" s="190">
        <f>'R4 - Totex'!G79</f>
        <v>3.0169952927851424</v>
      </c>
      <c r="H50" s="190">
        <f>'R4 - Totex'!H79</f>
        <v>2.7638608984720676</v>
      </c>
      <c r="I50" s="190">
        <f>'R4 - Totex'!I79</f>
        <v>2.8387860052981901</v>
      </c>
      <c r="J50" s="190">
        <f>'R4 - Totex'!J79</f>
        <v>2.7434446034847522</v>
      </c>
      <c r="K50" s="191">
        <f>'R4 - Totex'!K79</f>
        <v>2.7915627082039101</v>
      </c>
      <c r="M50" s="97">
        <f>SUM(D50:INDEX(D50:K50,0,MATCH('RFPR cover'!$C$7,$D$6:$K$6,0)))</f>
        <v>11.732795340390144</v>
      </c>
      <c r="N50" s="97">
        <f t="shared" ref="N50:N57" si="15">SUM(D50:K50)</f>
        <v>22.87044955584906</v>
      </c>
      <c r="R50" s="182"/>
    </row>
    <row r="51" spans="2:18">
      <c r="B51" s="260" t="str">
        <f>'R5 - Output Incentives'!B39</f>
        <v>Broad measure of customer service</v>
      </c>
      <c r="C51" s="360" t="str">
        <f>'RFPR cover'!$C$14</f>
        <v>£m 12/13</v>
      </c>
      <c r="D51" s="252">
        <f>'R5 - Output Incentives'!D39</f>
        <v>2.0995200000000009</v>
      </c>
      <c r="E51" s="190">
        <f>'R5 - Output Incentives'!E39</f>
        <v>1.9907370000000002</v>
      </c>
      <c r="F51" s="190">
        <f>'R5 - Output Incentives'!F39</f>
        <v>2.2315499999999999</v>
      </c>
      <c r="G51" s="190">
        <f>'R5 - Output Incentives'!G39</f>
        <v>2.2268899999999996</v>
      </c>
      <c r="H51" s="190">
        <f>'R5 - Output Incentives'!H39</f>
        <v>2.2372013666666679</v>
      </c>
      <c r="I51" s="190">
        <f>'R5 - Output Incentives'!I39</f>
        <v>2.2372013666666679</v>
      </c>
      <c r="J51" s="190">
        <f>'R5 - Output Incentives'!J39</f>
        <v>2.2372013666666679</v>
      </c>
      <c r="K51" s="191">
        <f>'R5 - Output Incentives'!K39</f>
        <v>2.2372013666666679</v>
      </c>
      <c r="M51" s="97">
        <f>SUM(D51:INDEX(D51:K51,0,MATCH('RFPR cover'!$C$7,$D$6:$K$6,0)))</f>
        <v>8.5486970000000007</v>
      </c>
      <c r="N51" s="97">
        <f t="shared" si="15"/>
        <v>17.497502466666671</v>
      </c>
      <c r="R51" s="182"/>
    </row>
    <row r="52" spans="2:18">
      <c r="B52" s="260" t="str">
        <f>'R5 - Output Incentives'!B40</f>
        <v>Interruptions-related quality of service</v>
      </c>
      <c r="C52" s="360" t="str">
        <f>'RFPR cover'!$C$14</f>
        <v>£m 12/13</v>
      </c>
      <c r="D52" s="252">
        <f>'R5 - Output Incentives'!D40</f>
        <v>3.4955884580880436</v>
      </c>
      <c r="E52" s="190">
        <f>'R5 - Output Incentives'!E40</f>
        <v>3.7934423193323394</v>
      </c>
      <c r="F52" s="190">
        <f>'R5 - Output Incentives'!F40</f>
        <v>2.0287275411603911</v>
      </c>
      <c r="G52" s="190">
        <f>'R5 - Output Incentives'!G40</f>
        <v>4.0255409876543204</v>
      </c>
      <c r="H52" s="190">
        <f>'R5 - Output Incentives'!H40</f>
        <v>3.1279424965461935</v>
      </c>
      <c r="I52" s="190">
        <f>'R5 - Output Incentives'!I40</f>
        <v>3.0287703881956825</v>
      </c>
      <c r="J52" s="190">
        <f>'R5 - Output Incentives'!J40</f>
        <v>2.9636703881956827</v>
      </c>
      <c r="K52" s="191">
        <f>'R5 - Output Incentives'!K40</f>
        <v>2.9104703881956833</v>
      </c>
      <c r="M52" s="97">
        <f>SUM(D52:INDEX(D52:K52,0,MATCH('RFPR cover'!$C$7,$D$6:$K$6,0)))</f>
        <v>13.343299306235094</v>
      </c>
      <c r="N52" s="97">
        <f t="shared" si="15"/>
        <v>25.374152967368335</v>
      </c>
      <c r="R52" s="182"/>
    </row>
    <row r="53" spans="2:18">
      <c r="B53" s="260" t="str">
        <f>'R5 - Output Incentives'!B41</f>
        <v>Incentive on connections engagement</v>
      </c>
      <c r="C53" s="360" t="str">
        <f>'RFPR cover'!$C$14</f>
        <v>£m 12/13</v>
      </c>
      <c r="D53" s="252">
        <f>'R5 - Output Incentives'!D41</f>
        <v>0</v>
      </c>
      <c r="E53" s="190">
        <f>'R5 - Output Incentives'!E41</f>
        <v>0</v>
      </c>
      <c r="F53" s="190">
        <f>'R5 - Output Incentives'!F41</f>
        <v>0</v>
      </c>
      <c r="G53" s="190">
        <f>'R5 - Output Incentives'!G41</f>
        <v>0</v>
      </c>
      <c r="H53" s="190">
        <f>'R5 - Output Incentives'!H41</f>
        <v>0</v>
      </c>
      <c r="I53" s="190">
        <f>'R5 - Output Incentives'!I41</f>
        <v>0</v>
      </c>
      <c r="J53" s="190">
        <f>'R5 - Output Incentives'!J41</f>
        <v>0</v>
      </c>
      <c r="K53" s="191">
        <f>'R5 - Output Incentives'!K41</f>
        <v>0</v>
      </c>
      <c r="M53" s="97">
        <f>SUM(D53:INDEX(D53:K53,0,MATCH('RFPR cover'!$C$7,$D$6:$K$6,0)))</f>
        <v>0</v>
      </c>
      <c r="N53" s="97">
        <f t="shared" si="15"/>
        <v>0</v>
      </c>
      <c r="R53" s="182"/>
    </row>
    <row r="54" spans="2:18">
      <c r="B54" s="260" t="str">
        <f>'R5 - Output Incentives'!B42</f>
        <v>Time to Connect Incentive</v>
      </c>
      <c r="C54" s="360" t="str">
        <f>'RFPR cover'!$C$14</f>
        <v>£m 12/13</v>
      </c>
      <c r="D54" s="252">
        <f>'R5 - Output Incentives'!D42</f>
        <v>0.37025100000000016</v>
      </c>
      <c r="E54" s="190">
        <f>'R5 - Output Incentives'!E42</f>
        <v>0.54106673318481424</v>
      </c>
      <c r="F54" s="190">
        <f>'R5 - Output Incentives'!F42</f>
        <v>0.60093900000000011</v>
      </c>
      <c r="G54" s="190">
        <f>'R5 - Output Incentives'!G42</f>
        <v>0.65238000000000007</v>
      </c>
      <c r="H54" s="190">
        <f>'R5 - Output Incentives'!H42</f>
        <v>0.52278746776243568</v>
      </c>
      <c r="I54" s="190">
        <f>'R5 - Output Incentives'!I42</f>
        <v>0.52278746776243568</v>
      </c>
      <c r="J54" s="190">
        <f>'R5 - Output Incentives'!J42</f>
        <v>0.52278746776243568</v>
      </c>
      <c r="K54" s="191">
        <f>'R5 - Output Incentives'!K42</f>
        <v>0.52278746776243568</v>
      </c>
      <c r="M54" s="97">
        <f>SUM(D54:INDEX(D54:K54,0,MATCH('RFPR cover'!$C$7,$D$6:$K$6,0)))</f>
        <v>2.1646367331848144</v>
      </c>
      <c r="N54" s="97">
        <f t="shared" si="15"/>
        <v>4.2557866042345571</v>
      </c>
      <c r="R54" s="182"/>
    </row>
    <row r="55" spans="2:18">
      <c r="B55" s="260" t="str">
        <f>'R5 - Output Incentives'!B43</f>
        <v>Losses discretionary reward scheme</v>
      </c>
      <c r="C55" s="360" t="str">
        <f>'RFPR cover'!$C$14</f>
        <v>£m 12/13</v>
      </c>
      <c r="D55" s="252">
        <f>'R5 - Output Incentives'!D43</f>
        <v>0</v>
      </c>
      <c r="E55" s="190">
        <f>'R5 - Output Incentives'!E43</f>
        <v>3.2400000000000005E-2</v>
      </c>
      <c r="F55" s="190">
        <f>'R5 - Output Incentives'!F43</f>
        <v>0</v>
      </c>
      <c r="G55" s="190">
        <f>'R5 - Output Incentives'!G43</f>
        <v>0</v>
      </c>
      <c r="H55" s="190">
        <f>'R5 - Output Incentives'!H43</f>
        <v>0</v>
      </c>
      <c r="I55" s="190">
        <f>'R5 - Output Incentives'!I43</f>
        <v>1.66E-2</v>
      </c>
      <c r="J55" s="190">
        <f>'R5 - Output Incentives'!J43</f>
        <v>0</v>
      </c>
      <c r="K55" s="191">
        <f>'R5 - Output Incentives'!K43</f>
        <v>0</v>
      </c>
      <c r="M55" s="97">
        <f>SUM(D55:INDEX(D55:K55,0,MATCH('RFPR cover'!$C$7,$D$6:$K$6,0)))</f>
        <v>3.2400000000000005E-2</v>
      </c>
      <c r="N55" s="97">
        <f t="shared" si="15"/>
        <v>4.9000000000000002E-2</v>
      </c>
      <c r="R55" s="182"/>
    </row>
    <row r="56" spans="2:18">
      <c r="B56" s="257" t="s">
        <v>502</v>
      </c>
      <c r="C56" s="360" t="str">
        <f>'RFPR cover'!$C$14</f>
        <v>£m 12/13</v>
      </c>
      <c r="D56" s="252">
        <f>-'R6 - Innovation'!D28</f>
        <v>0.71666805354301499</v>
      </c>
      <c r="E56" s="190">
        <f>-'R6 - Innovation'!E28</f>
        <v>-7.8096628174718491E-2</v>
      </c>
      <c r="F56" s="190">
        <f>-'R6 - Innovation'!F28</f>
        <v>0.292764832234784</v>
      </c>
      <c r="G56" s="190">
        <f>-'R6 - Innovation'!G28</f>
        <v>-6.1715431615062051E-2</v>
      </c>
      <c r="H56" s="190">
        <f>-'R6 - Innovation'!H28</f>
        <v>-9.310252173275925E-2</v>
      </c>
      <c r="I56" s="190">
        <f>-'R6 - Innovation'!I28</f>
        <v>-9.4075126959629524E-2</v>
      </c>
      <c r="J56" s="190">
        <f>-'R6 - Innovation'!J28</f>
        <v>-0.27028353463470134</v>
      </c>
      <c r="K56" s="191">
        <f>-'R6 - Innovation'!K28</f>
        <v>-0.30488864832558632</v>
      </c>
      <c r="M56" s="97">
        <f>SUM(D56:INDEX(D56:K56,0,MATCH('RFPR cover'!$C$7,$D$6:$K$6,0)))</f>
        <v>0.86962082598801838</v>
      </c>
      <c r="N56" s="97">
        <f t="shared" si="15"/>
        <v>0.10727099433534198</v>
      </c>
      <c r="R56" s="182"/>
    </row>
    <row r="57" spans="2:18">
      <c r="B57" s="257" t="s">
        <v>35</v>
      </c>
      <c r="C57" s="360" t="str">
        <f>'RFPR cover'!$C$14</f>
        <v>£m 12/13</v>
      </c>
      <c r="D57" s="253">
        <f>-'R13 - Other Activities '!D8</f>
        <v>-1.5983902973021935E-2</v>
      </c>
      <c r="E57" s="253">
        <f>-'R13 - Other Activities '!E8</f>
        <v>-1.1401275887573965E-2</v>
      </c>
      <c r="F57" s="253">
        <f>-'R13 - Other Activities '!F8</f>
        <v>-1.1390360059774545E-2</v>
      </c>
      <c r="G57" s="253">
        <f>-'R13 - Other Activities '!G8</f>
        <v>-2.055613554417807E-2</v>
      </c>
      <c r="H57" s="253">
        <f>-'R13 - Other Activities '!H8</f>
        <v>-1.3940589466587173E-2</v>
      </c>
      <c r="I57" s="253">
        <f>-'R13 - Other Activities '!I8</f>
        <v>-1.3899101485946891E-2</v>
      </c>
      <c r="J57" s="253">
        <f>-'R13 - Other Activities '!J8</f>
        <v>-1.3490998773061771E-2</v>
      </c>
      <c r="K57" s="253">
        <f>-'R13 - Other Activities '!K8</f>
        <v>-1.3088526580705088E-2</v>
      </c>
      <c r="M57" s="97">
        <f>SUM(D57:INDEX(D57:K57,0,MATCH('RFPR cover'!$C$7,$D$6:$K$6,0)))</f>
        <v>-5.9331674464548512E-2</v>
      </c>
      <c r="N57" s="97">
        <f t="shared" si="15"/>
        <v>-0.11375089077084943</v>
      </c>
      <c r="R57" s="182"/>
    </row>
    <row r="58" spans="2:18">
      <c r="B58" s="258" t="s">
        <v>103</v>
      </c>
      <c r="C58" s="360" t="str">
        <f>'RFPR cover'!$C$14</f>
        <v>£m 12/13</v>
      </c>
      <c r="D58" s="254">
        <f t="shared" ref="D58:K58" si="16">SUM(D48:D57)</f>
        <v>37.495082317599483</v>
      </c>
      <c r="E58" s="151">
        <f t="shared" si="16"/>
        <v>41.531826840215068</v>
      </c>
      <c r="F58" s="151">
        <f t="shared" si="16"/>
        <v>11.725139132272943</v>
      </c>
      <c r="G58" s="151">
        <f t="shared" si="16"/>
        <v>40.845572122083475</v>
      </c>
      <c r="H58" s="151">
        <f t="shared" si="16"/>
        <v>30.598594411815405</v>
      </c>
      <c r="I58" s="151">
        <f t="shared" si="16"/>
        <v>31.476373303806419</v>
      </c>
      <c r="J58" s="151">
        <f t="shared" si="16"/>
        <v>31.223164014845182</v>
      </c>
      <c r="K58" s="152">
        <f t="shared" si="16"/>
        <v>33.634959520414924</v>
      </c>
      <c r="M58" s="150">
        <f>SUM(M48:M57)</f>
        <v>131.59762041217095</v>
      </c>
      <c r="N58" s="152">
        <f>SUM(N48:N57)</f>
        <v>258.5307116630529</v>
      </c>
      <c r="R58" s="182"/>
    </row>
    <row r="59" spans="2:18">
      <c r="B59" s="257" t="s">
        <v>441</v>
      </c>
      <c r="C59" s="360" t="str">
        <f>'RFPR cover'!$C$14</f>
        <v>£m 12/13</v>
      </c>
      <c r="D59" s="252">
        <f>'R7 - Financing'!D87+'R10 - Tax'!D89</f>
        <v>-12.151022916611041</v>
      </c>
      <c r="E59" s="252">
        <f>'R7 - Financing'!E87+'R10 - Tax'!E89</f>
        <v>-6.936418665127408</v>
      </c>
      <c r="F59" s="252">
        <f>'R7 - Financing'!F87+'R10 - Tax'!F89</f>
        <v>-0.93186452289330512</v>
      </c>
      <c r="G59" s="252">
        <f>'R7 - Financing'!G87+'R10 - Tax'!G89</f>
        <v>-4.5124509274510318</v>
      </c>
      <c r="H59" s="252">
        <f>'R7 - Financing'!H87+'R10 - Tax'!H89</f>
        <v>-8.4538772899999017</v>
      </c>
      <c r="I59" s="252">
        <f>'R7 - Financing'!I87+'R10 - Tax'!I89</f>
        <v>-5.8352868870717547</v>
      </c>
      <c r="J59" s="252">
        <f>'R7 - Financing'!J87+'R10 - Tax'!J89</f>
        <v>-1.384377728232024</v>
      </c>
      <c r="K59" s="252">
        <f>'R7 - Financing'!K87+'R10 - Tax'!K89</f>
        <v>-2.1486820601208492</v>
      </c>
      <c r="M59" s="97">
        <f>SUM(D59:INDEX(D59:K59,0,MATCH('RFPR cover'!$C$7,$D$6:$K$6,0)))</f>
        <v>-24.531757032082787</v>
      </c>
      <c r="N59" s="97">
        <f>SUM(D59:K59)</f>
        <v>-42.353980997507314</v>
      </c>
      <c r="R59" s="182"/>
    </row>
    <row r="60" spans="2:18">
      <c r="B60" s="257" t="s">
        <v>436</v>
      </c>
      <c r="C60" s="360" t="str">
        <f>'RFPR cover'!$C$14</f>
        <v>£m 12/13</v>
      </c>
      <c r="D60" s="252">
        <f>'R7 - Financing'!D89+'R10 - Tax'!D90</f>
        <v>0.59744152116679183</v>
      </c>
      <c r="E60" s="252">
        <f>'R7 - Financing'!E89+'R10 - Tax'!E90</f>
        <v>0.62411986576560485</v>
      </c>
      <c r="F60" s="252">
        <f>'R7 - Financing'!F89+'R10 - Tax'!F90</f>
        <v>0.78445435268496078</v>
      </c>
      <c r="G60" s="252">
        <f>'R7 - Financing'!G89+'R10 - Tax'!G90</f>
        <v>1.1239758688396109</v>
      </c>
      <c r="H60" s="252">
        <f>'R7 - Financing'!H89+'R10 - Tax'!H90</f>
        <v>0.71591948460178578</v>
      </c>
      <c r="I60" s="252">
        <f>'R7 - Financing'!I89+'R10 - Tax'!I90</f>
        <v>-7.1218765388012528E-3</v>
      </c>
      <c r="J60" s="252">
        <f>'R7 - Financing'!J89+'R10 - Tax'!J90</f>
        <v>0.16145549303004181</v>
      </c>
      <c r="K60" s="252">
        <f>'R7 - Financing'!K89+'R10 - Tax'!K90</f>
        <v>0.35147528424564028</v>
      </c>
      <c r="M60" s="97">
        <f>SUM(D60:INDEX(D60:K60,0,MATCH('RFPR cover'!$C$7,$D$6:$K$6,0)))</f>
        <v>3.1299916084569679</v>
      </c>
      <c r="N60" s="97">
        <f>SUM(D60:K60)</f>
        <v>4.3517199937956343</v>
      </c>
      <c r="R60" s="182"/>
    </row>
    <row r="61" spans="2:18">
      <c r="B61" s="257" t="s">
        <v>442</v>
      </c>
      <c r="C61" s="360" t="str">
        <f>'RFPR cover'!$C$14</f>
        <v>£m 12/13</v>
      </c>
      <c r="D61" s="252">
        <f>'R10 - Tax'!D82-'R10 - Tax'!D89</f>
        <v>1.4997675858993196</v>
      </c>
      <c r="E61" s="252">
        <f>'R10 - Tax'!E82-'R10 - Tax'!E89</f>
        <v>6.1750874468333183</v>
      </c>
      <c r="F61" s="252">
        <f>'R10 - Tax'!F82-'R10 - Tax'!F89</f>
        <v>5.1285411142283088</v>
      </c>
      <c r="G61" s="252">
        <f>'R10 - Tax'!G82-'R10 - Tax'!G89</f>
        <v>4.3669243973684688</v>
      </c>
      <c r="H61" s="252">
        <f>'R10 - Tax'!H82-'R10 - Tax'!H89</f>
        <v>-1.7340363387318087</v>
      </c>
      <c r="I61" s="252">
        <f>'R10 - Tax'!I82-'R10 - Tax'!I89</f>
        <v>-1.9110179239032523</v>
      </c>
      <c r="J61" s="252">
        <f>'R10 - Tax'!J82-'R10 - Tax'!J89</f>
        <v>-0.39399012106569686</v>
      </c>
      <c r="K61" s="252">
        <f>'R10 - Tax'!K82-'R10 - Tax'!K89</f>
        <v>-0.30503351456075123</v>
      </c>
      <c r="M61" s="97">
        <f>SUM(D61:INDEX(D61:K61,0,MATCH('RFPR cover'!$C$7,$D$6:$K$6,0)))</f>
        <v>17.170320544329414</v>
      </c>
      <c r="N61" s="97">
        <f>SUM(D61:K61)</f>
        <v>12.826242646067906</v>
      </c>
      <c r="R61" s="182"/>
    </row>
    <row r="62" spans="2:18">
      <c r="B62" s="257" t="s">
        <v>437</v>
      </c>
      <c r="C62" s="360" t="str">
        <f>'RFPR cover'!$C$14</f>
        <v>£m 12/13</v>
      </c>
      <c r="D62" s="252">
        <f>'R10 - Tax'!D84-'R10 - Tax'!D90</f>
        <v>2.2353299349959777E-3</v>
      </c>
      <c r="E62" s="252">
        <f>'R10 - Tax'!E84-'R10 - Tax'!E90</f>
        <v>3.0384854026395125E-3</v>
      </c>
      <c r="F62" s="252">
        <f>'R10 - Tax'!F84-'R10 - Tax'!F90</f>
        <v>2.7958899411706928E-3</v>
      </c>
      <c r="G62" s="252">
        <f>'R10 - Tax'!G84-'R10 - Tax'!G90</f>
        <v>2.3861217657097367E-3</v>
      </c>
      <c r="H62" s="252">
        <f>'R10 - Tax'!H84-'R10 - Tax'!H90</f>
        <v>1.1762237466745873E-3</v>
      </c>
      <c r="I62" s="252">
        <f>'R10 - Tax'!I84-'R10 - Tax'!I90</f>
        <v>-1.0051712743930352E-5</v>
      </c>
      <c r="J62" s="252">
        <f>'R10 - Tax'!J84-'R10 - Tax'!J90</f>
        <v>2.0323889207407575E-4</v>
      </c>
      <c r="K62" s="252">
        <f>'R10 - Tax'!K84-'R10 - Tax'!K90</f>
        <v>4.5807692640825737E-4</v>
      </c>
      <c r="M62" s="97">
        <f>SUM(D62:INDEX(D62:K62,0,MATCH('RFPR cover'!$C$7,$D$6:$K$6,0)))</f>
        <v>1.045582704451592E-2</v>
      </c>
      <c r="N62" s="97">
        <f>SUM(D62:K62)</f>
        <v>1.228331489692891E-2</v>
      </c>
      <c r="R62" s="182"/>
    </row>
    <row r="63" spans="2:18">
      <c r="B63" s="258" t="s">
        <v>104</v>
      </c>
      <c r="C63" s="360" t="str">
        <f>'RFPR cover'!$C$14</f>
        <v>£m 12/13</v>
      </c>
      <c r="D63" s="255">
        <f>SUM(D58:D62)</f>
        <v>27.443503837989553</v>
      </c>
      <c r="E63" s="154">
        <f t="shared" ref="E63:K63" si="17">SUM(E58:E62)</f>
        <v>41.397653973089227</v>
      </c>
      <c r="F63" s="154">
        <f t="shared" si="17"/>
        <v>16.709065966234082</v>
      </c>
      <c r="G63" s="154">
        <f t="shared" si="17"/>
        <v>41.82640758260623</v>
      </c>
      <c r="H63" s="154">
        <f t="shared" si="17"/>
        <v>21.127776491432154</v>
      </c>
      <c r="I63" s="154">
        <f t="shared" si="17"/>
        <v>23.722936564579868</v>
      </c>
      <c r="J63" s="154">
        <f t="shared" si="17"/>
        <v>29.606454897469572</v>
      </c>
      <c r="K63" s="155">
        <f t="shared" si="17"/>
        <v>31.533177306905372</v>
      </c>
      <c r="M63" s="153">
        <f>SUM(M58:M62)</f>
        <v>127.37663135991905</v>
      </c>
      <c r="N63" s="155">
        <f>SUM(N58:N62)</f>
        <v>233.36697662030605</v>
      </c>
      <c r="R63" s="182"/>
    </row>
    <row r="64" spans="2:18">
      <c r="B64" s="257"/>
      <c r="D64" s="446"/>
    </row>
    <row r="65" spans="2:11">
      <c r="B65" s="257" t="s">
        <v>232</v>
      </c>
      <c r="C65" s="360" t="str">
        <f>'RFPR cover'!$C$14</f>
        <v>£m 12/13</v>
      </c>
      <c r="D65" s="251">
        <f>'R9 - RAV'!D46</f>
        <v>293.74831735321192</v>
      </c>
      <c r="E65" s="188">
        <f>'R9 - RAV'!E46</f>
        <v>304.12905234299802</v>
      </c>
      <c r="F65" s="188">
        <f>'R9 - RAV'!F46</f>
        <v>311.27831435479129</v>
      </c>
      <c r="G65" s="188">
        <f>'R9 - RAV'!G46</f>
        <v>318.90794120043694</v>
      </c>
      <c r="H65" s="188">
        <f>'R9 - RAV'!H46</f>
        <v>330.46832048373182</v>
      </c>
      <c r="I65" s="188">
        <f>'R9 - RAV'!I46</f>
        <v>342.3323751584486</v>
      </c>
      <c r="J65" s="188">
        <f>'R9 - RAV'!J46</f>
        <v>353.69712818038209</v>
      </c>
      <c r="K65" s="189">
        <f>'R9 - RAV'!K46</f>
        <v>364.80753600109438</v>
      </c>
    </row>
    <row r="66" spans="2:11">
      <c r="B66" s="257" t="s">
        <v>107</v>
      </c>
      <c r="C66" s="360" t="str">
        <f>'RFPR cover'!$C$14</f>
        <v>£m 12/13</v>
      </c>
      <c r="D66" s="256">
        <f>'R8 - Net Debt'!D62</f>
        <v>307.7485489558203</v>
      </c>
      <c r="E66" s="192">
        <f>'R8 - Net Debt'!E62</f>
        <v>324.0556446566182</v>
      </c>
      <c r="F66" s="192">
        <f>'R8 - Net Debt'!F62</f>
        <v>351.31380018448465</v>
      </c>
      <c r="G66" s="192">
        <f>'R8 - Net Debt'!G62</f>
        <v>367.58583474597123</v>
      </c>
      <c r="H66" s="192">
        <f>'R8 - Net Debt'!H62</f>
        <v>357.41028131172163</v>
      </c>
      <c r="I66" s="192">
        <f>'R8 - Net Debt'!I62</f>
        <v>341.95030927886046</v>
      </c>
      <c r="J66" s="192">
        <f>'R8 - Net Debt'!J62</f>
        <v>370.26762901327771</v>
      </c>
      <c r="K66" s="193">
        <f>'R8 - Net Debt'!K62</f>
        <v>403.23068475437304</v>
      </c>
    </row>
  </sheetData>
  <conditionalFormatting sqref="D5:K6">
    <cfRule type="expression" dxfId="68" priority="4">
      <formula>AND(D$5="Actuals",E$5="Forecast")</formula>
    </cfRule>
  </conditionalFormatting>
  <pageMargins left="0.70866141732283472" right="0.70866141732283472" top="0.74803149606299213" bottom="0.74803149606299213" header="0.31496062992125984" footer="0.31496062992125984"/>
  <pageSetup paperSize="8"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sheetPr>
  <dimension ref="A1:L71"/>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64.375" style="223" customWidth="1"/>
    <col min="3" max="3" width="13.375" style="144" customWidth="1"/>
    <col min="4" max="11" width="11.125" customWidth="1"/>
    <col min="12" max="12" width="5" style="43" customWidth="1"/>
  </cols>
  <sheetData>
    <row r="1" spans="1:12" s="32" customFormat="1" ht="20.25">
      <c r="A1" s="268" t="s">
        <v>119</v>
      </c>
      <c r="B1" s="790"/>
      <c r="C1" s="289"/>
      <c r="D1" s="288"/>
      <c r="E1" s="288"/>
      <c r="F1" s="288"/>
      <c r="G1" s="288"/>
      <c r="H1" s="288"/>
      <c r="I1" s="288"/>
      <c r="J1" s="288"/>
      <c r="K1" s="288"/>
      <c r="L1" s="290"/>
    </row>
    <row r="2" spans="1:12" s="32" customFormat="1" ht="20.25">
      <c r="A2" s="126" t="str">
        <f>'RFPR cover'!C5</f>
        <v>WPD-SWALES</v>
      </c>
      <c r="B2" s="414"/>
      <c r="C2" s="142"/>
      <c r="D2" s="30"/>
      <c r="E2" s="30"/>
      <c r="F2" s="30"/>
      <c r="G2" s="30"/>
      <c r="H2" s="30"/>
      <c r="I2" s="27"/>
      <c r="J2" s="27"/>
      <c r="K2" s="27"/>
      <c r="L2" s="127"/>
    </row>
    <row r="3" spans="1:12" s="32" customFormat="1" ht="20.25">
      <c r="A3" s="273">
        <f>'RFPR cover'!C7</f>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L5" s="55"/>
    </row>
    <row r="6" spans="1:12" s="2" customFormat="1">
      <c r="B6" s="134"/>
      <c r="C6" s="144"/>
      <c r="D6" s="92">
        <f>'RFPR cover'!$C$13</f>
        <v>2016</v>
      </c>
      <c r="E6" s="93">
        <f>D6+1</f>
        <v>2017</v>
      </c>
      <c r="F6" s="93">
        <f t="shared" ref="F6:K6" si="0">E6+1</f>
        <v>2018</v>
      </c>
      <c r="G6" s="93">
        <f t="shared" si="0"/>
        <v>2019</v>
      </c>
      <c r="H6" s="93">
        <f t="shared" si="0"/>
        <v>2020</v>
      </c>
      <c r="I6" s="93">
        <f t="shared" si="0"/>
        <v>2021</v>
      </c>
      <c r="J6" s="93">
        <f t="shared" si="0"/>
        <v>2022</v>
      </c>
      <c r="K6" s="93">
        <f t="shared" si="0"/>
        <v>2023</v>
      </c>
      <c r="L6" s="55"/>
    </row>
    <row r="7" spans="1:12" s="2" customFormat="1">
      <c r="B7" s="791"/>
      <c r="C7" s="160"/>
      <c r="D7" s="51"/>
      <c r="E7" s="51"/>
      <c r="F7" s="51"/>
      <c r="G7" s="51"/>
      <c r="H7" s="51"/>
      <c r="I7" s="51"/>
      <c r="J7" s="51"/>
      <c r="K7" s="51"/>
      <c r="L7" s="59"/>
    </row>
    <row r="8" spans="1:12" s="2" customFormat="1">
      <c r="B8" s="792" t="s">
        <v>155</v>
      </c>
      <c r="C8" s="158"/>
      <c r="D8" s="82"/>
      <c r="E8" s="82"/>
      <c r="F8" s="82"/>
      <c r="G8" s="82"/>
      <c r="H8" s="82"/>
      <c r="I8" s="82"/>
      <c r="J8" s="82"/>
      <c r="K8" s="82"/>
      <c r="L8" s="286"/>
    </row>
    <row r="9" spans="1:12" s="36" customFormat="1">
      <c r="A9" s="2"/>
      <c r="B9" s="793"/>
      <c r="C9" s="146"/>
      <c r="L9" s="59"/>
    </row>
    <row r="10" spans="1:12" s="2" customFormat="1">
      <c r="B10" s="794" t="s">
        <v>389</v>
      </c>
      <c r="C10" s="159" t="str">
        <f>'RFPR cover'!$C$14</f>
        <v>£m 12/13</v>
      </c>
      <c r="D10" s="621">
        <v>198.7</v>
      </c>
      <c r="E10" s="622">
        <v>203.6</v>
      </c>
      <c r="F10" s="622">
        <v>208.2</v>
      </c>
      <c r="G10" s="622">
        <v>210.3</v>
      </c>
      <c r="H10" s="622"/>
      <c r="I10" s="622"/>
      <c r="J10" s="622"/>
      <c r="K10" s="622"/>
      <c r="L10" s="59"/>
    </row>
    <row r="11" spans="1:12" s="2" customFormat="1">
      <c r="B11" s="794" t="s">
        <v>390</v>
      </c>
      <c r="C11" s="159" t="str">
        <f>'RFPR cover'!$C$14</f>
        <v>£m 12/13</v>
      </c>
      <c r="D11" s="623">
        <v>0</v>
      </c>
      <c r="E11" s="624">
        <v>-0.1</v>
      </c>
      <c r="F11" s="624">
        <v>-2.9</v>
      </c>
      <c r="G11" s="624">
        <v>-4.8</v>
      </c>
      <c r="H11" s="624"/>
      <c r="I11" s="624"/>
      <c r="J11" s="624"/>
      <c r="K11" s="624"/>
      <c r="L11" s="59"/>
    </row>
    <row r="12" spans="1:12" s="2" customFormat="1">
      <c r="B12" s="794" t="s">
        <v>147</v>
      </c>
      <c r="C12" s="159" t="str">
        <f>'RFPR cover'!$C$14</f>
        <v>£m 12/13</v>
      </c>
      <c r="D12" s="623">
        <v>0</v>
      </c>
      <c r="E12" s="624">
        <v>0</v>
      </c>
      <c r="F12" s="624">
        <v>-4.3816203582429871</v>
      </c>
      <c r="G12" s="624">
        <v>-0.80136571156188618</v>
      </c>
      <c r="H12" s="624"/>
      <c r="I12" s="624"/>
      <c r="J12" s="624"/>
      <c r="K12" s="624"/>
      <c r="L12" s="59"/>
    </row>
    <row r="13" spans="1:12" s="2" customFormat="1">
      <c r="B13" s="794" t="s">
        <v>378</v>
      </c>
      <c r="C13" s="160" t="s">
        <v>127</v>
      </c>
      <c r="D13" s="844">
        <v>1.0820000000000001</v>
      </c>
      <c r="E13" s="845">
        <v>1.087</v>
      </c>
      <c r="F13" s="845">
        <v>1.121</v>
      </c>
      <c r="G13" s="845">
        <v>1.159</v>
      </c>
      <c r="H13" s="845"/>
      <c r="I13" s="845"/>
      <c r="J13" s="845"/>
      <c r="K13" s="845"/>
      <c r="L13" s="59"/>
    </row>
    <row r="14" spans="1:12" s="2" customFormat="1">
      <c r="B14" s="795" t="s">
        <v>196</v>
      </c>
      <c r="C14" s="280" t="s">
        <v>128</v>
      </c>
      <c r="D14" s="656">
        <f>SUM(D10:D12)*D13</f>
        <v>214.99340000000001</v>
      </c>
      <c r="E14" s="657">
        <f t="shared" ref="E14:K14" si="1">SUM(E10:E12)*E13</f>
        <v>221.2045</v>
      </c>
      <c r="F14" s="657">
        <f t="shared" si="1"/>
        <v>225.22950357840958</v>
      </c>
      <c r="G14" s="657">
        <f t="shared" si="1"/>
        <v>237.24571714029977</v>
      </c>
      <c r="H14" s="657">
        <f t="shared" si="1"/>
        <v>0</v>
      </c>
      <c r="I14" s="657">
        <f t="shared" si="1"/>
        <v>0</v>
      </c>
      <c r="J14" s="657">
        <f t="shared" si="1"/>
        <v>0</v>
      </c>
      <c r="K14" s="658">
        <f t="shared" si="1"/>
        <v>0</v>
      </c>
      <c r="L14" s="59"/>
    </row>
    <row r="15" spans="1:12" s="2" customFormat="1">
      <c r="B15" s="223" t="s">
        <v>131</v>
      </c>
      <c r="C15" s="160" t="s">
        <v>128</v>
      </c>
      <c r="D15" s="625">
        <f>'R5 - Output Incentives'!D102</f>
        <v>6.3768655592999988</v>
      </c>
      <c r="E15" s="626">
        <f>'R5 - Output Incentives'!E102</f>
        <v>6.3824136960794364</v>
      </c>
      <c r="F15" s="627">
        <f>'R5 - Output Incentives'!F102</f>
        <v>8.489102325617857</v>
      </c>
      <c r="G15" s="627">
        <f>'R5 - Output Incentives'!G102</f>
        <v>9.2338242356814355</v>
      </c>
      <c r="H15" s="627">
        <f>'R5 - Output Incentives'!H102</f>
        <v>7.1222293679193873</v>
      </c>
      <c r="I15" s="627">
        <f>'R5 - Output Incentives'!I102</f>
        <v>10.346397619146224</v>
      </c>
      <c r="J15" s="627">
        <f>'R5 - Output Incentives'!J102</f>
        <v>9.018400244699718</v>
      </c>
      <c r="K15" s="628">
        <f>'R5 - Output Incentives'!K102</f>
        <v>9.072985702492403</v>
      </c>
      <c r="L15" s="59"/>
    </row>
    <row r="16" spans="1:12" s="2" customFormat="1">
      <c r="B16" s="796" t="s">
        <v>391</v>
      </c>
      <c r="C16" s="160" t="s">
        <v>128</v>
      </c>
      <c r="D16" s="623">
        <v>0</v>
      </c>
      <c r="E16" s="624">
        <v>0</v>
      </c>
      <c r="F16" s="624">
        <v>3.7551331511570671</v>
      </c>
      <c r="G16" s="624">
        <v>1.6318803380130085</v>
      </c>
      <c r="H16" s="624"/>
      <c r="I16" s="624"/>
      <c r="J16" s="624"/>
      <c r="K16" s="624"/>
      <c r="L16" s="59"/>
    </row>
    <row r="17" spans="2:12" s="2" customFormat="1">
      <c r="B17" s="796" t="s">
        <v>134</v>
      </c>
      <c r="C17" s="160" t="s">
        <v>128</v>
      </c>
      <c r="D17" s="625">
        <f>'R6 - Innovation'!D12</f>
        <v>0.21694374899999994</v>
      </c>
      <c r="E17" s="626">
        <f>'R6 - Innovation'!E12</f>
        <v>0.76123361700000014</v>
      </c>
      <c r="F17" s="627">
        <f>'R6 - Innovation'!F12</f>
        <v>1.0520399999999999</v>
      </c>
      <c r="G17" s="627">
        <f>'R6 - Innovation'!G12</f>
        <v>0.64313999999999993</v>
      </c>
      <c r="H17" s="627">
        <f>'R6 - Innovation'!H12</f>
        <v>0.97730036099999995</v>
      </c>
      <c r="I17" s="627">
        <f>'R6 - Innovation'!I12</f>
        <v>0.97730036099999995</v>
      </c>
      <c r="J17" s="627">
        <f>'R6 - Innovation'!J12</f>
        <v>0.78184028880000001</v>
      </c>
      <c r="K17" s="628">
        <f>'R6 - Innovation'!K12</f>
        <v>0.54728820215999996</v>
      </c>
      <c r="L17" s="59"/>
    </row>
    <row r="18" spans="2:12" s="2" customFormat="1">
      <c r="B18" s="796" t="s">
        <v>133</v>
      </c>
      <c r="C18" s="160" t="s">
        <v>128</v>
      </c>
      <c r="D18" s="625">
        <f>'R6 - Innovation'!D17</f>
        <v>0.77248340000000004</v>
      </c>
      <c r="E18" s="626">
        <f>'R6 - Innovation'!E17</f>
        <v>4.1034769999999998E-2</v>
      </c>
      <c r="F18" s="627">
        <f>'R6 - Innovation'!F17</f>
        <v>0.11890733000000001</v>
      </c>
      <c r="G18" s="627">
        <f>'R6 - Innovation'!G17</f>
        <v>0.32313185999999999</v>
      </c>
      <c r="H18" s="627">
        <f>'R6 - Innovation'!H17</f>
        <v>4.4316729999999999E-2</v>
      </c>
      <c r="I18" s="627">
        <f>'R6 - Innovation'!I17</f>
        <v>4.4316729999999999E-2</v>
      </c>
      <c r="J18" s="627">
        <f>'R6 - Innovation'!J17</f>
        <v>4.4316729999999999E-2</v>
      </c>
      <c r="K18" s="628">
        <f>'R6 - Innovation'!K17</f>
        <v>4.4316729999999999E-2</v>
      </c>
      <c r="L18" s="59"/>
    </row>
    <row r="19" spans="2:12" s="2" customFormat="1">
      <c r="B19" s="933" t="s">
        <v>551</v>
      </c>
      <c r="C19" s="160" t="s">
        <v>128</v>
      </c>
      <c r="D19" s="623">
        <v>-6.5175072810179859</v>
      </c>
      <c r="E19" s="624">
        <v>-1.3695501806035144</v>
      </c>
      <c r="F19" s="624">
        <v>0</v>
      </c>
      <c r="G19" s="624">
        <v>0</v>
      </c>
      <c r="H19" s="624"/>
      <c r="I19" s="624"/>
      <c r="J19" s="624"/>
      <c r="K19" s="624"/>
      <c r="L19" s="59"/>
    </row>
    <row r="20" spans="2:12" s="2" customFormat="1">
      <c r="B20" s="568" t="s">
        <v>243</v>
      </c>
      <c r="C20" s="160" t="s">
        <v>128</v>
      </c>
      <c r="D20" s="623">
        <v>0</v>
      </c>
      <c r="E20" s="624">
        <v>0</v>
      </c>
      <c r="F20" s="624">
        <v>0</v>
      </c>
      <c r="G20" s="624">
        <v>0</v>
      </c>
      <c r="H20" s="624"/>
      <c r="I20" s="624"/>
      <c r="J20" s="624"/>
      <c r="K20" s="624"/>
      <c r="L20" s="59"/>
    </row>
    <row r="21" spans="2:12" s="2" customFormat="1">
      <c r="B21" s="568" t="s">
        <v>243</v>
      </c>
      <c r="C21" s="160" t="s">
        <v>128</v>
      </c>
      <c r="D21" s="623">
        <v>0</v>
      </c>
      <c r="E21" s="624">
        <v>0</v>
      </c>
      <c r="F21" s="624">
        <v>0</v>
      </c>
      <c r="G21" s="624">
        <v>0</v>
      </c>
      <c r="H21" s="624"/>
      <c r="I21" s="624"/>
      <c r="J21" s="624"/>
      <c r="K21" s="624"/>
      <c r="L21" s="59"/>
    </row>
    <row r="22" spans="2:12" s="2" customFormat="1">
      <c r="B22" s="568" t="s">
        <v>243</v>
      </c>
      <c r="C22" s="160" t="s">
        <v>128</v>
      </c>
      <c r="D22" s="623">
        <v>0</v>
      </c>
      <c r="E22" s="624">
        <v>0</v>
      </c>
      <c r="F22" s="624">
        <v>0</v>
      </c>
      <c r="G22" s="624">
        <v>0</v>
      </c>
      <c r="H22" s="624"/>
      <c r="I22" s="624"/>
      <c r="J22" s="624"/>
      <c r="K22" s="624"/>
      <c r="L22" s="59"/>
    </row>
    <row r="23" spans="2:12" s="2" customFormat="1">
      <c r="B23" s="568" t="s">
        <v>243</v>
      </c>
      <c r="C23" s="160" t="s">
        <v>128</v>
      </c>
      <c r="D23" s="623">
        <v>0</v>
      </c>
      <c r="E23" s="624">
        <v>0</v>
      </c>
      <c r="F23" s="624">
        <v>0</v>
      </c>
      <c r="G23" s="624">
        <v>0</v>
      </c>
      <c r="H23" s="624"/>
      <c r="I23" s="624"/>
      <c r="J23" s="624"/>
      <c r="K23" s="624"/>
      <c r="L23" s="59"/>
    </row>
    <row r="24" spans="2:12" s="2" customFormat="1">
      <c r="B24" s="568" t="s">
        <v>243</v>
      </c>
      <c r="C24" s="160" t="s">
        <v>128</v>
      </c>
      <c r="D24" s="623">
        <v>0</v>
      </c>
      <c r="E24" s="624">
        <v>0</v>
      </c>
      <c r="F24" s="624">
        <v>0</v>
      </c>
      <c r="G24" s="624">
        <v>0</v>
      </c>
      <c r="H24" s="624"/>
      <c r="I24" s="624"/>
      <c r="J24" s="624"/>
      <c r="K24" s="624"/>
      <c r="L24" s="59"/>
    </row>
    <row r="25" spans="2:12" s="2" customFormat="1">
      <c r="B25" s="796" t="s">
        <v>135</v>
      </c>
      <c r="C25" s="160" t="s">
        <v>128</v>
      </c>
      <c r="D25" s="623">
        <v>0</v>
      </c>
      <c r="E25" s="624">
        <v>-11.355385148499607</v>
      </c>
      <c r="F25" s="624">
        <v>-3.2351157673678363</v>
      </c>
      <c r="G25" s="624">
        <v>1.6015813780968391</v>
      </c>
      <c r="H25" s="624"/>
      <c r="I25" s="624"/>
      <c r="J25" s="624"/>
      <c r="K25" s="624"/>
      <c r="L25" s="59"/>
    </row>
    <row r="26" spans="2:12" s="2" customFormat="1">
      <c r="B26" s="791" t="s">
        <v>148</v>
      </c>
      <c r="C26" s="160" t="s">
        <v>128</v>
      </c>
      <c r="D26" s="629">
        <f>SUM(D14:D24,-D25)</f>
        <v>215.842185427282</v>
      </c>
      <c r="E26" s="630">
        <f t="shared" ref="E26:K26" si="2">SUM(E14:E24,-E25)</f>
        <v>238.37501705097552</v>
      </c>
      <c r="F26" s="630">
        <f t="shared" si="2"/>
        <v>241.87980215255234</v>
      </c>
      <c r="G26" s="630">
        <f t="shared" si="2"/>
        <v>247.47611219589734</v>
      </c>
      <c r="H26" s="630">
        <f t="shared" si="2"/>
        <v>8.1438464589193877</v>
      </c>
      <c r="I26" s="630">
        <f t="shared" si="2"/>
        <v>11.368014710146223</v>
      </c>
      <c r="J26" s="630">
        <f t="shared" si="2"/>
        <v>9.844557263499718</v>
      </c>
      <c r="K26" s="631">
        <f t="shared" si="2"/>
        <v>9.664590634652404</v>
      </c>
      <c r="L26" s="59"/>
    </row>
    <row r="27" spans="2:12" s="2" customFormat="1">
      <c r="B27" s="235"/>
      <c r="C27" s="146"/>
      <c r="D27" s="56"/>
      <c r="E27" s="56"/>
      <c r="F27" s="56"/>
      <c r="G27" s="62"/>
      <c r="H27" s="62"/>
      <c r="I27" s="62"/>
      <c r="J27" s="62"/>
      <c r="K27" s="62"/>
      <c r="L27" s="59"/>
    </row>
    <row r="28" spans="2:12" s="2" customFormat="1">
      <c r="B28" s="235" t="s">
        <v>150</v>
      </c>
      <c r="C28" s="146"/>
      <c r="D28" s="629">
        <f>IF(ISBLANK(D33),0,D33-D26)</f>
        <v>-3.1145116372819643</v>
      </c>
      <c r="E28" s="630">
        <f t="shared" ref="E28:K28" si="3">IF(ISBLANK(E33),0,E33-E26)</f>
        <v>1.5441041790244867</v>
      </c>
      <c r="F28" s="630">
        <f t="shared" si="3"/>
        <v>-5.3587181625523499</v>
      </c>
      <c r="G28" s="630">
        <f t="shared" si="3"/>
        <v>1.4587082141026997</v>
      </c>
      <c r="H28" s="630">
        <f t="shared" si="3"/>
        <v>0</v>
      </c>
      <c r="I28" s="630">
        <f t="shared" si="3"/>
        <v>0</v>
      </c>
      <c r="J28" s="630">
        <f t="shared" si="3"/>
        <v>0</v>
      </c>
      <c r="K28" s="631">
        <f t="shared" si="3"/>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792" t="s">
        <v>193</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793" t="s">
        <v>149</v>
      </c>
      <c r="C33" s="146"/>
      <c r="D33" s="665">
        <v>212.72767379000004</v>
      </c>
      <c r="E33" s="666">
        <v>239.91912123</v>
      </c>
      <c r="F33" s="666">
        <v>236.52108398999999</v>
      </c>
      <c r="G33" s="666">
        <v>248.93482041000004</v>
      </c>
      <c r="H33" s="666"/>
      <c r="I33" s="666"/>
      <c r="J33" s="666"/>
      <c r="K33" s="667"/>
      <c r="L33" s="59"/>
    </row>
    <row r="34" spans="2:12" s="2" customFormat="1">
      <c r="B34" s="134"/>
      <c r="C34" s="144"/>
      <c r="L34" s="59"/>
    </row>
    <row r="35" spans="2:12" s="2" customFormat="1">
      <c r="B35" s="417" t="s">
        <v>136</v>
      </c>
      <c r="C35" s="144"/>
      <c r="L35" s="59"/>
    </row>
    <row r="36" spans="2:12" s="2" customFormat="1">
      <c r="B36" s="925" t="s">
        <v>137</v>
      </c>
      <c r="C36" s="160" t="s">
        <v>128</v>
      </c>
      <c r="D36" s="621">
        <v>0</v>
      </c>
      <c r="E36" s="622">
        <v>0</v>
      </c>
      <c r="F36" s="622">
        <v>0</v>
      </c>
      <c r="G36" s="622">
        <v>0</v>
      </c>
      <c r="H36" s="622"/>
      <c r="I36" s="622"/>
      <c r="J36" s="622"/>
      <c r="K36" s="632"/>
      <c r="L36" s="59"/>
    </row>
    <row r="37" spans="2:12" s="2" customFormat="1">
      <c r="B37" s="925" t="s">
        <v>138</v>
      </c>
      <c r="C37" s="160" t="s">
        <v>128</v>
      </c>
      <c r="D37" s="623">
        <v>1.2174</v>
      </c>
      <c r="E37" s="624">
        <v>1.1036000000000001</v>
      </c>
      <c r="F37" s="624">
        <v>0.98809999999999998</v>
      </c>
      <c r="G37" s="624">
        <v>0.93400000000000005</v>
      </c>
      <c r="H37" s="624"/>
      <c r="I37" s="624"/>
      <c r="J37" s="624"/>
      <c r="K37" s="633"/>
      <c r="L37" s="59"/>
    </row>
    <row r="38" spans="2:12" s="2" customFormat="1">
      <c r="B38" s="925" t="s">
        <v>139</v>
      </c>
      <c r="C38" s="160" t="s">
        <v>128</v>
      </c>
      <c r="D38" s="623">
        <v>4.1289999999999996</v>
      </c>
      <c r="E38" s="624">
        <v>37.105240045750001</v>
      </c>
      <c r="F38" s="624">
        <v>37.630099999999999</v>
      </c>
      <c r="G38" s="624">
        <v>23.5501</v>
      </c>
      <c r="H38" s="624"/>
      <c r="I38" s="624"/>
      <c r="J38" s="624"/>
      <c r="K38" s="633"/>
      <c r="L38" s="59"/>
    </row>
    <row r="39" spans="2:12" s="2" customFormat="1">
      <c r="B39" s="925" t="s">
        <v>140</v>
      </c>
      <c r="C39" s="160" t="s">
        <v>128</v>
      </c>
      <c r="D39" s="623">
        <v>0</v>
      </c>
      <c r="E39" s="624">
        <v>0</v>
      </c>
      <c r="F39" s="624">
        <v>0</v>
      </c>
      <c r="G39" s="624">
        <v>0</v>
      </c>
      <c r="H39" s="624"/>
      <c r="I39" s="624"/>
      <c r="J39" s="624"/>
      <c r="K39" s="633"/>
      <c r="L39" s="59"/>
    </row>
    <row r="40" spans="2:12" s="2" customFormat="1">
      <c r="B40" s="925" t="s">
        <v>141</v>
      </c>
      <c r="C40" s="160" t="s">
        <v>128</v>
      </c>
      <c r="D40" s="623">
        <v>0</v>
      </c>
      <c r="E40" s="624">
        <v>0</v>
      </c>
      <c r="F40" s="624">
        <v>0</v>
      </c>
      <c r="G40" s="624">
        <v>0</v>
      </c>
      <c r="H40" s="624"/>
      <c r="I40" s="624"/>
      <c r="J40" s="624"/>
      <c r="K40" s="633"/>
      <c r="L40" s="59"/>
    </row>
    <row r="41" spans="2:12" s="2" customFormat="1">
      <c r="B41" s="925" t="s">
        <v>142</v>
      </c>
      <c r="C41" s="160" t="s">
        <v>128</v>
      </c>
      <c r="D41" s="623">
        <v>2.4264000000000001</v>
      </c>
      <c r="E41" s="624">
        <v>2.1886000000000001</v>
      </c>
      <c r="F41" s="624">
        <v>4.0274999999999999</v>
      </c>
      <c r="G41" s="624">
        <v>5.0038</v>
      </c>
      <c r="H41" s="624"/>
      <c r="I41" s="624"/>
      <c r="J41" s="624"/>
      <c r="K41" s="633"/>
      <c r="L41" s="59"/>
    </row>
    <row r="42" spans="2:12" s="2" customFormat="1">
      <c r="B42" s="925" t="s">
        <v>143</v>
      </c>
      <c r="C42" s="160" t="s">
        <v>128</v>
      </c>
      <c r="D42" s="623">
        <v>0</v>
      </c>
      <c r="E42" s="624">
        <v>0</v>
      </c>
      <c r="F42" s="624">
        <v>0</v>
      </c>
      <c r="G42" s="624">
        <v>0</v>
      </c>
      <c r="H42" s="624"/>
      <c r="I42" s="624"/>
      <c r="J42" s="624"/>
      <c r="K42" s="633"/>
      <c r="L42" s="59"/>
    </row>
    <row r="43" spans="2:12" s="2" customFormat="1">
      <c r="B43" s="926" t="s">
        <v>144</v>
      </c>
      <c r="C43" s="160" t="s">
        <v>128</v>
      </c>
      <c r="D43" s="623">
        <v>0</v>
      </c>
      <c r="E43" s="624">
        <v>0</v>
      </c>
      <c r="F43" s="624">
        <v>0</v>
      </c>
      <c r="G43" s="635">
        <v>0</v>
      </c>
      <c r="H43" s="635"/>
      <c r="I43" s="635"/>
      <c r="J43" s="635"/>
      <c r="K43" s="636"/>
      <c r="L43" s="59"/>
    </row>
    <row r="44" spans="2:12" s="2" customFormat="1">
      <c r="B44" s="924" t="s">
        <v>531</v>
      </c>
      <c r="C44" s="160" t="s">
        <v>128</v>
      </c>
      <c r="D44" s="634">
        <v>0</v>
      </c>
      <c r="E44" s="635">
        <v>0</v>
      </c>
      <c r="F44" s="635">
        <v>0</v>
      </c>
      <c r="G44" s="635">
        <v>0</v>
      </c>
      <c r="H44" s="635"/>
      <c r="I44" s="635"/>
      <c r="J44" s="635"/>
      <c r="K44" s="636"/>
      <c r="L44" s="59"/>
    </row>
    <row r="45" spans="2:12" s="2" customFormat="1">
      <c r="B45" s="417" t="s">
        <v>176</v>
      </c>
      <c r="C45" s="160" t="s">
        <v>128</v>
      </c>
      <c r="D45" s="637">
        <f>SUM(D36:D44)</f>
        <v>7.7727999999999993</v>
      </c>
      <c r="E45" s="638">
        <f t="shared" ref="E45:K45" si="4">SUM(E36:E44)</f>
        <v>40.397440045750002</v>
      </c>
      <c r="F45" s="638">
        <f t="shared" si="4"/>
        <v>42.645700000000005</v>
      </c>
      <c r="G45" s="638">
        <f t="shared" si="4"/>
        <v>29.487900000000003</v>
      </c>
      <c r="H45" s="638">
        <f t="shared" si="4"/>
        <v>0</v>
      </c>
      <c r="I45" s="638">
        <f t="shared" si="4"/>
        <v>0</v>
      </c>
      <c r="J45" s="638">
        <f t="shared" si="4"/>
        <v>0</v>
      </c>
      <c r="K45" s="639">
        <f t="shared" si="4"/>
        <v>0</v>
      </c>
      <c r="L45" s="59"/>
    </row>
    <row r="46" spans="2:12" s="2" customFormat="1">
      <c r="B46" s="134"/>
      <c r="C46" s="144"/>
      <c r="L46" s="59"/>
    </row>
    <row r="47" spans="2:12" s="2" customFormat="1">
      <c r="B47" s="417" t="s">
        <v>145</v>
      </c>
      <c r="C47" s="144"/>
      <c r="L47" s="55"/>
    </row>
    <row r="48" spans="2:12" s="2" customFormat="1">
      <c r="B48" s="933" t="s">
        <v>545</v>
      </c>
      <c r="C48" s="160" t="s">
        <v>128</v>
      </c>
      <c r="D48" s="640">
        <v>1.4123940700000002</v>
      </c>
      <c r="E48" s="641">
        <v>1.5781962919999999</v>
      </c>
      <c r="F48" s="641">
        <v>1.9098928800000003</v>
      </c>
      <c r="G48" s="641">
        <v>1.71462746</v>
      </c>
      <c r="H48" s="641"/>
      <c r="I48" s="641"/>
      <c r="J48" s="641"/>
      <c r="K48" s="642"/>
      <c r="L48" s="59"/>
    </row>
    <row r="49" spans="2:12" s="2" customFormat="1">
      <c r="B49" s="933" t="s">
        <v>546</v>
      </c>
      <c r="C49" s="160" t="s">
        <v>128</v>
      </c>
      <c r="D49" s="643">
        <v>-0.33719300000000002</v>
      </c>
      <c r="E49" s="644">
        <v>-0.35262568001</v>
      </c>
      <c r="F49" s="644">
        <v>-0.27200004</v>
      </c>
      <c r="G49" s="644">
        <v>-0.27158536</v>
      </c>
      <c r="H49" s="644"/>
      <c r="I49" s="644"/>
      <c r="J49" s="644"/>
      <c r="K49" s="645"/>
      <c r="L49" s="59"/>
    </row>
    <row r="50" spans="2:12" s="2" customFormat="1">
      <c r="B50" s="933" t="s">
        <v>547</v>
      </c>
      <c r="C50" s="160" t="s">
        <v>128</v>
      </c>
      <c r="D50" s="643">
        <v>-0.96548358000000012</v>
      </c>
      <c r="E50" s="644">
        <v>1.6866510799999999</v>
      </c>
      <c r="F50" s="644">
        <v>-1.0636072700000001</v>
      </c>
      <c r="G50" s="644">
        <v>-0.52263194000000002</v>
      </c>
      <c r="H50" s="644"/>
      <c r="I50" s="644"/>
      <c r="J50" s="644"/>
      <c r="K50" s="645"/>
      <c r="L50" s="59"/>
    </row>
    <row r="51" spans="2:12" s="2" customFormat="1">
      <c r="B51" s="933" t="s">
        <v>548</v>
      </c>
      <c r="C51" s="160" t="s">
        <v>128</v>
      </c>
      <c r="D51" s="643">
        <v>25.659099999999999</v>
      </c>
      <c r="E51" s="644">
        <v>0</v>
      </c>
      <c r="F51" s="644">
        <v>0</v>
      </c>
      <c r="G51" s="644">
        <v>0</v>
      </c>
      <c r="H51" s="644"/>
      <c r="I51" s="644"/>
      <c r="J51" s="644"/>
      <c r="K51" s="645"/>
      <c r="L51" s="59"/>
    </row>
    <row r="52" spans="2:12" s="2" customFormat="1">
      <c r="B52" s="933" t="s">
        <v>549</v>
      </c>
      <c r="C52" s="160" t="s">
        <v>128</v>
      </c>
      <c r="D52" s="643">
        <v>-26.252399999999998</v>
      </c>
      <c r="E52" s="644">
        <v>-31.95034004575</v>
      </c>
      <c r="F52" s="644">
        <v>-33.854799999999997</v>
      </c>
      <c r="G52" s="644">
        <v>-20.103242189015599</v>
      </c>
      <c r="H52" s="644"/>
      <c r="I52" s="644"/>
      <c r="J52" s="644"/>
      <c r="K52" s="645"/>
      <c r="L52" s="59"/>
    </row>
    <row r="53" spans="2:12" s="2" customFormat="1">
      <c r="B53" s="933" t="s">
        <v>550</v>
      </c>
      <c r="C53" s="160" t="s">
        <v>128</v>
      </c>
      <c r="D53" s="643">
        <v>0.59330000000000005</v>
      </c>
      <c r="E53" s="644">
        <v>0</v>
      </c>
      <c r="F53" s="644">
        <v>0</v>
      </c>
      <c r="G53" s="644">
        <v>0</v>
      </c>
      <c r="H53" s="644"/>
      <c r="I53" s="644"/>
      <c r="J53" s="644"/>
      <c r="K53" s="645"/>
      <c r="L53" s="59"/>
    </row>
    <row r="54" spans="2:12" s="2" customFormat="1">
      <c r="B54" s="568" t="s">
        <v>552</v>
      </c>
      <c r="C54" s="160" t="s">
        <v>128</v>
      </c>
      <c r="D54" s="643">
        <v>0</v>
      </c>
      <c r="E54" s="644">
        <v>0</v>
      </c>
      <c r="F54" s="644">
        <v>0</v>
      </c>
      <c r="G54" s="644">
        <v>0</v>
      </c>
      <c r="H54" s="644"/>
      <c r="I54" s="644"/>
      <c r="J54" s="644"/>
      <c r="K54" s="645"/>
      <c r="L54" s="59"/>
    </row>
    <row r="55" spans="2:12" s="2" customFormat="1">
      <c r="B55" s="568" t="s">
        <v>243</v>
      </c>
      <c r="C55" s="160" t="s">
        <v>128</v>
      </c>
      <c r="D55" s="643"/>
      <c r="E55" s="644"/>
      <c r="F55" s="644"/>
      <c r="G55" s="644"/>
      <c r="H55" s="644"/>
      <c r="I55" s="644"/>
      <c r="J55" s="644"/>
      <c r="K55" s="645"/>
      <c r="L55" s="59"/>
    </row>
    <row r="56" spans="2:12" s="2" customFormat="1">
      <c r="B56" s="568" t="s">
        <v>243</v>
      </c>
      <c r="C56" s="160" t="s">
        <v>128</v>
      </c>
      <c r="D56" s="643"/>
      <c r="E56" s="644"/>
      <c r="F56" s="644"/>
      <c r="G56" s="644"/>
      <c r="H56" s="644"/>
      <c r="I56" s="644"/>
      <c r="J56" s="644"/>
      <c r="K56" s="645"/>
      <c r="L56" s="59"/>
    </row>
    <row r="57" spans="2:12" s="2" customFormat="1">
      <c r="B57" s="568" t="s">
        <v>243</v>
      </c>
      <c r="C57" s="160" t="s">
        <v>128</v>
      </c>
      <c r="D57" s="643"/>
      <c r="E57" s="644"/>
      <c r="F57" s="644"/>
      <c r="G57" s="644"/>
      <c r="H57" s="644"/>
      <c r="I57" s="644"/>
      <c r="J57" s="644"/>
      <c r="K57" s="645"/>
      <c r="L57" s="59"/>
    </row>
    <row r="58" spans="2:12" s="2" customFormat="1">
      <c r="B58" s="568" t="s">
        <v>243</v>
      </c>
      <c r="C58" s="160" t="s">
        <v>128</v>
      </c>
      <c r="D58" s="643"/>
      <c r="E58" s="644"/>
      <c r="F58" s="644"/>
      <c r="G58" s="644"/>
      <c r="H58" s="644"/>
      <c r="I58" s="644"/>
      <c r="J58" s="644"/>
      <c r="K58" s="645"/>
      <c r="L58" s="59"/>
    </row>
    <row r="59" spans="2:12" s="2" customFormat="1">
      <c r="B59" s="568" t="s">
        <v>243</v>
      </c>
      <c r="C59" s="160" t="s">
        <v>128</v>
      </c>
      <c r="D59" s="643"/>
      <c r="E59" s="644"/>
      <c r="F59" s="644"/>
      <c r="G59" s="644"/>
      <c r="H59" s="644"/>
      <c r="I59" s="644"/>
      <c r="J59" s="644"/>
      <c r="K59" s="645"/>
      <c r="L59" s="59"/>
    </row>
    <row r="60" spans="2:12" s="2" customFormat="1">
      <c r="B60" s="568" t="s">
        <v>243</v>
      </c>
      <c r="C60" s="160" t="s">
        <v>128</v>
      </c>
      <c r="D60" s="643"/>
      <c r="E60" s="644"/>
      <c r="F60" s="644"/>
      <c r="G60" s="644"/>
      <c r="H60" s="644"/>
      <c r="I60" s="644"/>
      <c r="J60" s="644"/>
      <c r="K60" s="645"/>
      <c r="L60" s="59"/>
    </row>
    <row r="61" spans="2:12" s="2" customFormat="1">
      <c r="B61" s="568" t="s">
        <v>243</v>
      </c>
      <c r="C61" s="160" t="s">
        <v>128</v>
      </c>
      <c r="D61" s="643"/>
      <c r="E61" s="644"/>
      <c r="F61" s="644"/>
      <c r="G61" s="644"/>
      <c r="H61" s="644"/>
      <c r="I61" s="644"/>
      <c r="J61" s="644"/>
      <c r="K61" s="645"/>
      <c r="L61" s="59"/>
    </row>
    <row r="62" spans="2:12" s="2" customFormat="1">
      <c r="B62" s="568" t="s">
        <v>243</v>
      </c>
      <c r="C62" s="160" t="s">
        <v>128</v>
      </c>
      <c r="D62" s="643"/>
      <c r="E62" s="644"/>
      <c r="F62" s="644"/>
      <c r="G62" s="644"/>
      <c r="H62" s="644"/>
      <c r="I62" s="644"/>
      <c r="J62" s="644"/>
      <c r="K62" s="645"/>
      <c r="L62" s="59"/>
    </row>
    <row r="63" spans="2:12" s="2" customFormat="1">
      <c r="B63" s="797" t="s">
        <v>154</v>
      </c>
      <c r="C63" s="160" t="s">
        <v>128</v>
      </c>
      <c r="D63" s="646">
        <v>0</v>
      </c>
      <c r="E63" s="647">
        <v>0</v>
      </c>
      <c r="F63" s="648">
        <v>0</v>
      </c>
      <c r="G63" s="647">
        <v>0</v>
      </c>
      <c r="H63" s="647"/>
      <c r="I63" s="647"/>
      <c r="J63" s="647"/>
      <c r="K63" s="649"/>
      <c r="L63" s="59"/>
    </row>
    <row r="64" spans="2:12" s="2" customFormat="1">
      <c r="B64" s="793" t="s">
        <v>177</v>
      </c>
      <c r="C64" s="160" t="s">
        <v>128</v>
      </c>
      <c r="D64" s="629">
        <f t="shared" ref="D64:K64" si="5">SUM(D48:D63)</f>
        <v>0.10971749000000208</v>
      </c>
      <c r="E64" s="630">
        <f t="shared" si="5"/>
        <v>-29.038118353760002</v>
      </c>
      <c r="F64" s="630">
        <f t="shared" si="5"/>
        <v>-33.280514429999997</v>
      </c>
      <c r="G64" s="630">
        <f t="shared" si="5"/>
        <v>-19.1828320290156</v>
      </c>
      <c r="H64" s="630">
        <f t="shared" si="5"/>
        <v>0</v>
      </c>
      <c r="I64" s="630">
        <f t="shared" si="5"/>
        <v>0</v>
      </c>
      <c r="J64" s="630">
        <f t="shared" si="5"/>
        <v>0</v>
      </c>
      <c r="K64" s="631">
        <f t="shared" si="5"/>
        <v>0</v>
      </c>
      <c r="L64" s="59"/>
    </row>
    <row r="65" spans="1:12" s="2" customFormat="1">
      <c r="B65" s="235"/>
      <c r="C65" s="146"/>
      <c r="D65" s="57"/>
      <c r="E65" s="57"/>
      <c r="F65" s="57"/>
      <c r="G65" s="57"/>
      <c r="H65" s="57"/>
      <c r="I65" s="57"/>
      <c r="J65" s="57"/>
      <c r="K65" s="57"/>
      <c r="L65" s="59"/>
    </row>
    <row r="66" spans="1:12" s="2" customFormat="1">
      <c r="B66" s="793" t="s">
        <v>146</v>
      </c>
      <c r="C66" s="160" t="s">
        <v>128</v>
      </c>
      <c r="D66" s="650">
        <f t="shared" ref="D66:K66" si="6">D33+D45+D64</f>
        <v>220.61019128000004</v>
      </c>
      <c r="E66" s="651">
        <f t="shared" si="6"/>
        <v>251.27844292199001</v>
      </c>
      <c r="F66" s="651">
        <f t="shared" si="6"/>
        <v>245.88626956000002</v>
      </c>
      <c r="G66" s="651">
        <f t="shared" si="6"/>
        <v>259.23988838098444</v>
      </c>
      <c r="H66" s="651">
        <f t="shared" si="6"/>
        <v>0</v>
      </c>
      <c r="I66" s="651">
        <f t="shared" si="6"/>
        <v>0</v>
      </c>
      <c r="J66" s="651">
        <f t="shared" si="6"/>
        <v>0</v>
      </c>
      <c r="K66" s="652">
        <f t="shared" si="6"/>
        <v>0</v>
      </c>
      <c r="L66" s="59"/>
    </row>
    <row r="67" spans="1:12" s="2" customFormat="1">
      <c r="B67" s="793" t="s">
        <v>194</v>
      </c>
      <c r="C67" s="160" t="s">
        <v>128</v>
      </c>
      <c r="D67" s="653">
        <v>220.6</v>
      </c>
      <c r="E67" s="654">
        <v>251.2</v>
      </c>
      <c r="F67" s="654">
        <v>245.8</v>
      </c>
      <c r="G67" s="654">
        <v>259.2</v>
      </c>
      <c r="H67" s="654"/>
      <c r="I67" s="654"/>
      <c r="J67" s="654"/>
      <c r="K67" s="655"/>
      <c r="L67" s="59"/>
    </row>
    <row r="68" spans="1:12" s="2" customFormat="1">
      <c r="B68" s="235" t="s">
        <v>122</v>
      </c>
      <c r="C68" s="146"/>
      <c r="D68" s="117" t="str">
        <f>IF(ABS(D66-D67)&lt;'RFPR cover'!$F$14,"OK","Error")</f>
        <v>OK</v>
      </c>
      <c r="E68" s="117" t="str">
        <f>IF(ABS(E66-E67)&lt;'RFPR cover'!$F$14,"OK","Error")</f>
        <v>OK</v>
      </c>
      <c r="F68" s="117" t="str">
        <f>IF(ABS(F66-F67)&lt;'RFPR cover'!$F$14,"OK","Error")</f>
        <v>OK</v>
      </c>
      <c r="G68" s="117" t="str">
        <f>IF(ABS(G66-G67)&lt;'RFPR cover'!$F$14,"OK","Error")</f>
        <v>OK</v>
      </c>
      <c r="H68" s="117" t="str">
        <f>IF(ABS(H66-H67)&lt;'RFPR cover'!$F$14,"OK","Error")</f>
        <v>OK</v>
      </c>
      <c r="I68" s="117" t="str">
        <f>IF(ABS(I66-I67)&lt;'RFPR cover'!$F$14,"OK","Error")</f>
        <v>OK</v>
      </c>
      <c r="J68" s="117" t="str">
        <f>IF(ABS(J66-J67)&lt;'RFPR cover'!$F$14,"OK","Error")</f>
        <v>OK</v>
      </c>
      <c r="K68" s="117" t="str">
        <f>IF(ABS(K66-K67)&lt;'RFPR cover'!$F$14,"OK","Error")</f>
        <v>OK</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798"/>
      <c r="C71" s="158"/>
      <c r="D71" s="82"/>
      <c r="E71" s="82"/>
      <c r="F71" s="82"/>
      <c r="G71" s="82"/>
      <c r="H71" s="82"/>
      <c r="I71" s="82"/>
      <c r="J71" s="82"/>
      <c r="K71" s="82"/>
      <c r="L71" s="286"/>
    </row>
  </sheetData>
  <conditionalFormatting sqref="D6:K6">
    <cfRule type="expression" dxfId="67" priority="16">
      <formula>AND(D$5="Actuals",E$5="Forecast")</formula>
    </cfRule>
  </conditionalFormatting>
  <conditionalFormatting sqref="D5:K5">
    <cfRule type="expression" dxfId="66" priority="9">
      <formula>AND(D$5="Actuals",E$5="Forecast")</formula>
    </cfRule>
  </conditionalFormatting>
  <conditionalFormatting sqref="G33:K33 D45:K45 D55:K64 D28:H28 D66:K66 G36:K44 D68:K68 G67:K67 G48:K54">
    <cfRule type="expression" dxfId="65" priority="8">
      <formula>D$5="Forecast"</formula>
    </cfRule>
  </conditionalFormatting>
  <conditionalFormatting sqref="I10:K26 I28:K28">
    <cfRule type="expression" dxfId="64" priority="7">
      <formula>I$5="Forecast"</formula>
    </cfRule>
  </conditionalFormatting>
  <conditionalFormatting sqref="H10:H26">
    <cfRule type="expression" dxfId="63" priority="6">
      <formula>H$5="Forecast"</formula>
    </cfRule>
  </conditionalFormatting>
  <conditionalFormatting sqref="G10:G26">
    <cfRule type="expression" dxfId="62" priority="5">
      <formula>G$5="Forecast"</formula>
    </cfRule>
  </conditionalFormatting>
  <conditionalFormatting sqref="D33:F33 D36:F44">
    <cfRule type="expression" dxfId="61" priority="4">
      <formula>D$5="Forecast"</formula>
    </cfRule>
  </conditionalFormatting>
  <conditionalFormatting sqref="D48:F53">
    <cfRule type="expression" dxfId="60" priority="3">
      <formula>D$5="Forecast"</formula>
    </cfRule>
  </conditionalFormatting>
  <conditionalFormatting sqref="D67:F67">
    <cfRule type="expression" dxfId="59" priority="2">
      <formula>D$5="Forecast"</formula>
    </cfRule>
  </conditionalFormatting>
  <conditionalFormatting sqref="D54:F54">
    <cfRule type="expression" dxfId="58" priority="1">
      <formula>D$5="Forecast"</formula>
    </cfRule>
  </conditionalFormatting>
  <pageMargins left="0.70866141732283472" right="0.70866141732283472" top="0.74803149606299213" bottom="0.74803149606299213" header="0.31496062992125984" footer="0.31496062992125984"/>
  <pageSetup paperSize="8" scale="77"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74.5" customWidth="1"/>
    <col min="3" max="3" width="13.375" style="144" customWidth="1"/>
    <col min="4" max="11" width="11.125" customWidth="1"/>
    <col min="12" max="12" width="5" customWidth="1"/>
  </cols>
  <sheetData>
    <row r="1" spans="1:12" s="32" customFormat="1" ht="20.25">
      <c r="A1" s="122" t="s">
        <v>310</v>
      </c>
      <c r="B1" s="124"/>
      <c r="C1" s="156"/>
      <c r="D1" s="124"/>
      <c r="E1" s="124"/>
      <c r="F1" s="124"/>
      <c r="G1" s="124"/>
      <c r="H1" s="124"/>
      <c r="I1" s="124"/>
      <c r="J1" s="124"/>
      <c r="K1" s="124"/>
      <c r="L1" s="125"/>
    </row>
    <row r="2" spans="1:12" s="32" customFormat="1" ht="20.25">
      <c r="A2" s="126" t="str">
        <f>'RFPR cover'!C5</f>
        <v>WPD-SWALES</v>
      </c>
      <c r="B2" s="30"/>
      <c r="C2" s="142"/>
      <c r="D2" s="30"/>
      <c r="E2" s="30"/>
      <c r="F2" s="30"/>
      <c r="G2" s="30"/>
      <c r="H2" s="30"/>
      <c r="I2" s="27"/>
      <c r="J2" s="27"/>
      <c r="K2" s="27"/>
      <c r="L2" s="127"/>
    </row>
    <row r="3" spans="1:12" s="32" customFormat="1" ht="20.25">
      <c r="A3" s="128">
        <f>'RFPR cover'!C7</f>
        <v>2019</v>
      </c>
      <c r="B3" s="129"/>
      <c r="C3" s="157"/>
      <c r="D3" s="129"/>
      <c r="E3" s="129"/>
      <c r="F3" s="129"/>
      <c r="G3" s="129"/>
      <c r="H3" s="129"/>
      <c r="I3" s="29"/>
      <c r="J3" s="29"/>
      <c r="K3" s="29"/>
      <c r="L3" s="130"/>
    </row>
    <row r="4" spans="1:12" s="2" customFormat="1" ht="12.75" customHeight="1">
      <c r="C4" s="144"/>
    </row>
    <row r="5" spans="1:12" s="2" customFormat="1">
      <c r="B5" s="3"/>
      <c r="C5" s="144"/>
      <c r="D5" s="410" t="str">
        <f>IF(D6&lt;='RFPR cover'!$C$7,"Actuals","N/A")</f>
        <v>Actuals</v>
      </c>
      <c r="E5" s="411" t="str">
        <f>IF(E6&lt;='RFPR cover'!$C$7,"Actuals","N/A")</f>
        <v>Actuals</v>
      </c>
      <c r="F5" s="411" t="str">
        <f>IF(F6&lt;='RFPR cover'!$C$7,"Actuals","N/A")</f>
        <v>Actuals</v>
      </c>
      <c r="G5" s="411" t="str">
        <f>IF(G6&lt;='RFPR cover'!$C$7,"Actuals","N/A")</f>
        <v>Actuals</v>
      </c>
      <c r="H5" s="411" t="str">
        <f>IF(H6&lt;='RFPR cover'!$C$7,"Actuals","N/A")</f>
        <v>N/A</v>
      </c>
      <c r="I5" s="411" t="str">
        <f>IF(I6&lt;='RFPR cover'!$C$7,"Actuals","N/A")</f>
        <v>N/A</v>
      </c>
      <c r="J5" s="411" t="str">
        <f>IF(J6&lt;='RFPR cover'!$C$7,"Actuals","N/A")</f>
        <v>N/A</v>
      </c>
      <c r="K5" s="412" t="str">
        <f>IF(K6&lt;='RFPR cover'!$C$7,"Actuals","N/A")</f>
        <v>N/A</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C7" s="144"/>
    </row>
    <row r="8" spans="1:12" s="2" customFormat="1">
      <c r="B8" s="52" t="s">
        <v>316</v>
      </c>
      <c r="C8" s="145"/>
      <c r="D8" s="52"/>
      <c r="E8" s="52"/>
      <c r="F8" s="52"/>
      <c r="G8" s="52"/>
      <c r="H8" s="52"/>
      <c r="I8" s="52"/>
      <c r="J8" s="52"/>
      <c r="K8" s="52"/>
      <c r="L8" s="36"/>
    </row>
    <row r="9" spans="1:12" s="2" customFormat="1">
      <c r="B9" s="134" t="s">
        <v>160</v>
      </c>
      <c r="C9" s="160" t="s">
        <v>128</v>
      </c>
      <c r="D9" s="621">
        <v>141.49812031000025</v>
      </c>
      <c r="E9" s="622">
        <v>144.35600000000002</v>
      </c>
      <c r="F9" s="622">
        <v>151.88500000000002</v>
      </c>
      <c r="G9" s="622">
        <v>145.74800000000002</v>
      </c>
      <c r="H9" s="622"/>
      <c r="I9" s="622"/>
      <c r="J9" s="622"/>
      <c r="K9" s="632"/>
    </row>
    <row r="10" spans="1:12" s="2" customFormat="1">
      <c r="B10" s="134" t="s">
        <v>161</v>
      </c>
      <c r="C10" s="160" t="s">
        <v>128</v>
      </c>
      <c r="D10" s="623">
        <v>-3.0469999999976904E-5</v>
      </c>
      <c r="E10" s="624">
        <v>1.3</v>
      </c>
      <c r="F10" s="624">
        <v>1.1000000000000001</v>
      </c>
      <c r="G10" s="624">
        <v>2</v>
      </c>
      <c r="H10" s="624"/>
      <c r="I10" s="624"/>
      <c r="J10" s="624"/>
      <c r="K10" s="633"/>
    </row>
    <row r="11" spans="1:12" s="2" customFormat="1" ht="29.25" customHeight="1">
      <c r="B11" s="135" t="s">
        <v>458</v>
      </c>
      <c r="C11" s="160" t="s">
        <v>128</v>
      </c>
      <c r="D11" s="623">
        <v>-1.228</v>
      </c>
      <c r="E11" s="624">
        <v>0</v>
      </c>
      <c r="F11" s="624">
        <v>0</v>
      </c>
      <c r="G11" s="624">
        <v>0</v>
      </c>
      <c r="H11" s="624"/>
      <c r="I11" s="624"/>
      <c r="J11" s="624"/>
      <c r="K11" s="633"/>
    </row>
    <row r="12" spans="1:12" s="2" customFormat="1">
      <c r="B12" s="134" t="s">
        <v>162</v>
      </c>
      <c r="C12" s="160" t="s">
        <v>128</v>
      </c>
      <c r="D12" s="623">
        <v>-26.2624</v>
      </c>
      <c r="E12" s="624">
        <v>-33.477437860000002</v>
      </c>
      <c r="F12" s="624">
        <v>-35.374176420000005</v>
      </c>
      <c r="G12" s="624">
        <v>-23.905204299999998</v>
      </c>
      <c r="H12" s="624"/>
      <c r="I12" s="624"/>
      <c r="J12" s="624"/>
      <c r="K12" s="633"/>
    </row>
    <row r="13" spans="1:12" s="2" customFormat="1">
      <c r="B13" s="134" t="s">
        <v>163</v>
      </c>
      <c r="C13" s="160" t="s">
        <v>128</v>
      </c>
      <c r="D13" s="623">
        <v>-0.2</v>
      </c>
      <c r="E13" s="624">
        <v>0.44400000000000001</v>
      </c>
      <c r="F13" s="624">
        <v>0.51500000000000001</v>
      </c>
      <c r="G13" s="624">
        <v>0.95199999999999996</v>
      </c>
      <c r="H13" s="624"/>
      <c r="I13" s="624"/>
      <c r="J13" s="624"/>
      <c r="K13" s="633"/>
    </row>
    <row r="14" spans="1:12" s="2" customFormat="1">
      <c r="B14" s="134" t="s">
        <v>164</v>
      </c>
      <c r="C14" s="160" t="s">
        <v>128</v>
      </c>
      <c r="D14" s="659">
        <v>0</v>
      </c>
      <c r="E14" s="660">
        <v>0</v>
      </c>
      <c r="F14" s="660">
        <v>0</v>
      </c>
      <c r="G14" s="660"/>
      <c r="H14" s="660"/>
      <c r="I14" s="660"/>
      <c r="J14" s="660"/>
      <c r="K14" s="661"/>
    </row>
    <row r="15" spans="1:12" s="2" customFormat="1">
      <c r="A15" s="3">
        <v>1</v>
      </c>
      <c r="B15" s="934" t="s">
        <v>243</v>
      </c>
      <c r="C15" s="160" t="s">
        <v>128</v>
      </c>
      <c r="D15" s="621"/>
      <c r="E15" s="622"/>
      <c r="F15" s="622"/>
      <c r="G15" s="622"/>
      <c r="H15" s="622"/>
      <c r="I15" s="622"/>
      <c r="J15" s="622"/>
      <c r="K15" s="632"/>
    </row>
    <row r="16" spans="1:12" s="2" customFormat="1">
      <c r="A16" s="3">
        <v>2</v>
      </c>
      <c r="B16" s="934" t="s">
        <v>243</v>
      </c>
      <c r="C16" s="160" t="s">
        <v>128</v>
      </c>
      <c r="D16" s="623"/>
      <c r="E16" s="624"/>
      <c r="F16" s="624"/>
      <c r="G16" s="624"/>
      <c r="H16" s="624"/>
      <c r="I16" s="624"/>
      <c r="J16" s="624"/>
      <c r="K16" s="633"/>
    </row>
    <row r="17" spans="1:11" s="2" customFormat="1">
      <c r="A17" s="3">
        <v>3</v>
      </c>
      <c r="B17" s="934" t="s">
        <v>243</v>
      </c>
      <c r="C17" s="160" t="s">
        <v>128</v>
      </c>
      <c r="D17" s="623"/>
      <c r="E17" s="624"/>
      <c r="F17" s="624"/>
      <c r="G17" s="624"/>
      <c r="H17" s="624"/>
      <c r="I17" s="624"/>
      <c r="J17" s="624"/>
      <c r="K17" s="633"/>
    </row>
    <row r="18" spans="1:11" s="2" customFormat="1">
      <c r="B18" s="12" t="s">
        <v>165</v>
      </c>
      <c r="C18" s="160" t="s">
        <v>128</v>
      </c>
      <c r="D18" s="662">
        <f>SUM(D9:D17)</f>
        <v>113.80768984000022</v>
      </c>
      <c r="E18" s="663">
        <f t="shared" ref="E18:F18" si="1">SUM(E9:E17)</f>
        <v>112.62256214000003</v>
      </c>
      <c r="F18" s="663">
        <f t="shared" si="1"/>
        <v>118.12582358000002</v>
      </c>
      <c r="G18" s="663">
        <f t="shared" ref="G18:K18" si="2">SUM(G9:G17)</f>
        <v>124.79479570000002</v>
      </c>
      <c r="H18" s="663">
        <f t="shared" si="2"/>
        <v>0</v>
      </c>
      <c r="I18" s="663">
        <f t="shared" si="2"/>
        <v>0</v>
      </c>
      <c r="J18" s="663">
        <f t="shared" si="2"/>
        <v>0</v>
      </c>
      <c r="K18" s="664">
        <f t="shared" si="2"/>
        <v>0</v>
      </c>
    </row>
    <row r="19" spans="1:11" s="2" customFormat="1">
      <c r="B19" s="134" t="s">
        <v>166</v>
      </c>
      <c r="C19" s="160" t="s">
        <v>128</v>
      </c>
      <c r="D19" s="665">
        <v>80.09999999999998</v>
      </c>
      <c r="E19" s="666">
        <v>72.199999999999989</v>
      </c>
      <c r="F19" s="666">
        <v>73.478000000000009</v>
      </c>
      <c r="G19" s="666">
        <v>82.3</v>
      </c>
      <c r="H19" s="666"/>
      <c r="I19" s="666"/>
      <c r="J19" s="666"/>
      <c r="K19" s="667"/>
    </row>
    <row r="20" spans="1:11" s="2" customFormat="1">
      <c r="A20" s="3">
        <v>1</v>
      </c>
      <c r="B20" s="934" t="s">
        <v>243</v>
      </c>
      <c r="C20" s="160" t="s">
        <v>128</v>
      </c>
      <c r="D20" s="621"/>
      <c r="E20" s="622"/>
      <c r="F20" s="622"/>
      <c r="G20" s="622"/>
      <c r="H20" s="622"/>
      <c r="I20" s="622"/>
      <c r="J20" s="622"/>
      <c r="K20" s="632"/>
    </row>
    <row r="21" spans="1:11" s="2" customFormat="1">
      <c r="A21" s="3">
        <v>2</v>
      </c>
      <c r="B21" s="934" t="s">
        <v>243</v>
      </c>
      <c r="C21" s="160" t="s">
        <v>128</v>
      </c>
      <c r="D21" s="623"/>
      <c r="E21" s="624"/>
      <c r="F21" s="624"/>
      <c r="G21" s="624"/>
      <c r="H21" s="624"/>
      <c r="I21" s="624"/>
      <c r="J21" s="624"/>
      <c r="K21" s="633"/>
    </row>
    <row r="22" spans="1:11" s="2" customFormat="1">
      <c r="A22" s="3">
        <v>3</v>
      </c>
      <c r="B22" s="934" t="s">
        <v>243</v>
      </c>
      <c r="C22" s="160" t="s">
        <v>128</v>
      </c>
      <c r="D22" s="623"/>
      <c r="E22" s="624"/>
      <c r="F22" s="624"/>
      <c r="G22" s="624"/>
      <c r="H22" s="624"/>
      <c r="I22" s="624"/>
      <c r="J22" s="624"/>
      <c r="K22" s="633"/>
    </row>
    <row r="23" spans="1:11" s="2" customFormat="1">
      <c r="B23" s="12" t="s">
        <v>167</v>
      </c>
      <c r="C23" s="160" t="s">
        <v>128</v>
      </c>
      <c r="D23" s="637">
        <f>SUM(D18:D22)</f>
        <v>193.90768984000022</v>
      </c>
      <c r="E23" s="638">
        <f t="shared" ref="E23:F23" si="3">SUM(E18:E22)</f>
        <v>184.82256214</v>
      </c>
      <c r="F23" s="638">
        <f t="shared" si="3"/>
        <v>191.60382358000004</v>
      </c>
      <c r="G23" s="638">
        <f t="shared" ref="G23:K23" si="4">SUM(G18:G22)</f>
        <v>207.09479570000002</v>
      </c>
      <c r="H23" s="638">
        <f t="shared" si="4"/>
        <v>0</v>
      </c>
      <c r="I23" s="638">
        <f t="shared" si="4"/>
        <v>0</v>
      </c>
      <c r="J23" s="638">
        <f t="shared" si="4"/>
        <v>0</v>
      </c>
      <c r="K23" s="639">
        <f t="shared" si="4"/>
        <v>0</v>
      </c>
    </row>
    <row r="24" spans="1:11" s="2" customFormat="1">
      <c r="C24" s="144"/>
      <c r="D24" s="53"/>
      <c r="E24" s="53"/>
      <c r="F24" s="53"/>
      <c r="G24" s="53"/>
      <c r="H24" s="53"/>
      <c r="I24" s="53"/>
      <c r="J24" s="53"/>
      <c r="K24" s="53"/>
    </row>
    <row r="25" spans="1:11" s="2" customFormat="1">
      <c r="B25" s="12" t="s">
        <v>448</v>
      </c>
      <c r="C25" s="160" t="s">
        <v>128</v>
      </c>
      <c r="D25" s="55"/>
    </row>
    <row r="26" spans="1:11" s="2" customFormat="1">
      <c r="A26" s="3">
        <v>1</v>
      </c>
      <c r="B26" s="934" t="s">
        <v>553</v>
      </c>
      <c r="C26" s="160" t="s">
        <v>128</v>
      </c>
      <c r="D26" s="621">
        <v>1.0396000000000001</v>
      </c>
      <c r="E26" s="622">
        <v>-0.1</v>
      </c>
      <c r="F26" s="622">
        <v>-0.1</v>
      </c>
      <c r="G26" s="622">
        <v>-0.1</v>
      </c>
      <c r="H26" s="622"/>
      <c r="I26" s="622"/>
      <c r="J26" s="622"/>
      <c r="K26" s="632"/>
    </row>
    <row r="27" spans="1:11" s="2" customFormat="1">
      <c r="A27" s="3">
        <v>2</v>
      </c>
      <c r="B27" s="934" t="s">
        <v>554</v>
      </c>
      <c r="C27" s="160" t="s">
        <v>128</v>
      </c>
      <c r="D27" s="623">
        <v>-5.4570280000000002</v>
      </c>
      <c r="E27" s="624">
        <v>-5.4585019199999998</v>
      </c>
      <c r="F27" s="624">
        <v>-5.0146439599999999</v>
      </c>
      <c r="G27" s="624">
        <v>-5.3433354299999998</v>
      </c>
      <c r="H27" s="624"/>
      <c r="I27" s="624"/>
      <c r="J27" s="624"/>
      <c r="K27" s="633"/>
    </row>
    <row r="28" spans="1:11" s="2" customFormat="1">
      <c r="A28" s="3">
        <v>3</v>
      </c>
      <c r="B28" s="934" t="s">
        <v>555</v>
      </c>
      <c r="C28" s="160" t="s">
        <v>128</v>
      </c>
      <c r="D28" s="623">
        <v>31.192900000000002</v>
      </c>
      <c r="E28" s="624">
        <v>-1.2065092695000046</v>
      </c>
      <c r="F28" s="624">
        <v>1.8832032599999997</v>
      </c>
      <c r="G28" s="624">
        <v>-1.10906919</v>
      </c>
      <c r="H28" s="624"/>
      <c r="I28" s="624"/>
      <c r="J28" s="624"/>
      <c r="K28" s="633"/>
    </row>
    <row r="29" spans="1:11" s="2" customFormat="1">
      <c r="A29" s="3">
        <v>4</v>
      </c>
      <c r="B29" s="934" t="s">
        <v>556</v>
      </c>
      <c r="C29" s="160" t="s">
        <v>128</v>
      </c>
      <c r="D29" s="623">
        <v>0.68873906000000007</v>
      </c>
      <c r="E29" s="624">
        <v>-0.29580800000000002</v>
      </c>
      <c r="F29" s="624">
        <v>-0.419545</v>
      </c>
      <c r="G29" s="624">
        <v>-1.8498205700000001</v>
      </c>
      <c r="H29" s="624"/>
      <c r="I29" s="624"/>
      <c r="J29" s="624"/>
      <c r="K29" s="633"/>
    </row>
    <row r="30" spans="1:11" s="2" customFormat="1">
      <c r="A30" s="3">
        <v>5</v>
      </c>
      <c r="B30" s="934" t="s">
        <v>557</v>
      </c>
      <c r="C30" s="160" t="s">
        <v>128</v>
      </c>
      <c r="D30" s="623">
        <v>0.39391049650000021</v>
      </c>
      <c r="E30" s="624">
        <v>0.78517884749999989</v>
      </c>
      <c r="F30" s="624">
        <v>0.29738070350000001</v>
      </c>
      <c r="G30" s="624">
        <v>0.25759861649999999</v>
      </c>
      <c r="H30" s="624"/>
      <c r="I30" s="624"/>
      <c r="J30" s="624"/>
      <c r="K30" s="633"/>
    </row>
    <row r="31" spans="1:11" s="2" customFormat="1">
      <c r="A31" s="3">
        <v>6</v>
      </c>
      <c r="B31" s="934" t="s">
        <v>558</v>
      </c>
      <c r="C31" s="160" t="s">
        <v>128</v>
      </c>
      <c r="D31" s="623">
        <v>-1.4129990700000001</v>
      </c>
      <c r="E31" s="624">
        <v>-1.5781962919999999</v>
      </c>
      <c r="F31" s="624">
        <v>-1.9098928800000003</v>
      </c>
      <c r="G31" s="624">
        <v>-1.71462746</v>
      </c>
      <c r="H31" s="624"/>
      <c r="I31" s="624"/>
      <c r="J31" s="624"/>
      <c r="K31" s="633"/>
    </row>
    <row r="32" spans="1:11" s="2" customFormat="1">
      <c r="A32" s="3">
        <v>7</v>
      </c>
      <c r="B32" s="934" t="s">
        <v>559</v>
      </c>
      <c r="C32" s="160" t="s">
        <v>128</v>
      </c>
      <c r="D32" s="623">
        <v>0.33719300000000002</v>
      </c>
      <c r="E32" s="624">
        <v>0.35262568001</v>
      </c>
      <c r="F32" s="624">
        <v>0.27200004</v>
      </c>
      <c r="G32" s="624">
        <v>0.27158536</v>
      </c>
      <c r="H32" s="624"/>
      <c r="I32" s="624"/>
      <c r="J32" s="624"/>
      <c r="K32" s="633"/>
    </row>
    <row r="33" spans="1:11" s="2" customFormat="1">
      <c r="A33" s="3">
        <v>8</v>
      </c>
      <c r="B33" s="934" t="s">
        <v>560</v>
      </c>
      <c r="C33" s="160" t="s">
        <v>128</v>
      </c>
      <c r="D33" s="623">
        <v>-0.45589822466792673</v>
      </c>
      <c r="E33" s="624">
        <v>-0.41012676310229507</v>
      </c>
      <c r="F33" s="624">
        <v>-0.47261780472367554</v>
      </c>
      <c r="G33" s="624">
        <v>-0.54325863703113997</v>
      </c>
      <c r="H33" s="624"/>
      <c r="I33" s="624"/>
      <c r="J33" s="624"/>
      <c r="K33" s="633"/>
    </row>
    <row r="34" spans="1:11" s="2" customFormat="1">
      <c r="A34" s="3">
        <v>9</v>
      </c>
      <c r="B34" s="934" t="s">
        <v>561</v>
      </c>
      <c r="C34" s="160" t="s">
        <v>128</v>
      </c>
      <c r="D34" s="623">
        <v>-7.75910900655217</v>
      </c>
      <c r="E34" s="624">
        <v>1.6862300000000006</v>
      </c>
      <c r="F34" s="624">
        <v>0.97299999999999998</v>
      </c>
      <c r="G34" s="624">
        <v>-1.3629589999999998</v>
      </c>
      <c r="H34" s="624"/>
      <c r="I34" s="624"/>
      <c r="J34" s="624"/>
      <c r="K34" s="633"/>
    </row>
    <row r="35" spans="1:11" s="2" customFormat="1">
      <c r="A35" s="3">
        <v>10</v>
      </c>
      <c r="B35" s="934" t="s">
        <v>562</v>
      </c>
      <c r="C35" s="160" t="s">
        <v>128</v>
      </c>
      <c r="D35" s="623">
        <v>-3.7117371022943892</v>
      </c>
      <c r="E35" s="624">
        <v>28.147421997988307</v>
      </c>
      <c r="F35" s="624">
        <v>0</v>
      </c>
      <c r="G35" s="624">
        <v>26.331793835058487</v>
      </c>
      <c r="H35" s="624"/>
      <c r="I35" s="624"/>
      <c r="J35" s="624"/>
      <c r="K35" s="633"/>
    </row>
    <row r="36" spans="1:11" s="2" customFormat="1">
      <c r="A36" s="3">
        <v>11</v>
      </c>
      <c r="B36" s="934" t="s">
        <v>563</v>
      </c>
      <c r="C36" s="160" t="s">
        <v>128</v>
      </c>
      <c r="D36" s="623">
        <v>0.76063291</v>
      </c>
      <c r="E36" s="624">
        <v>38.673502721552936</v>
      </c>
      <c r="F36" s="624">
        <v>-9.5361682155998952</v>
      </c>
      <c r="G36" s="624">
        <v>-0.54239722266319568</v>
      </c>
      <c r="H36" s="624"/>
      <c r="I36" s="624"/>
      <c r="J36" s="624"/>
      <c r="K36" s="633"/>
    </row>
    <row r="37" spans="1:11" s="2" customFormat="1">
      <c r="A37" s="3">
        <v>12</v>
      </c>
      <c r="B37" s="934" t="s">
        <v>564</v>
      </c>
      <c r="C37" s="160" t="s">
        <v>128</v>
      </c>
      <c r="D37" s="623">
        <v>0</v>
      </c>
      <c r="E37" s="624">
        <v>-0.5031919775</v>
      </c>
      <c r="F37" s="624">
        <v>-4.0894021546981687</v>
      </c>
      <c r="G37" s="624">
        <v>-3.44398225902194</v>
      </c>
      <c r="H37" s="624"/>
      <c r="I37" s="624"/>
      <c r="J37" s="624"/>
      <c r="K37" s="633"/>
    </row>
    <row r="38" spans="1:11" s="2" customFormat="1">
      <c r="A38" s="3">
        <v>13</v>
      </c>
      <c r="B38" s="934" t="s">
        <v>565</v>
      </c>
      <c r="C38" s="160" t="s">
        <v>128</v>
      </c>
      <c r="D38" s="623">
        <v>0</v>
      </c>
      <c r="E38" s="624">
        <v>0</v>
      </c>
      <c r="F38" s="624">
        <v>-0.1537544849293595</v>
      </c>
      <c r="G38" s="624">
        <v>-0.15493562321765042</v>
      </c>
      <c r="H38" s="624"/>
      <c r="I38" s="624"/>
      <c r="J38" s="624"/>
      <c r="K38" s="633"/>
    </row>
    <row r="39" spans="1:11" s="2" customFormat="1">
      <c r="A39" s="3">
        <v>14</v>
      </c>
      <c r="B39" s="934" t="s">
        <v>566</v>
      </c>
      <c r="C39" s="160" t="s">
        <v>128</v>
      </c>
      <c r="D39" s="623">
        <v>-0.20930000000000001</v>
      </c>
      <c r="E39" s="624">
        <v>0</v>
      </c>
      <c r="F39" s="624">
        <v>0</v>
      </c>
      <c r="G39" s="624">
        <v>0</v>
      </c>
      <c r="H39" s="624"/>
      <c r="I39" s="624"/>
      <c r="J39" s="624"/>
      <c r="K39" s="633"/>
    </row>
    <row r="40" spans="1:11" s="2" customFormat="1">
      <c r="A40" s="3">
        <v>15</v>
      </c>
      <c r="B40" s="934" t="s">
        <v>567</v>
      </c>
      <c r="C40" s="160" t="s">
        <v>128</v>
      </c>
      <c r="D40" s="623">
        <v>-1.3</v>
      </c>
      <c r="E40" s="624">
        <v>1.1000000000000001</v>
      </c>
      <c r="F40" s="624">
        <v>0.65</v>
      </c>
      <c r="G40" s="624">
        <v>6.9452835387892264E-2</v>
      </c>
      <c r="H40" s="624"/>
      <c r="I40" s="624"/>
      <c r="J40" s="624"/>
      <c r="K40" s="633"/>
    </row>
    <row r="41" spans="1:11" s="2" customFormat="1">
      <c r="A41" s="3">
        <v>16</v>
      </c>
      <c r="B41" s="936" t="s">
        <v>608</v>
      </c>
      <c r="C41" s="160" t="s">
        <v>128</v>
      </c>
      <c r="D41" s="623"/>
      <c r="E41" s="624"/>
      <c r="F41" s="624"/>
      <c r="G41" s="624">
        <v>-1</v>
      </c>
      <c r="H41" s="624"/>
      <c r="I41" s="624"/>
      <c r="J41" s="624"/>
      <c r="K41" s="633"/>
    </row>
    <row r="42" spans="1:11" s="2" customFormat="1">
      <c r="A42" s="3">
        <v>17</v>
      </c>
      <c r="B42" s="934" t="s">
        <v>243</v>
      </c>
      <c r="C42" s="160" t="s">
        <v>128</v>
      </c>
      <c r="D42" s="623"/>
      <c r="E42" s="624"/>
      <c r="F42" s="624"/>
      <c r="G42" s="624"/>
      <c r="H42" s="624"/>
      <c r="I42" s="624"/>
      <c r="J42" s="624"/>
      <c r="K42" s="633"/>
    </row>
    <row r="43" spans="1:11" s="2" customFormat="1">
      <c r="A43" s="3">
        <v>18</v>
      </c>
      <c r="B43" s="934" t="s">
        <v>243</v>
      </c>
      <c r="C43" s="160" t="s">
        <v>128</v>
      </c>
      <c r="D43" s="623"/>
      <c r="E43" s="624"/>
      <c r="F43" s="624"/>
      <c r="G43" s="624"/>
      <c r="H43" s="624"/>
      <c r="I43" s="624"/>
      <c r="J43" s="624"/>
      <c r="K43" s="633"/>
    </row>
    <row r="44" spans="1:11" s="2" customFormat="1">
      <c r="A44" s="3">
        <v>19</v>
      </c>
      <c r="B44" s="934" t="s">
        <v>243</v>
      </c>
      <c r="C44" s="160" t="s">
        <v>128</v>
      </c>
      <c r="D44" s="623"/>
      <c r="E44" s="624"/>
      <c r="F44" s="624"/>
      <c r="G44" s="624"/>
      <c r="H44" s="624"/>
      <c r="I44" s="624"/>
      <c r="J44" s="624"/>
      <c r="K44" s="633"/>
    </row>
    <row r="45" spans="1:11" s="2" customFormat="1">
      <c r="A45" s="3">
        <v>20</v>
      </c>
      <c r="B45" s="934" t="s">
        <v>243</v>
      </c>
      <c r="C45" s="160" t="s">
        <v>128</v>
      </c>
      <c r="D45" s="623"/>
      <c r="E45" s="624"/>
      <c r="F45" s="624"/>
      <c r="G45" s="624"/>
      <c r="H45" s="624"/>
      <c r="I45" s="624"/>
      <c r="J45" s="624"/>
      <c r="K45" s="633"/>
    </row>
    <row r="46" spans="1:11" s="2" customFormat="1">
      <c r="B46" s="12" t="s">
        <v>401</v>
      </c>
      <c r="C46" s="160" t="s">
        <v>128</v>
      </c>
      <c r="D46" s="637">
        <f>SUM(D26:D45)</f>
        <v>14.106904062985514</v>
      </c>
      <c r="E46" s="638">
        <f t="shared" ref="E46:F46" si="5">SUM(E26:E45)</f>
        <v>61.192625024948946</v>
      </c>
      <c r="F46" s="638">
        <f t="shared" si="5"/>
        <v>-17.620440496451099</v>
      </c>
      <c r="G46" s="638">
        <f t="shared" ref="G46:K46" si="6">SUM(G26:G45)</f>
        <v>9.7660452550124521</v>
      </c>
      <c r="H46" s="638">
        <f t="shared" si="6"/>
        <v>0</v>
      </c>
      <c r="I46" s="638">
        <f t="shared" si="6"/>
        <v>0</v>
      </c>
      <c r="J46" s="638">
        <f t="shared" si="6"/>
        <v>0</v>
      </c>
      <c r="K46" s="639">
        <f t="shared" si="6"/>
        <v>0</v>
      </c>
    </row>
    <row r="47" spans="1:11" s="2" customFormat="1">
      <c r="C47" s="144"/>
      <c r="D47" s="54"/>
      <c r="E47" s="53"/>
      <c r="F47" s="53"/>
      <c r="G47" s="53"/>
      <c r="H47" s="53"/>
      <c r="I47" s="53"/>
      <c r="J47" s="53"/>
      <c r="K47" s="53"/>
    </row>
    <row r="48" spans="1:11" s="2" customFormat="1">
      <c r="B48" s="12" t="s">
        <v>447</v>
      </c>
      <c r="C48" s="160" t="s">
        <v>128</v>
      </c>
      <c r="D48" s="637">
        <f>D46+D23</f>
        <v>208.01459390298572</v>
      </c>
      <c r="E48" s="638">
        <f t="shared" ref="E48:F48" si="7">E46+E23</f>
        <v>246.01518716494894</v>
      </c>
      <c r="F48" s="638">
        <f t="shared" si="7"/>
        <v>173.98338308354894</v>
      </c>
      <c r="G48" s="638">
        <f t="shared" ref="G48:K48" si="8">G46+G23</f>
        <v>216.86084095501246</v>
      </c>
      <c r="H48" s="638">
        <f t="shared" si="8"/>
        <v>0</v>
      </c>
      <c r="I48" s="638">
        <f t="shared" si="8"/>
        <v>0</v>
      </c>
      <c r="J48" s="638">
        <f t="shared" si="8"/>
        <v>0</v>
      </c>
      <c r="K48" s="639">
        <f t="shared" si="8"/>
        <v>0</v>
      </c>
    </row>
    <row r="49" spans="1:11" s="2" customFormat="1">
      <c r="B49" s="2" t="s">
        <v>402</v>
      </c>
      <c r="C49" s="160" t="s">
        <v>128</v>
      </c>
      <c r="D49" s="621">
        <v>208.02249999999998</v>
      </c>
      <c r="E49" s="622">
        <v>245.97853199999997</v>
      </c>
      <c r="F49" s="622">
        <v>173.96308700000003</v>
      </c>
      <c r="G49" s="622">
        <v>216.85526067733676</v>
      </c>
      <c r="H49" s="622"/>
      <c r="I49" s="622"/>
      <c r="J49" s="622"/>
      <c r="K49" s="632"/>
    </row>
    <row r="50" spans="1:11" s="2" customFormat="1">
      <c r="C50" s="144" t="s">
        <v>405</v>
      </c>
      <c r="D50" s="668" t="str">
        <f>IF(D$5="Actuals",IF(ABS(D48-D49)&lt;1,"OK","ERROR"),"N/A")</f>
        <v>OK</v>
      </c>
      <c r="E50" s="669" t="str">
        <f t="shared" ref="E50:K50" si="9">IF(E$5="Actuals",IF(ABS(E48-E49)&lt;1,"OK","ERROR"),"N/A")</f>
        <v>OK</v>
      </c>
      <c r="F50" s="669" t="str">
        <f t="shared" si="9"/>
        <v>OK</v>
      </c>
      <c r="G50" s="669" t="str">
        <f t="shared" si="9"/>
        <v>OK</v>
      </c>
      <c r="H50" s="669" t="str">
        <f t="shared" si="9"/>
        <v>N/A</v>
      </c>
      <c r="I50" s="669" t="str">
        <f t="shared" si="9"/>
        <v>N/A</v>
      </c>
      <c r="J50" s="669" t="str">
        <f t="shared" si="9"/>
        <v>N/A</v>
      </c>
      <c r="K50" s="670" t="str">
        <f t="shared" si="9"/>
        <v>N/A</v>
      </c>
    </row>
    <row r="51" spans="1:11" s="2" customFormat="1">
      <c r="B51" s="2" t="s">
        <v>84</v>
      </c>
      <c r="C51" s="144"/>
      <c r="D51" s="55"/>
    </row>
    <row r="52" spans="1:11" s="2" customFormat="1">
      <c r="B52" s="12" t="s">
        <v>403</v>
      </c>
      <c r="C52" s="160"/>
      <c r="D52" s="55"/>
    </row>
    <row r="53" spans="1:11" s="2" customFormat="1">
      <c r="A53" s="3">
        <v>1</v>
      </c>
      <c r="B53" s="934" t="s">
        <v>568</v>
      </c>
      <c r="C53" s="160" t="s">
        <v>128</v>
      </c>
      <c r="D53" s="621">
        <v>29.483699999999995</v>
      </c>
      <c r="E53" s="622">
        <v>28.276400000000002</v>
      </c>
      <c r="F53" s="622">
        <v>25.249499999999998</v>
      </c>
      <c r="G53" s="622">
        <v>26.2958</v>
      </c>
      <c r="H53" s="622"/>
      <c r="I53" s="622"/>
      <c r="J53" s="622"/>
      <c r="K53" s="632"/>
    </row>
    <row r="54" spans="1:11" s="2" customFormat="1">
      <c r="A54" s="3">
        <v>2</v>
      </c>
      <c r="B54" s="934" t="s">
        <v>569</v>
      </c>
      <c r="C54" s="160" t="s">
        <v>128</v>
      </c>
      <c r="D54" s="623">
        <v>26.028500000000001</v>
      </c>
      <c r="E54" s="624">
        <v>54.505899999999997</v>
      </c>
      <c r="F54" s="624">
        <v>-1.9026976000000002</v>
      </c>
      <c r="G54" s="624">
        <v>25.458667759999997</v>
      </c>
      <c r="H54" s="624"/>
      <c r="I54" s="624"/>
      <c r="J54" s="624"/>
      <c r="K54" s="633"/>
    </row>
    <row r="55" spans="1:11" s="2" customFormat="1">
      <c r="A55" s="3">
        <v>3</v>
      </c>
      <c r="B55" s="934" t="s">
        <v>570</v>
      </c>
      <c r="C55" s="160" t="s">
        <v>128</v>
      </c>
      <c r="D55" s="623">
        <v>7.5765000000000011</v>
      </c>
      <c r="E55" s="624">
        <v>9.890900000000002</v>
      </c>
      <c r="F55" s="624">
        <v>9.5465407091941064</v>
      </c>
      <c r="G55" s="624">
        <v>14.28863393050872</v>
      </c>
      <c r="H55" s="624"/>
      <c r="I55" s="624"/>
      <c r="J55" s="624"/>
      <c r="K55" s="633"/>
    </row>
    <row r="56" spans="1:11" s="2" customFormat="1">
      <c r="A56" s="3">
        <v>4</v>
      </c>
      <c r="B56" s="934" t="s">
        <v>571</v>
      </c>
      <c r="C56" s="160" t="s">
        <v>128</v>
      </c>
      <c r="D56" s="623">
        <v>2.9344000000000006</v>
      </c>
      <c r="E56" s="624">
        <v>3.0134000000000003</v>
      </c>
      <c r="F56" s="624">
        <v>3.0656558699999996</v>
      </c>
      <c r="G56" s="624">
        <v>2.9035633600000001</v>
      </c>
      <c r="H56" s="624"/>
      <c r="I56" s="624"/>
      <c r="J56" s="624"/>
      <c r="K56" s="633"/>
    </row>
    <row r="57" spans="1:11" s="2" customFormat="1">
      <c r="A57" s="3">
        <v>5</v>
      </c>
      <c r="B57" s="934" t="s">
        <v>243</v>
      </c>
      <c r="C57" s="160" t="s">
        <v>128</v>
      </c>
      <c r="D57" s="623"/>
      <c r="E57" s="624"/>
      <c r="F57" s="624"/>
      <c r="G57" s="624"/>
      <c r="H57" s="624"/>
      <c r="I57" s="624"/>
      <c r="J57" s="624"/>
      <c r="K57" s="633"/>
    </row>
    <row r="58" spans="1:11" s="2" customFormat="1">
      <c r="A58" s="3">
        <v>6</v>
      </c>
      <c r="B58" s="934" t="s">
        <v>243</v>
      </c>
      <c r="C58" s="160" t="s">
        <v>128</v>
      </c>
      <c r="D58" s="623"/>
      <c r="E58" s="624"/>
      <c r="F58" s="624"/>
      <c r="G58" s="624"/>
      <c r="H58" s="624"/>
      <c r="I58" s="624"/>
      <c r="J58" s="624"/>
      <c r="K58" s="633"/>
    </row>
    <row r="59" spans="1:11" s="2" customFormat="1">
      <c r="A59" s="3">
        <v>7</v>
      </c>
      <c r="B59" s="545" t="s">
        <v>243</v>
      </c>
      <c r="C59" s="160" t="s">
        <v>128</v>
      </c>
      <c r="D59" s="623"/>
      <c r="E59" s="624"/>
      <c r="F59" s="624"/>
      <c r="G59" s="624"/>
      <c r="H59" s="624"/>
      <c r="I59" s="624"/>
      <c r="J59" s="624"/>
      <c r="K59" s="633"/>
    </row>
    <row r="60" spans="1:11" s="2" customFormat="1">
      <c r="A60" s="3">
        <v>8</v>
      </c>
      <c r="B60" s="545" t="s">
        <v>243</v>
      </c>
      <c r="C60" s="160" t="s">
        <v>128</v>
      </c>
      <c r="D60" s="623"/>
      <c r="E60" s="624"/>
      <c r="F60" s="624"/>
      <c r="G60" s="624"/>
      <c r="H60" s="624"/>
      <c r="I60" s="624"/>
      <c r="J60" s="624"/>
      <c r="K60" s="633"/>
    </row>
    <row r="61" spans="1:11" s="2" customFormat="1">
      <c r="A61" s="3">
        <v>9</v>
      </c>
      <c r="B61" s="545" t="s">
        <v>243</v>
      </c>
      <c r="C61" s="160" t="s">
        <v>128</v>
      </c>
      <c r="D61" s="623"/>
      <c r="E61" s="624"/>
      <c r="F61" s="624"/>
      <c r="G61" s="624"/>
      <c r="H61" s="624"/>
      <c r="I61" s="624"/>
      <c r="J61" s="624"/>
      <c r="K61" s="633"/>
    </row>
    <row r="62" spans="1:11" s="2" customFormat="1">
      <c r="A62" s="3">
        <v>10</v>
      </c>
      <c r="B62" s="545" t="s">
        <v>243</v>
      </c>
      <c r="C62" s="160" t="s">
        <v>128</v>
      </c>
      <c r="D62" s="623"/>
      <c r="E62" s="624"/>
      <c r="F62" s="624"/>
      <c r="G62" s="624"/>
      <c r="H62" s="624"/>
      <c r="I62" s="624"/>
      <c r="J62" s="624"/>
      <c r="K62" s="633"/>
    </row>
    <row r="63" spans="1:11" s="2" customFormat="1">
      <c r="A63" s="3">
        <v>11</v>
      </c>
      <c r="B63" s="545" t="s">
        <v>243</v>
      </c>
      <c r="C63" s="160" t="s">
        <v>128</v>
      </c>
      <c r="D63" s="623"/>
      <c r="E63" s="624"/>
      <c r="F63" s="624"/>
      <c r="G63" s="624"/>
      <c r="H63" s="624"/>
      <c r="I63" s="624"/>
      <c r="J63" s="624"/>
      <c r="K63" s="633"/>
    </row>
    <row r="64" spans="1:11" s="2" customFormat="1">
      <c r="A64" s="3">
        <v>12</v>
      </c>
      <c r="B64" s="545" t="s">
        <v>243</v>
      </c>
      <c r="C64" s="160" t="s">
        <v>128</v>
      </c>
      <c r="D64" s="623"/>
      <c r="E64" s="624"/>
      <c r="F64" s="624"/>
      <c r="G64" s="624"/>
      <c r="H64" s="624"/>
      <c r="I64" s="624"/>
      <c r="J64" s="624"/>
      <c r="K64" s="633"/>
    </row>
    <row r="65" spans="1:11" s="2" customFormat="1">
      <c r="A65" s="3">
        <v>13</v>
      </c>
      <c r="B65" s="545" t="s">
        <v>243</v>
      </c>
      <c r="C65" s="160" t="s">
        <v>128</v>
      </c>
      <c r="D65" s="623"/>
      <c r="E65" s="624"/>
      <c r="F65" s="624"/>
      <c r="G65" s="624"/>
      <c r="H65" s="624"/>
      <c r="I65" s="624"/>
      <c r="J65" s="624"/>
      <c r="K65" s="633"/>
    </row>
    <row r="66" spans="1:11" s="2" customFormat="1">
      <c r="A66" s="3">
        <v>14</v>
      </c>
      <c r="B66" s="545" t="s">
        <v>243</v>
      </c>
      <c r="C66" s="160" t="s">
        <v>128</v>
      </c>
      <c r="D66" s="623"/>
      <c r="E66" s="624"/>
      <c r="F66" s="624"/>
      <c r="G66" s="624"/>
      <c r="H66" s="624"/>
      <c r="I66" s="624"/>
      <c r="J66" s="624"/>
      <c r="K66" s="633"/>
    </row>
    <row r="67" spans="1:11" s="2" customFormat="1">
      <c r="A67" s="3">
        <v>15</v>
      </c>
      <c r="B67" s="545" t="s">
        <v>243</v>
      </c>
      <c r="C67" s="160" t="s">
        <v>128</v>
      </c>
      <c r="D67" s="623"/>
      <c r="E67" s="624"/>
      <c r="F67" s="624"/>
      <c r="G67" s="624"/>
      <c r="H67" s="624"/>
      <c r="I67" s="624"/>
      <c r="J67" s="624"/>
      <c r="K67" s="633"/>
    </row>
    <row r="68" spans="1:11" s="2" customFormat="1">
      <c r="A68" s="3">
        <v>16</v>
      </c>
      <c r="B68" s="545" t="s">
        <v>243</v>
      </c>
      <c r="C68" s="160" t="s">
        <v>128</v>
      </c>
      <c r="D68" s="623"/>
      <c r="E68" s="624"/>
      <c r="F68" s="624"/>
      <c r="G68" s="624"/>
      <c r="H68" s="624"/>
      <c r="I68" s="624"/>
      <c r="J68" s="624"/>
      <c r="K68" s="633"/>
    </row>
    <row r="69" spans="1:11" s="2" customFormat="1">
      <c r="A69" s="3">
        <v>17</v>
      </c>
      <c r="B69" s="545" t="s">
        <v>243</v>
      </c>
      <c r="C69" s="160" t="s">
        <v>128</v>
      </c>
      <c r="D69" s="623"/>
      <c r="E69" s="624"/>
      <c r="F69" s="624"/>
      <c r="G69" s="624"/>
      <c r="H69" s="624"/>
      <c r="I69" s="624"/>
      <c r="J69" s="624"/>
      <c r="K69" s="633"/>
    </row>
    <row r="70" spans="1:11" s="2" customFormat="1">
      <c r="A70" s="3">
        <v>18</v>
      </c>
      <c r="B70" s="545" t="s">
        <v>243</v>
      </c>
      <c r="C70" s="160" t="s">
        <v>128</v>
      </c>
      <c r="D70" s="623"/>
      <c r="E70" s="624"/>
      <c r="F70" s="624"/>
      <c r="G70" s="624"/>
      <c r="H70" s="624"/>
      <c r="I70" s="624"/>
      <c r="J70" s="624"/>
      <c r="K70" s="633"/>
    </row>
    <row r="71" spans="1:11" s="2" customFormat="1">
      <c r="A71" s="3">
        <v>19</v>
      </c>
      <c r="B71" s="545" t="s">
        <v>243</v>
      </c>
      <c r="C71" s="160" t="s">
        <v>128</v>
      </c>
      <c r="D71" s="623"/>
      <c r="E71" s="624"/>
      <c r="F71" s="624"/>
      <c r="G71" s="624"/>
      <c r="H71" s="624"/>
      <c r="I71" s="624"/>
      <c r="J71" s="624"/>
      <c r="K71" s="633"/>
    </row>
    <row r="72" spans="1:11" s="2" customFormat="1">
      <c r="A72" s="3">
        <v>20</v>
      </c>
      <c r="B72" s="545" t="s">
        <v>243</v>
      </c>
      <c r="C72" s="160" t="s">
        <v>128</v>
      </c>
      <c r="D72" s="623"/>
      <c r="E72" s="624"/>
      <c r="F72" s="624"/>
      <c r="G72" s="624"/>
      <c r="H72" s="624"/>
      <c r="I72" s="624"/>
      <c r="J72" s="624"/>
      <c r="K72" s="633"/>
    </row>
    <row r="73" spans="1:11" s="2" customFormat="1">
      <c r="A73" s="3">
        <v>21</v>
      </c>
      <c r="B73" s="545" t="s">
        <v>243</v>
      </c>
      <c r="C73" s="160" t="s">
        <v>128</v>
      </c>
      <c r="D73" s="623"/>
      <c r="E73" s="624"/>
      <c r="F73" s="624"/>
      <c r="G73" s="624"/>
      <c r="H73" s="624"/>
      <c r="I73" s="624"/>
      <c r="J73" s="624"/>
      <c r="K73" s="633"/>
    </row>
    <row r="74" spans="1:11" s="2" customFormat="1">
      <c r="A74" s="3">
        <v>22</v>
      </c>
      <c r="B74" s="545" t="s">
        <v>243</v>
      </c>
      <c r="C74" s="160" t="s">
        <v>128</v>
      </c>
      <c r="D74" s="623"/>
      <c r="E74" s="624"/>
      <c r="F74" s="624"/>
      <c r="G74" s="624"/>
      <c r="H74" s="624"/>
      <c r="I74" s="624"/>
      <c r="J74" s="624"/>
      <c r="K74" s="633"/>
    </row>
    <row r="75" spans="1:11" s="2" customFormat="1">
      <c r="A75" s="3">
        <v>23</v>
      </c>
      <c r="B75" s="545" t="s">
        <v>243</v>
      </c>
      <c r="C75" s="160" t="s">
        <v>128</v>
      </c>
      <c r="D75" s="623"/>
      <c r="E75" s="624"/>
      <c r="F75" s="624"/>
      <c r="G75" s="624"/>
      <c r="H75" s="624"/>
      <c r="I75" s="624"/>
      <c r="J75" s="624"/>
      <c r="K75" s="633"/>
    </row>
    <row r="76" spans="1:11" s="2" customFormat="1">
      <c r="A76" s="3">
        <v>24</v>
      </c>
      <c r="B76" s="545" t="s">
        <v>243</v>
      </c>
      <c r="C76" s="160" t="s">
        <v>128</v>
      </c>
      <c r="D76" s="623"/>
      <c r="E76" s="624"/>
      <c r="F76" s="624"/>
      <c r="G76" s="624"/>
      <c r="H76" s="624"/>
      <c r="I76" s="624"/>
      <c r="J76" s="624"/>
      <c r="K76" s="633"/>
    </row>
    <row r="77" spans="1:11" s="2" customFormat="1">
      <c r="A77" s="3">
        <v>25</v>
      </c>
      <c r="B77" s="545" t="s">
        <v>243</v>
      </c>
      <c r="C77" s="160" t="s">
        <v>128</v>
      </c>
      <c r="D77" s="659"/>
      <c r="E77" s="660"/>
      <c r="F77" s="660"/>
      <c r="G77" s="660"/>
      <c r="H77" s="660"/>
      <c r="I77" s="660"/>
      <c r="J77" s="660"/>
      <c r="K77" s="661"/>
    </row>
    <row r="78" spans="1:11" s="2" customFormat="1">
      <c r="B78" s="12" t="s">
        <v>171</v>
      </c>
      <c r="C78" s="160" t="s">
        <v>128</v>
      </c>
      <c r="D78" s="637">
        <f>SUM(D53:D77)</f>
        <v>66.023099999999999</v>
      </c>
      <c r="E78" s="638">
        <f t="shared" ref="E78:K78" si="10">SUM(E53:E77)</f>
        <v>95.686599999999999</v>
      </c>
      <c r="F78" s="638">
        <f t="shared" si="10"/>
        <v>35.958998979194106</v>
      </c>
      <c r="G78" s="638">
        <f t="shared" si="10"/>
        <v>68.946665050508727</v>
      </c>
      <c r="H78" s="638">
        <f t="shared" si="10"/>
        <v>0</v>
      </c>
      <c r="I78" s="638">
        <f t="shared" si="10"/>
        <v>0</v>
      </c>
      <c r="J78" s="638">
        <f t="shared" si="10"/>
        <v>0</v>
      </c>
      <c r="K78" s="639">
        <f t="shared" si="10"/>
        <v>0</v>
      </c>
    </row>
    <row r="79" spans="1:11" s="2" customFormat="1">
      <c r="C79" s="144"/>
      <c r="D79" s="54"/>
      <c r="E79" s="53"/>
      <c r="F79" s="53"/>
      <c r="G79" s="53"/>
      <c r="H79" s="53"/>
      <c r="I79" s="53"/>
      <c r="J79" s="53"/>
      <c r="K79" s="53"/>
    </row>
    <row r="80" spans="1:11" s="2" customFormat="1">
      <c r="B80" s="12" t="s">
        <v>404</v>
      </c>
      <c r="C80" s="160" t="s">
        <v>128</v>
      </c>
      <c r="D80" s="637">
        <f>D48-D78</f>
        <v>141.99149390298572</v>
      </c>
      <c r="E80" s="638">
        <f t="shared" ref="E80:K80" si="11">E48-E78</f>
        <v>150.32858716494894</v>
      </c>
      <c r="F80" s="638">
        <f t="shared" si="11"/>
        <v>138.02438410435485</v>
      </c>
      <c r="G80" s="638">
        <f t="shared" si="11"/>
        <v>147.91417590450374</v>
      </c>
      <c r="H80" s="638">
        <f t="shared" si="11"/>
        <v>0</v>
      </c>
      <c r="I80" s="638">
        <f t="shared" si="11"/>
        <v>0</v>
      </c>
      <c r="J80" s="638">
        <f t="shared" si="11"/>
        <v>0</v>
      </c>
      <c r="K80" s="639">
        <f t="shared" si="11"/>
        <v>0</v>
      </c>
    </row>
    <row r="81" spans="2:11" s="2" customFormat="1">
      <c r="B81" s="12" t="s">
        <v>492</v>
      </c>
      <c r="C81" s="160" t="s">
        <v>128</v>
      </c>
      <c r="D81" s="671">
        <f>'R4 - Totex'!D90+'R4 - Totex'!D118</f>
        <v>141.99940000000001</v>
      </c>
      <c r="E81" s="672">
        <f>'R4 - Totex'!E90+'R4 - Totex'!E118</f>
        <v>150.29193199999997</v>
      </c>
      <c r="F81" s="672">
        <f>'R4 - Totex'!F90+'R4 - Totex'!F118</f>
        <v>137.99698395061603</v>
      </c>
      <c r="G81" s="672">
        <f>'R4 - Totex'!G90+'R4 - Totex'!G118</f>
        <v>147.90859562682806</v>
      </c>
      <c r="H81" s="672">
        <f>'R4 - Totex'!H90+'R4 - Totex'!H118</f>
        <v>160.65170009769028</v>
      </c>
      <c r="I81" s="672">
        <f>'R4 - Totex'!I90+'R4 - Totex'!I118</f>
        <v>165.28136692199087</v>
      </c>
      <c r="J81" s="672">
        <f>'R4 - Totex'!J90+'R4 - Totex'!J118</f>
        <v>165.62822990900477</v>
      </c>
      <c r="K81" s="672">
        <f>'R4 - Totex'!K90+'R4 - Totex'!K118</f>
        <v>170.50455516648069</v>
      </c>
    </row>
    <row r="82" spans="2:11" s="2" customFormat="1">
      <c r="C82" s="144" t="s">
        <v>405</v>
      </c>
      <c r="D82" s="599" t="str">
        <f>IF(D$5="Actuals",IF(ABS(D80-('R4 - Totex'!D90+'R4 - Totex'!D118))&lt;'RFPR cover'!$F$14,"OK","Error"),"N/A")</f>
        <v>OK</v>
      </c>
      <c r="E82" s="599" t="str">
        <f>IF(E$5="Actuals",IF(ABS(E80-('R4 - Totex'!E90+'R4 - Totex'!E118))&lt;'RFPR cover'!$F$14,"OK","Error"),"N/A")</f>
        <v>OK</v>
      </c>
      <c r="F82" s="599" t="str">
        <f>IF(F$5="Actuals",IF(ABS(F80-('R4 - Totex'!F90+'R4 - Totex'!F118))&lt;'RFPR cover'!$F$14,"OK","Error"),"N/A")</f>
        <v>OK</v>
      </c>
      <c r="G82" s="599" t="str">
        <f>IF(G$5="Actuals",IF(ABS(G80-('R4 - Totex'!G90+'R4 - Totex'!G118))&lt;'RFPR cover'!$F$14,"OK","Error"),"N/A")</f>
        <v>OK</v>
      </c>
      <c r="H82" s="599" t="str">
        <f>IF(H$5="Actuals",IF(ABS(H80-('R4 - Totex'!H90+'R4 - Totex'!H118))&lt;'RFPR cover'!$F$14,"OK","Error"),"N/A")</f>
        <v>N/A</v>
      </c>
      <c r="I82" s="599" t="str">
        <f>IF(I$5="Actuals",IF(ABS(I80-('R4 - Totex'!I90+'R4 - Totex'!I118))&lt;'RFPR cover'!$F$14,"OK","Error"),"N/A")</f>
        <v>N/A</v>
      </c>
      <c r="J82" s="599" t="str">
        <f>IF(J$5="Actuals",IF(ABS(J80-('R4 - Totex'!J90+'R4 - Totex'!J118))&lt;'RFPR cover'!$F$14,"OK","Error"),"N/A")</f>
        <v>N/A</v>
      </c>
      <c r="K82" s="599" t="str">
        <f>IF(K$5="Actuals",IF(ABS(K80-('R4 - Totex'!K90+'R4 - Totex'!K118))&lt;'RFPR cover'!$F$14,"OK","Error"),"N/A")</f>
        <v>N/A</v>
      </c>
    </row>
    <row r="83" spans="2:11" s="2" customFormat="1">
      <c r="C83" s="144"/>
    </row>
    <row r="84" spans="2:11">
      <c r="D84" s="225"/>
      <c r="E84" s="225"/>
      <c r="F84" s="225"/>
      <c r="G84" s="225"/>
      <c r="H84" s="225"/>
      <c r="I84" s="225"/>
      <c r="J84" s="225"/>
      <c r="K84" s="225"/>
    </row>
    <row r="85" spans="2:11">
      <c r="D85" s="225"/>
      <c r="E85" s="225"/>
      <c r="F85" s="225"/>
      <c r="G85" s="225"/>
      <c r="H85" s="225"/>
      <c r="I85" s="225"/>
      <c r="J85" s="225"/>
      <c r="K85" s="225"/>
    </row>
    <row r="86" spans="2:11">
      <c r="D86" s="225"/>
      <c r="E86" s="225"/>
      <c r="F86" s="225"/>
      <c r="G86" s="225"/>
      <c r="H86" s="225"/>
      <c r="I86" s="225"/>
      <c r="J86" s="225"/>
      <c r="K86" s="225"/>
    </row>
  </sheetData>
  <conditionalFormatting sqref="D6:J6">
    <cfRule type="expression" dxfId="57" priority="23">
      <formula>AND(D$5="Actuals",E$5="N/A")</formula>
    </cfRule>
  </conditionalFormatting>
  <conditionalFormatting sqref="D5:K5">
    <cfRule type="expression" dxfId="56" priority="14">
      <formula>AND(D$5="Actuals",E$5="N/A")</formula>
    </cfRule>
  </conditionalFormatting>
  <conditionalFormatting sqref="G9:K14 G26:K46 D50:K50 D57:K78 D80:K80 D82:K82 G18:K19 G23:K23 G48:K48 H53:K56 H49:K49">
    <cfRule type="expression" dxfId="55" priority="9">
      <formula>D$5="N/A"</formula>
    </cfRule>
  </conditionalFormatting>
  <conditionalFormatting sqref="G15:K17">
    <cfRule type="expression" dxfId="54" priority="8">
      <formula>G$5="N/A"</formula>
    </cfRule>
  </conditionalFormatting>
  <conditionalFormatting sqref="G20:K22">
    <cfRule type="expression" dxfId="53" priority="7">
      <formula>G$5="N/A"</formula>
    </cfRule>
  </conditionalFormatting>
  <conditionalFormatting sqref="D9:F14 D26:F46 D48:F48 D18:F19 D23:F23">
    <cfRule type="expression" dxfId="52" priority="6">
      <formula>D$5="N/A"</formula>
    </cfRule>
  </conditionalFormatting>
  <conditionalFormatting sqref="D15:F17">
    <cfRule type="expression" dxfId="51" priority="5">
      <formula>D$5="N/A"</formula>
    </cfRule>
  </conditionalFormatting>
  <conditionalFormatting sqref="D20:F22">
    <cfRule type="expression" dxfId="50" priority="4">
      <formula>D$5="N/A"</formula>
    </cfRule>
  </conditionalFormatting>
  <conditionalFormatting sqref="D53:F56">
    <cfRule type="expression" dxfId="49" priority="3">
      <formula>D$5="N/A"</formula>
    </cfRule>
  </conditionalFormatting>
  <conditionalFormatting sqref="D49:G49">
    <cfRule type="expression" dxfId="48" priority="2">
      <formula>D$5="N/A"</formula>
    </cfRule>
  </conditionalFormatting>
  <conditionalFormatting sqref="G53:G56">
    <cfRule type="expression" dxfId="47" priority="1">
      <formula>G$5="N/A"</formula>
    </cfRule>
  </conditionalFormatting>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7" activePane="bottomLeft" state="frozen"/>
      <selection activeCell="D8" sqref="D8"/>
      <selection pane="bottomLeft" activeCell="A3" sqref="A3"/>
    </sheetView>
  </sheetViews>
  <sheetFormatPr defaultColWidth="9.125" defaultRowHeight="12.75"/>
  <cols>
    <col min="1" max="1" width="8.375" style="2" customWidth="1"/>
    <col min="2" max="2" width="75.5" style="134" customWidth="1"/>
    <col min="3" max="3" width="13.375" style="144" customWidth="1"/>
    <col min="4" max="11" width="11.125" style="2" customWidth="1"/>
    <col min="12" max="13" width="12.875" style="2" customWidth="1"/>
    <col min="14" max="14" width="25.5" style="2" customWidth="1"/>
    <col min="15" max="16384" width="9.125" style="2"/>
  </cols>
  <sheetData>
    <row r="1" spans="1:20" s="32" customFormat="1" ht="20.25">
      <c r="A1" s="382" t="s">
        <v>99</v>
      </c>
      <c r="B1" s="413"/>
      <c r="C1" s="292"/>
      <c r="D1" s="269"/>
      <c r="E1" s="269"/>
      <c r="F1" s="269"/>
      <c r="G1" s="269"/>
      <c r="H1" s="269"/>
      <c r="I1" s="270"/>
      <c r="J1" s="270"/>
      <c r="K1" s="271"/>
      <c r="L1" s="271"/>
      <c r="M1" s="271"/>
      <c r="N1" s="271"/>
      <c r="O1" s="383"/>
    </row>
    <row r="2" spans="1:20" s="32" customFormat="1" ht="20.25">
      <c r="A2" s="126" t="str">
        <f>'RFPR cover'!C5</f>
        <v>WPD-SWALES</v>
      </c>
      <c r="B2" s="414"/>
      <c r="C2" s="142"/>
      <c r="D2" s="30"/>
      <c r="E2" s="30"/>
      <c r="F2" s="30"/>
      <c r="G2" s="30"/>
      <c r="H2" s="30"/>
      <c r="I2" s="27"/>
      <c r="J2" s="27"/>
      <c r="K2" s="27"/>
      <c r="L2" s="27"/>
      <c r="M2" s="27"/>
      <c r="N2" s="27"/>
      <c r="O2" s="127"/>
    </row>
    <row r="3" spans="1:20" s="32" customFormat="1" ht="20.25">
      <c r="A3" s="273">
        <f>'RFPR cover'!C7</f>
        <v>2019</v>
      </c>
      <c r="B3" s="415"/>
      <c r="C3" s="291"/>
      <c r="D3" s="274"/>
      <c r="E3" s="274"/>
      <c r="F3" s="274"/>
      <c r="G3" s="274"/>
      <c r="H3" s="274"/>
      <c r="I3" s="267"/>
      <c r="J3" s="267"/>
      <c r="K3" s="267"/>
      <c r="L3" s="267"/>
      <c r="M3" s="267"/>
      <c r="N3" s="267"/>
      <c r="O3" s="275"/>
    </row>
    <row r="4" spans="1:20" ht="12.75" customHeight="1"/>
    <row r="5" spans="1:20" ht="12.75" customHeight="1">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20" ht="27.75" customHeight="1">
      <c r="B6" s="799"/>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109</v>
      </c>
      <c r="N6" s="121" t="s">
        <v>311</v>
      </c>
    </row>
    <row r="7" spans="1:20" s="36" customFormat="1">
      <c r="B7" s="800"/>
      <c r="C7" s="166"/>
      <c r="D7" s="59"/>
      <c r="E7" s="59"/>
      <c r="F7" s="59"/>
      <c r="G7" s="59"/>
      <c r="H7" s="59"/>
      <c r="I7" s="59"/>
      <c r="J7" s="59"/>
      <c r="K7" s="59"/>
      <c r="L7" s="59"/>
      <c r="M7" s="59"/>
      <c r="N7" s="59"/>
    </row>
    <row r="8" spans="1:20" s="36" customFormat="1">
      <c r="B8" s="801" t="s">
        <v>392</v>
      </c>
      <c r="C8" s="306"/>
      <c r="D8" s="340"/>
      <c r="E8" s="340"/>
      <c r="F8" s="340"/>
      <c r="G8" s="340"/>
      <c r="H8" s="340"/>
      <c r="I8" s="340"/>
      <c r="J8" s="340"/>
      <c r="K8" s="340"/>
      <c r="L8" s="340"/>
      <c r="M8" s="340"/>
      <c r="N8" s="340"/>
    </row>
    <row r="9" spans="1:20" s="36" customFormat="1">
      <c r="B9" s="800"/>
      <c r="C9" s="166"/>
      <c r="D9" s="59"/>
      <c r="E9" s="59"/>
      <c r="F9" s="59"/>
      <c r="G9" s="59"/>
      <c r="H9" s="59"/>
      <c r="I9" s="59"/>
      <c r="J9" s="59"/>
      <c r="K9" s="59"/>
      <c r="L9" s="59"/>
      <c r="M9" s="59"/>
      <c r="N9" s="59"/>
    </row>
    <row r="10" spans="1:20">
      <c r="A10" s="36"/>
      <c r="B10" s="802" t="str">
        <f>Data!B48</f>
        <v>Totex</v>
      </c>
      <c r="C10" s="158"/>
      <c r="D10" s="83"/>
      <c r="E10" s="83"/>
      <c r="F10" s="83"/>
      <c r="G10" s="83"/>
      <c r="H10" s="83"/>
      <c r="I10" s="83"/>
      <c r="J10" s="83"/>
      <c r="K10" s="83"/>
      <c r="L10" s="83"/>
      <c r="M10" s="83"/>
      <c r="N10" s="83"/>
    </row>
    <row r="11" spans="1:20" s="36" customFormat="1">
      <c r="B11" s="803"/>
      <c r="C11" s="146"/>
      <c r="D11" s="339"/>
      <c r="E11" s="339"/>
      <c r="F11" s="339"/>
      <c r="G11" s="339"/>
      <c r="H11" s="339"/>
      <c r="I11" s="339"/>
      <c r="J11" s="339"/>
      <c r="K11" s="339"/>
      <c r="L11" s="339"/>
      <c r="M11" s="339"/>
      <c r="N11" s="339"/>
    </row>
    <row r="12" spans="1:20">
      <c r="A12" s="36"/>
      <c r="B12" s="324" t="s">
        <v>34</v>
      </c>
      <c r="C12" s="163" t="str">
        <f>'RFPR cover'!$C$14</f>
        <v>£m 12/13</v>
      </c>
      <c r="D12" s="508">
        <v>133.92167995204929</v>
      </c>
      <c r="E12" s="509">
        <v>138.76901363852491</v>
      </c>
      <c r="F12" s="509">
        <v>122.82076930506562</v>
      </c>
      <c r="G12" s="509">
        <v>127.73919421616813</v>
      </c>
      <c r="H12" s="509">
        <v>135.19571111693995</v>
      </c>
      <c r="I12" s="509">
        <v>135.33620654763001</v>
      </c>
      <c r="J12" s="509">
        <v>131.63817130315996</v>
      </c>
      <c r="K12" s="509">
        <v>131.47104729588997</v>
      </c>
      <c r="L12" s="109">
        <f>SUM(D12:INDEX(D12:K12,0,MATCH('RFPR cover'!$C$7,$D$6:$K$6,0)))</f>
        <v>523.25065711180798</v>
      </c>
      <c r="M12" s="110">
        <f>SUM(D12:K12)</f>
        <v>1056.8917933754278</v>
      </c>
      <c r="N12" s="64"/>
      <c r="O12" s="64"/>
    </row>
    <row r="13" spans="1:20" ht="25.5">
      <c r="A13" s="36"/>
      <c r="B13" s="804" t="s">
        <v>504</v>
      </c>
      <c r="C13" s="163" t="str">
        <f>'RFPR cover'!$C$14</f>
        <v>£m 12/13</v>
      </c>
      <c r="D13" s="510">
        <v>146.90467326793143</v>
      </c>
      <c r="E13" s="511">
        <v>148.24656160318904</v>
      </c>
      <c r="F13" s="511">
        <v>140.33341840747909</v>
      </c>
      <c r="G13" s="511">
        <v>148.98742186593293</v>
      </c>
      <c r="H13" s="511">
        <v>136.48695794923788</v>
      </c>
      <c r="I13" s="511">
        <v>124.08496411075618</v>
      </c>
      <c r="J13" s="511">
        <v>119.49019775830132</v>
      </c>
      <c r="K13" s="511">
        <v>121.80914256404387</v>
      </c>
      <c r="L13" s="107">
        <f>SUM(D13:INDEX(D13:K13,0,MATCH('RFPR cover'!$C$7,$D$6:$K$6,0)))</f>
        <v>584.47207514453248</v>
      </c>
      <c r="M13" s="108">
        <f>SUM(D13:K13)</f>
        <v>1086.3433375268717</v>
      </c>
      <c r="N13" s="64"/>
      <c r="O13" s="64"/>
    </row>
    <row r="14" spans="1:20">
      <c r="A14" s="36"/>
      <c r="B14" s="805" t="s">
        <v>195</v>
      </c>
      <c r="C14" s="163" t="str">
        <f>'RFPR cover'!$C$14</f>
        <v>£m 12/13</v>
      </c>
      <c r="D14" s="104">
        <f>D13-D12</f>
        <v>12.98299331588214</v>
      </c>
      <c r="E14" s="105">
        <f t="shared" ref="E14:M14" si="1">E13-E12</f>
        <v>9.4775479646641259</v>
      </c>
      <c r="F14" s="105">
        <f t="shared" si="1"/>
        <v>17.512649102413462</v>
      </c>
      <c r="G14" s="105">
        <f t="shared" si="1"/>
        <v>21.2482276497648</v>
      </c>
      <c r="H14" s="105">
        <f t="shared" si="1"/>
        <v>1.2912468322979294</v>
      </c>
      <c r="I14" s="105">
        <f t="shared" si="1"/>
        <v>-11.251242436873838</v>
      </c>
      <c r="J14" s="105">
        <f t="shared" si="1"/>
        <v>-12.147973544858644</v>
      </c>
      <c r="K14" s="105">
        <f t="shared" si="1"/>
        <v>-9.6619047318461071</v>
      </c>
      <c r="L14" s="104">
        <f t="shared" si="1"/>
        <v>61.2214180327245</v>
      </c>
      <c r="M14" s="106">
        <f t="shared" si="1"/>
        <v>29.451544151443841</v>
      </c>
      <c r="N14" s="64"/>
      <c r="O14" s="983"/>
      <c r="P14" s="983"/>
      <c r="Q14" s="983"/>
      <c r="R14"/>
      <c r="S14"/>
      <c r="T14"/>
    </row>
    <row r="15" spans="1:20">
      <c r="A15" s="36"/>
      <c r="B15" s="805"/>
      <c r="C15" s="163"/>
      <c r="D15" s="60"/>
      <c r="E15" s="60"/>
      <c r="F15" s="60"/>
      <c r="G15" s="60"/>
      <c r="H15" s="60"/>
      <c r="I15" s="60"/>
      <c r="J15" s="60"/>
      <c r="K15" s="60"/>
      <c r="L15" s="60"/>
      <c r="M15" s="60"/>
      <c r="O15" s="65"/>
      <c r="P15" s="65"/>
      <c r="Q15" s="65"/>
      <c r="R15"/>
      <c r="S15"/>
      <c r="T15"/>
    </row>
    <row r="16" spans="1:20">
      <c r="A16" s="36"/>
      <c r="B16" s="799" t="s">
        <v>178</v>
      </c>
      <c r="C16" s="144" t="s">
        <v>7</v>
      </c>
      <c r="D16" s="111">
        <f>1-INDEX(Data!$D$73:$D$100,MATCH('RFPR cover'!$C$5,Data!$B$73:$B$100,0),0)</f>
        <v>0.30000000000000004</v>
      </c>
      <c r="E16" s="112">
        <f>1-INDEX(Data!$D$73:$D$100,MATCH('RFPR cover'!$C$5,Data!$B$73:$B$100,0),0)</f>
        <v>0.30000000000000004</v>
      </c>
      <c r="F16" s="112">
        <f>1-INDEX(Data!$D$73:$D$100,MATCH('RFPR cover'!$C$5,Data!$B$73:$B$100,0),0)</f>
        <v>0.30000000000000004</v>
      </c>
      <c r="G16" s="112">
        <f>1-INDEX(Data!$D$73:$D$100,MATCH('RFPR cover'!$C$5,Data!$B$73:$B$100,0),0)</f>
        <v>0.30000000000000004</v>
      </c>
      <c r="H16" s="112">
        <f>1-INDEX(Data!$D$73:$D$100,MATCH('RFPR cover'!$C$5,Data!$B$73:$B$100,0),0)</f>
        <v>0.30000000000000004</v>
      </c>
      <c r="I16" s="112">
        <f>1-INDEX(Data!$D$73:$D$100,MATCH('RFPR cover'!$C$5,Data!$B$73:$B$100,0),0)</f>
        <v>0.30000000000000004</v>
      </c>
      <c r="J16" s="112">
        <f>1-INDEX(Data!$D$73:$D$100,MATCH('RFPR cover'!$C$5,Data!$B$73:$B$100,0),0)</f>
        <v>0.30000000000000004</v>
      </c>
      <c r="K16" s="113">
        <f>1-INDEX(Data!$D$73:$D$100,MATCH('RFPR cover'!$C$5,Data!$B$73:$B$100,0),0)</f>
        <v>0.30000000000000004</v>
      </c>
      <c r="L16" s="63"/>
      <c r="M16" s="63"/>
      <c r="O16"/>
      <c r="P16"/>
      <c r="Q16"/>
      <c r="R16"/>
      <c r="S16"/>
      <c r="T16"/>
    </row>
    <row r="17" spans="1:20">
      <c r="A17" s="36"/>
      <c r="B17" s="799"/>
      <c r="O17"/>
      <c r="P17"/>
      <c r="Q17"/>
      <c r="R17"/>
      <c r="S17"/>
      <c r="T17"/>
    </row>
    <row r="18" spans="1:20">
      <c r="A18" s="36"/>
      <c r="B18" s="806" t="s">
        <v>183</v>
      </c>
      <c r="C18" s="167" t="str">
        <f>'RFPR cover'!$C$14</f>
        <v>£m 12/13</v>
      </c>
      <c r="D18" s="97">
        <f>D14*D16</f>
        <v>3.8948979947646425</v>
      </c>
      <c r="E18" s="98">
        <f t="shared" ref="E18:K18" si="2">E14*E16</f>
        <v>2.8432643893992382</v>
      </c>
      <c r="F18" s="98">
        <f t="shared" si="2"/>
        <v>5.2537947307240396</v>
      </c>
      <c r="G18" s="98">
        <f t="shared" si="2"/>
        <v>6.3744682949294411</v>
      </c>
      <c r="H18" s="98">
        <f t="shared" si="2"/>
        <v>0.38737404968937889</v>
      </c>
      <c r="I18" s="98">
        <f t="shared" si="2"/>
        <v>-3.3753727310621517</v>
      </c>
      <c r="J18" s="98">
        <f t="shared" si="2"/>
        <v>-3.6443920634575937</v>
      </c>
      <c r="K18" s="98">
        <f t="shared" si="2"/>
        <v>-2.8985714195538326</v>
      </c>
      <c r="L18" s="97">
        <f>SUM(D18:INDEX(D18:K18,0,MATCH('RFPR cover'!$C$7,$D$6:$K$6,0)))</f>
        <v>18.36642540981736</v>
      </c>
      <c r="M18" s="99">
        <f>SUM(D18:K18)</f>
        <v>8.8354632454331608</v>
      </c>
      <c r="O18"/>
      <c r="P18"/>
      <c r="Q18"/>
      <c r="R18"/>
      <c r="S18"/>
      <c r="T18"/>
    </row>
    <row r="19" spans="1:20">
      <c r="A19" s="36"/>
      <c r="B19" s="806" t="s">
        <v>280</v>
      </c>
      <c r="C19" s="167" t="str">
        <f>'RFPR cover'!$C$14</f>
        <v>£m 12/13</v>
      </c>
      <c r="D19" s="94">
        <f>D14*(1-D16)</f>
        <v>9.088095321117498</v>
      </c>
      <c r="E19" s="95">
        <f t="shared" ref="E19:K19" si="3">E14*(1-E16)</f>
        <v>6.6342835752648881</v>
      </c>
      <c r="F19" s="95">
        <f t="shared" si="3"/>
        <v>12.258854371689424</v>
      </c>
      <c r="G19" s="95">
        <f t="shared" si="3"/>
        <v>14.873759354835359</v>
      </c>
      <c r="H19" s="95">
        <f t="shared" si="3"/>
        <v>0.90387278260855053</v>
      </c>
      <c r="I19" s="95">
        <f t="shared" si="3"/>
        <v>-7.8758697058116862</v>
      </c>
      <c r="J19" s="95">
        <f t="shared" si="3"/>
        <v>-8.5035814814010493</v>
      </c>
      <c r="K19" s="95">
        <f t="shared" si="3"/>
        <v>-6.763333312292275</v>
      </c>
      <c r="L19" s="94">
        <f>SUM(D19:INDEX(D19:K19,0,MATCH('RFPR cover'!$C$7,$D$6:$K$6,0)))</f>
        <v>42.854992622907169</v>
      </c>
      <c r="M19" s="96">
        <f>SUM(D19:K19)</f>
        <v>20.616080906010708</v>
      </c>
      <c r="O19"/>
      <c r="P19"/>
      <c r="Q19"/>
      <c r="R19"/>
      <c r="S19"/>
      <c r="T19"/>
    </row>
    <row r="20" spans="1:20">
      <c r="A20" s="36"/>
      <c r="B20" s="799"/>
      <c r="O20"/>
      <c r="P20"/>
      <c r="Q20"/>
      <c r="R20"/>
      <c r="S20"/>
      <c r="T20"/>
    </row>
    <row r="21" spans="1:20">
      <c r="A21" s="36"/>
      <c r="B21" s="807" t="s">
        <v>182</v>
      </c>
      <c r="N21" s="64"/>
      <c r="O21"/>
      <c r="P21"/>
      <c r="Q21"/>
      <c r="R21"/>
      <c r="S21"/>
      <c r="T21"/>
    </row>
    <row r="22" spans="1:20">
      <c r="A22" s="283" t="s">
        <v>151</v>
      </c>
      <c r="B22" s="797" t="s">
        <v>572</v>
      </c>
      <c r="C22" s="163" t="str">
        <f>'RFPR cover'!$C$14</f>
        <v>£m 12/13</v>
      </c>
      <c r="D22" s="609">
        <v>0</v>
      </c>
      <c r="E22" s="610">
        <v>8.893239566609946</v>
      </c>
      <c r="F22" s="610">
        <v>-8.1259939209945298</v>
      </c>
      <c r="G22" s="610">
        <v>-0.43209705339687315</v>
      </c>
      <c r="H22" s="610">
        <v>0</v>
      </c>
      <c r="I22" s="610">
        <v>0</v>
      </c>
      <c r="J22" s="610">
        <v>0</v>
      </c>
      <c r="K22" s="610">
        <v>0</v>
      </c>
      <c r="L22" s="611">
        <f>SUM(D22:INDEX(D22:K22,0,MATCH('RFPR cover'!$C$7,$D$6:$K$6,0)))</f>
        <v>0.33514859221854304</v>
      </c>
      <c r="M22" s="612">
        <f t="shared" ref="M22:M27" si="4">SUM(D22:K22)</f>
        <v>0.33514859221854304</v>
      </c>
      <c r="N22" s="600" t="s">
        <v>589</v>
      </c>
      <c r="O22"/>
      <c r="P22"/>
      <c r="Q22"/>
      <c r="R22"/>
      <c r="S22"/>
      <c r="T22"/>
    </row>
    <row r="23" spans="1:20">
      <c r="A23" s="283" t="s">
        <v>152</v>
      </c>
      <c r="B23" s="797" t="s">
        <v>573</v>
      </c>
      <c r="C23" s="163" t="str">
        <f>'RFPR cover'!$C$14</f>
        <v>£m 12/13</v>
      </c>
      <c r="D23" s="613">
        <v>0</v>
      </c>
      <c r="E23" s="614">
        <v>0</v>
      </c>
      <c r="F23" s="614">
        <v>-32.492576467475004</v>
      </c>
      <c r="G23" s="614">
        <v>-5.6790889221175025</v>
      </c>
      <c r="H23" s="614">
        <v>0</v>
      </c>
      <c r="I23" s="614">
        <v>12.723999999999998</v>
      </c>
      <c r="J23" s="614">
        <v>12.723999999999998</v>
      </c>
      <c r="K23" s="614">
        <v>12.72366538959251</v>
      </c>
      <c r="L23" s="615">
        <f>SUM(D23:INDEX(D23:K23,0,MATCH('RFPR cover'!$C$7,$D$6:$K$6,0)))</f>
        <v>-38.171665389592505</v>
      </c>
      <c r="M23" s="616">
        <f t="shared" si="4"/>
        <v>0</v>
      </c>
      <c r="N23" s="601" t="s">
        <v>589</v>
      </c>
      <c r="O23"/>
      <c r="P23"/>
      <c r="Q23"/>
      <c r="R23"/>
      <c r="S23"/>
      <c r="T23"/>
    </row>
    <row r="24" spans="1:20">
      <c r="A24" s="283" t="s">
        <v>153</v>
      </c>
      <c r="B24" s="797" t="s">
        <v>588</v>
      </c>
      <c r="C24" s="163" t="str">
        <f>'RFPR cover'!$C$14</f>
        <v>£m 12/13</v>
      </c>
      <c r="D24" s="613">
        <v>0</v>
      </c>
      <c r="E24" s="614">
        <v>0</v>
      </c>
      <c r="F24" s="614">
        <v>0</v>
      </c>
      <c r="G24" s="614">
        <v>0</v>
      </c>
      <c r="H24" s="614">
        <v>0</v>
      </c>
      <c r="I24" s="614">
        <v>0</v>
      </c>
      <c r="J24" s="614">
        <v>0</v>
      </c>
      <c r="K24" s="614">
        <v>0</v>
      </c>
      <c r="L24" s="615">
        <f>SUM(D24:INDEX(D24:K24,0,MATCH('RFPR cover'!$C$7,$D$6:$K$6,0)))</f>
        <v>0</v>
      </c>
      <c r="M24" s="616">
        <f t="shared" si="4"/>
        <v>0</v>
      </c>
      <c r="N24" s="601" t="s">
        <v>589</v>
      </c>
      <c r="O24"/>
      <c r="P24"/>
      <c r="Q24"/>
      <c r="R24"/>
      <c r="S24" s="66"/>
      <c r="T24"/>
    </row>
    <row r="25" spans="1:20">
      <c r="A25" s="283" t="s">
        <v>168</v>
      </c>
      <c r="B25" s="797" t="s">
        <v>242</v>
      </c>
      <c r="C25" s="163" t="str">
        <f>'RFPR cover'!$C$14</f>
        <v>£m 12/13</v>
      </c>
      <c r="D25" s="613"/>
      <c r="E25" s="614"/>
      <c r="F25" s="614"/>
      <c r="G25" s="614"/>
      <c r="H25" s="614"/>
      <c r="I25" s="614"/>
      <c r="J25" s="614"/>
      <c r="K25" s="614"/>
      <c r="L25" s="615">
        <f>SUM(D25:INDEX(D25:K25,0,MATCH('RFPR cover'!$C$7,$D$6:$K$6,0)))</f>
        <v>0</v>
      </c>
      <c r="M25" s="616">
        <f t="shared" si="4"/>
        <v>0</v>
      </c>
      <c r="N25" s="601"/>
      <c r="O25"/>
      <c r="P25"/>
      <c r="Q25"/>
      <c r="R25"/>
      <c r="S25"/>
      <c r="T25"/>
    </row>
    <row r="26" spans="1:20">
      <c r="A26" s="283" t="s">
        <v>169</v>
      </c>
      <c r="B26" s="797" t="s">
        <v>242</v>
      </c>
      <c r="C26" s="163" t="str">
        <f>'RFPR cover'!$C$14</f>
        <v>£m 12/13</v>
      </c>
      <c r="D26" s="613"/>
      <c r="E26" s="614"/>
      <c r="F26" s="614"/>
      <c r="G26" s="614"/>
      <c r="H26" s="614"/>
      <c r="I26" s="614"/>
      <c r="J26" s="614"/>
      <c r="K26" s="614"/>
      <c r="L26" s="615">
        <f>SUM(D26:INDEX(D26:K26,0,MATCH('RFPR cover'!$C$7,$D$6:$K$6,0)))</f>
        <v>0</v>
      </c>
      <c r="M26" s="616">
        <f t="shared" si="4"/>
        <v>0</v>
      </c>
      <c r="N26" s="601"/>
      <c r="O26"/>
      <c r="P26"/>
      <c r="Q26"/>
      <c r="R26"/>
      <c r="S26"/>
      <c r="T26"/>
    </row>
    <row r="27" spans="1:20">
      <c r="A27" s="283" t="s">
        <v>170</v>
      </c>
      <c r="B27" s="797" t="s">
        <v>242</v>
      </c>
      <c r="C27" s="163" t="str">
        <f>'RFPR cover'!$C$14</f>
        <v>£m 12/13</v>
      </c>
      <c r="D27" s="617"/>
      <c r="E27" s="618"/>
      <c r="F27" s="618"/>
      <c r="G27" s="618"/>
      <c r="H27" s="618"/>
      <c r="I27" s="618"/>
      <c r="J27" s="618"/>
      <c r="K27" s="618"/>
      <c r="L27" s="619">
        <f>SUM(D27:INDEX(D27:K27,0,MATCH('RFPR cover'!$C$7,$D$6:$K$6,0)))</f>
        <v>0</v>
      </c>
      <c r="M27" s="620">
        <f t="shared" si="4"/>
        <v>0</v>
      </c>
      <c r="N27" s="602"/>
      <c r="O27"/>
      <c r="P27"/>
      <c r="Q27"/>
      <c r="R27"/>
      <c r="S27"/>
      <c r="T27"/>
    </row>
    <row r="28" spans="1:20">
      <c r="A28" s="36"/>
      <c r="B28" s="807" t="s">
        <v>190</v>
      </c>
      <c r="C28" s="163" t="str">
        <f>'RFPR cover'!$C$14</f>
        <v>£m 12/13</v>
      </c>
      <c r="D28" s="104">
        <f>SUM(D22:D27)</f>
        <v>0</v>
      </c>
      <c r="E28" s="105">
        <f t="shared" ref="E28:K28" si="5">SUM(E22:E27)</f>
        <v>8.893239566609946</v>
      </c>
      <c r="F28" s="105">
        <f t="shared" si="5"/>
        <v>-40.618570388469536</v>
      </c>
      <c r="G28" s="105">
        <f t="shared" si="5"/>
        <v>-6.1111859755143758</v>
      </c>
      <c r="H28" s="105">
        <f t="shared" si="5"/>
        <v>0</v>
      </c>
      <c r="I28" s="105">
        <f t="shared" si="5"/>
        <v>12.723999999999998</v>
      </c>
      <c r="J28" s="105">
        <f t="shared" si="5"/>
        <v>12.723999999999998</v>
      </c>
      <c r="K28" s="105">
        <f t="shared" si="5"/>
        <v>12.72366538959251</v>
      </c>
      <c r="L28" s="104">
        <f>SUM(D28:INDEX(D28:K28,0,MATCH('RFPR cover'!$C$7,$D$6:$K$6,0)))</f>
        <v>-37.836516797373967</v>
      </c>
      <c r="M28" s="106">
        <f>SUM(D28:K28)</f>
        <v>0.33514859221853754</v>
      </c>
      <c r="N28" s="64"/>
    </row>
    <row r="29" spans="1:20">
      <c r="A29" s="36"/>
      <c r="B29" s="799"/>
    </row>
    <row r="30" spans="1:20">
      <c r="A30" s="36"/>
      <c r="B30" s="806" t="s">
        <v>198</v>
      </c>
      <c r="C30" s="167" t="str">
        <f>'RFPR cover'!$C$14</f>
        <v>£m 12/13</v>
      </c>
      <c r="D30" s="97">
        <f t="shared" ref="D30:K30" si="6">D28*D16</f>
        <v>0</v>
      </c>
      <c r="E30" s="98">
        <f t="shared" si="6"/>
        <v>2.667971869982984</v>
      </c>
      <c r="F30" s="98">
        <f t="shared" si="6"/>
        <v>-12.185571116540862</v>
      </c>
      <c r="G30" s="98">
        <f t="shared" si="6"/>
        <v>-1.8333557926543129</v>
      </c>
      <c r="H30" s="98">
        <f t="shared" si="6"/>
        <v>0</v>
      </c>
      <c r="I30" s="98">
        <f t="shared" si="6"/>
        <v>3.8172000000000001</v>
      </c>
      <c r="J30" s="98">
        <f t="shared" si="6"/>
        <v>3.8172000000000001</v>
      </c>
      <c r="K30" s="98">
        <f t="shared" si="6"/>
        <v>3.8170996168777536</v>
      </c>
      <c r="L30" s="97">
        <f>SUM(D30:INDEX(D30:K30,0,MATCH('RFPR cover'!$C$7,$D$6:$K$6,0)))</f>
        <v>-11.350955039212192</v>
      </c>
      <c r="M30" s="99">
        <f>SUM(D30:K30)</f>
        <v>0.1005445776655618</v>
      </c>
    </row>
    <row r="31" spans="1:20">
      <c r="A31" s="36"/>
      <c r="B31" s="806" t="s">
        <v>309</v>
      </c>
      <c r="C31" s="167" t="str">
        <f>'RFPR cover'!$C$14</f>
        <v>£m 12/13</v>
      </c>
      <c r="D31" s="94">
        <f t="shared" ref="D31:K31" si="7">D28*(1-D16)</f>
        <v>0</v>
      </c>
      <c r="E31" s="95">
        <f t="shared" si="7"/>
        <v>6.225267696626962</v>
      </c>
      <c r="F31" s="95">
        <f t="shared" si="7"/>
        <v>-28.432999271928672</v>
      </c>
      <c r="G31" s="95">
        <f t="shared" si="7"/>
        <v>-4.2778301828600629</v>
      </c>
      <c r="H31" s="95">
        <f t="shared" si="7"/>
        <v>0</v>
      </c>
      <c r="I31" s="95">
        <f t="shared" si="7"/>
        <v>8.9067999999999987</v>
      </c>
      <c r="J31" s="95">
        <f t="shared" si="7"/>
        <v>8.9067999999999987</v>
      </c>
      <c r="K31" s="95">
        <f t="shared" si="7"/>
        <v>8.9065657727147567</v>
      </c>
      <c r="L31" s="94">
        <f>SUM(D31:INDEX(D31:K31,0,MATCH('RFPR cover'!$C$7,$D$6:$K$6,0)))</f>
        <v>-26.485561758161772</v>
      </c>
      <c r="M31" s="96">
        <f>SUM(D31:K31)</f>
        <v>0.23460401455298019</v>
      </c>
    </row>
    <row r="32" spans="1:20">
      <c r="A32" s="36"/>
      <c r="B32" s="799"/>
    </row>
    <row r="33" spans="1:20">
      <c r="A33" s="36"/>
      <c r="B33" s="807" t="s">
        <v>181</v>
      </c>
    </row>
    <row r="34" spans="1:20">
      <c r="A34" s="36"/>
      <c r="B34" s="799" t="s">
        <v>180</v>
      </c>
      <c r="C34" s="163" t="str">
        <f>'RFPR cover'!$C$14</f>
        <v>£m 12/13</v>
      </c>
      <c r="D34" s="97">
        <f>D18+D30</f>
        <v>3.8948979947646425</v>
      </c>
      <c r="E34" s="98">
        <f t="shared" ref="E34:K34" si="8">E18+E30</f>
        <v>5.5112362593822226</v>
      </c>
      <c r="F34" s="98">
        <f t="shared" si="8"/>
        <v>-6.9317763858168222</v>
      </c>
      <c r="G34" s="98">
        <f t="shared" si="8"/>
        <v>4.5411125022751282</v>
      </c>
      <c r="H34" s="98">
        <f t="shared" si="8"/>
        <v>0.38737404968937889</v>
      </c>
      <c r="I34" s="98">
        <f t="shared" si="8"/>
        <v>0.44182726893784841</v>
      </c>
      <c r="J34" s="98">
        <f t="shared" si="8"/>
        <v>0.17280793654240645</v>
      </c>
      <c r="K34" s="98">
        <f t="shared" si="8"/>
        <v>0.91852819732392099</v>
      </c>
      <c r="L34" s="97">
        <f>SUM(D34:INDEX(D34:K34,0,MATCH('RFPR cover'!$C$7,$D$6:$K$6,0)))</f>
        <v>7.0154703706051711</v>
      </c>
      <c r="M34" s="99">
        <f>SUM(D34:K34)</f>
        <v>8.936007823098727</v>
      </c>
    </row>
    <row r="35" spans="1:20">
      <c r="A35" s="36"/>
      <c r="B35" s="799" t="s">
        <v>280</v>
      </c>
      <c r="C35" s="163" t="str">
        <f>'RFPR cover'!$C$14</f>
        <v>£m 12/13</v>
      </c>
      <c r="D35" s="100">
        <f>D19+D31</f>
        <v>9.088095321117498</v>
      </c>
      <c r="E35" s="101">
        <f t="shared" ref="E35:K35" si="9">E19+E31</f>
        <v>12.859551271891849</v>
      </c>
      <c r="F35" s="101">
        <f t="shared" si="9"/>
        <v>-16.174144900239249</v>
      </c>
      <c r="G35" s="101">
        <f t="shared" si="9"/>
        <v>10.595929171975296</v>
      </c>
      <c r="H35" s="101">
        <f t="shared" si="9"/>
        <v>0.90387278260855053</v>
      </c>
      <c r="I35" s="101">
        <f t="shared" si="9"/>
        <v>1.0309302941883125</v>
      </c>
      <c r="J35" s="101">
        <f t="shared" si="9"/>
        <v>0.40321851859894942</v>
      </c>
      <c r="K35" s="101">
        <f t="shared" si="9"/>
        <v>2.1432324604224817</v>
      </c>
      <c r="L35" s="100">
        <f>SUM(D35:INDEX(D35:K35,0,MATCH('RFPR cover'!$C$7,$D$6:$K$6,0)))</f>
        <v>16.369430864745393</v>
      </c>
      <c r="M35" s="102">
        <f>SUM(D35:K35)</f>
        <v>20.850684920563687</v>
      </c>
    </row>
    <row r="36" spans="1:20">
      <c r="A36" s="36"/>
      <c r="B36" s="807" t="s">
        <v>11</v>
      </c>
      <c r="C36" s="164" t="str">
        <f>'RFPR cover'!$C$14</f>
        <v>£m 12/13</v>
      </c>
      <c r="D36" s="147">
        <f>SUM(D34:D35)</f>
        <v>12.98299331588214</v>
      </c>
      <c r="E36" s="148">
        <f t="shared" ref="E36:K36" si="10">SUM(E34:E35)</f>
        <v>18.370787531274072</v>
      </c>
      <c r="F36" s="148">
        <f t="shared" si="10"/>
        <v>-23.10592128605607</v>
      </c>
      <c r="G36" s="148">
        <f t="shared" si="10"/>
        <v>15.137041674250424</v>
      </c>
      <c r="H36" s="148">
        <f t="shared" si="10"/>
        <v>1.2912468322979294</v>
      </c>
      <c r="I36" s="148">
        <f t="shared" si="10"/>
        <v>1.4727575631261609</v>
      </c>
      <c r="J36" s="148">
        <f t="shared" si="10"/>
        <v>0.57602645514135586</v>
      </c>
      <c r="K36" s="148">
        <f t="shared" si="10"/>
        <v>3.0617606577464027</v>
      </c>
      <c r="L36" s="147">
        <f>SUM(D36:INDEX(D36:K36,0,MATCH('RFPR cover'!$C$7,$D$6:$K$6,0)))</f>
        <v>23.384901235350569</v>
      </c>
      <c r="M36" s="149">
        <f>SUM(D36:K36)</f>
        <v>29.786692743662421</v>
      </c>
    </row>
    <row r="37" spans="1:20">
      <c r="A37" s="36"/>
      <c r="B37" s="799"/>
    </row>
    <row r="38" spans="1:20">
      <c r="A38" s="36"/>
      <c r="B38" s="802" t="str">
        <f>Data!B51</f>
        <v>n/a</v>
      </c>
      <c r="C38" s="158"/>
      <c r="D38" s="83"/>
      <c r="E38" s="83"/>
      <c r="F38" s="83"/>
      <c r="G38" s="83"/>
      <c r="H38" s="83"/>
      <c r="I38" s="83"/>
      <c r="J38" s="83"/>
      <c r="K38" s="83"/>
      <c r="L38" s="83"/>
      <c r="M38" s="83"/>
      <c r="N38" s="83"/>
    </row>
    <row r="39" spans="1:20" s="36" customFormat="1">
      <c r="B39" s="800"/>
      <c r="C39" s="146"/>
      <c r="D39" s="339"/>
      <c r="E39" s="339"/>
      <c r="F39" s="339"/>
      <c r="G39" s="339"/>
      <c r="H39" s="339"/>
      <c r="I39" s="339"/>
      <c r="J39" s="339"/>
      <c r="K39" s="339"/>
      <c r="L39" s="339"/>
      <c r="M39" s="339"/>
      <c r="N39" s="339"/>
    </row>
    <row r="40" spans="1:20">
      <c r="A40" s="36"/>
      <c r="B40" s="324" t="s">
        <v>34</v>
      </c>
      <c r="C40" s="163" t="str">
        <f>'RFPR cover'!$C$14</f>
        <v>£m 12/13</v>
      </c>
      <c r="D40" s="676"/>
      <c r="E40" s="677"/>
      <c r="F40" s="677"/>
      <c r="G40" s="677"/>
      <c r="H40" s="677"/>
      <c r="I40" s="677"/>
      <c r="J40" s="677"/>
      <c r="K40" s="677"/>
      <c r="L40" s="678">
        <f>SUM(D40:INDEX(D40:K40,0,MATCH('RFPR cover'!$C$7,$D$6:$K$6,0)))</f>
        <v>0</v>
      </c>
      <c r="M40" s="679">
        <f>SUM(D40:K40)</f>
        <v>0</v>
      </c>
      <c r="N40" s="370"/>
      <c r="O40" s="64"/>
    </row>
    <row r="41" spans="1:20" ht="25.5">
      <c r="A41" s="36"/>
      <c r="B41" s="804" t="s">
        <v>504</v>
      </c>
      <c r="C41" s="163" t="str">
        <f>'RFPR cover'!$C$14</f>
        <v>£m 12/13</v>
      </c>
      <c r="D41" s="680"/>
      <c r="E41" s="681"/>
      <c r="F41" s="681"/>
      <c r="G41" s="681"/>
      <c r="H41" s="681"/>
      <c r="I41" s="681"/>
      <c r="J41" s="681"/>
      <c r="K41" s="681"/>
      <c r="L41" s="682">
        <f>SUM(D41:INDEX(D41:K41,0,MATCH('RFPR cover'!$C$7,$D$6:$K$6,0)))</f>
        <v>0</v>
      </c>
      <c r="M41" s="683">
        <f>SUM(D41:K41)</f>
        <v>0</v>
      </c>
      <c r="N41" s="370"/>
      <c r="O41" s="64"/>
    </row>
    <row r="42" spans="1:20">
      <c r="A42" s="36"/>
      <c r="B42" s="805" t="s">
        <v>195</v>
      </c>
      <c r="C42" s="163" t="str">
        <f>'RFPR cover'!$C$14</f>
        <v>£m 12/13</v>
      </c>
      <c r="D42" s="104">
        <f>D41-D40</f>
        <v>0</v>
      </c>
      <c r="E42" s="105">
        <f t="shared" ref="E42:M42" si="11">E41-E40</f>
        <v>0</v>
      </c>
      <c r="F42" s="105">
        <f t="shared" si="11"/>
        <v>0</v>
      </c>
      <c r="G42" s="105">
        <f t="shared" si="11"/>
        <v>0</v>
      </c>
      <c r="H42" s="105">
        <f t="shared" si="11"/>
        <v>0</v>
      </c>
      <c r="I42" s="105">
        <f t="shared" si="11"/>
        <v>0</v>
      </c>
      <c r="J42" s="105">
        <f t="shared" si="11"/>
        <v>0</v>
      </c>
      <c r="K42" s="105">
        <f t="shared" si="11"/>
        <v>0</v>
      </c>
      <c r="L42" s="373">
        <f t="shared" si="11"/>
        <v>0</v>
      </c>
      <c r="M42" s="374">
        <f t="shared" si="11"/>
        <v>0</v>
      </c>
      <c r="N42" s="371"/>
      <c r="O42" s="983"/>
      <c r="P42" s="983"/>
      <c r="Q42" s="983"/>
      <c r="R42"/>
      <c r="S42"/>
      <c r="T42"/>
    </row>
    <row r="43" spans="1:20">
      <c r="A43" s="36"/>
      <c r="B43" s="805"/>
      <c r="C43" s="163"/>
      <c r="D43" s="60"/>
      <c r="E43" s="60"/>
      <c r="F43" s="60"/>
      <c r="G43" s="60"/>
      <c r="H43" s="60"/>
      <c r="I43" s="60"/>
      <c r="J43" s="60"/>
      <c r="K43" s="60"/>
      <c r="L43" s="60"/>
      <c r="M43" s="60"/>
      <c r="N43" s="367"/>
      <c r="O43" s="65"/>
      <c r="P43" s="65"/>
      <c r="Q43" s="65"/>
      <c r="R43"/>
      <c r="S43"/>
      <c r="T43"/>
    </row>
    <row r="44" spans="1:20">
      <c r="A44" s="36"/>
      <c r="B44" s="799" t="s">
        <v>178</v>
      </c>
      <c r="C44" s="144" t="s">
        <v>7</v>
      </c>
      <c r="D44" s="111">
        <f>1-INDEX(Data!$D$73:$D$100,MATCH('RFPR cover'!$C$5,Data!$B$73:$B$100,0),0)</f>
        <v>0.30000000000000004</v>
      </c>
      <c r="E44" s="112">
        <f>1-INDEX(Data!$D$73:$D$100,MATCH('RFPR cover'!$C$5,Data!$B$73:$B$100,0),0)</f>
        <v>0.30000000000000004</v>
      </c>
      <c r="F44" s="112">
        <f>1-INDEX(Data!$D$73:$D$100,MATCH('RFPR cover'!$C$5,Data!$B$73:$B$100,0),0)</f>
        <v>0.30000000000000004</v>
      </c>
      <c r="G44" s="112">
        <f>1-INDEX(Data!$D$73:$D$100,MATCH('RFPR cover'!$C$5,Data!$B$73:$B$100,0),0)</f>
        <v>0.30000000000000004</v>
      </c>
      <c r="H44" s="112">
        <f>1-INDEX(Data!$D$73:$D$100,MATCH('RFPR cover'!$C$5,Data!$B$73:$B$100,0),0)</f>
        <v>0.30000000000000004</v>
      </c>
      <c r="I44" s="112">
        <f>1-INDEX(Data!$D$73:$D$100,MATCH('RFPR cover'!$C$5,Data!$B$73:$B$100,0),0)</f>
        <v>0.30000000000000004</v>
      </c>
      <c r="J44" s="112">
        <f>1-INDEX(Data!$D$73:$D$100,MATCH('RFPR cover'!$C$5,Data!$B$73:$B$100,0),0)</f>
        <v>0.30000000000000004</v>
      </c>
      <c r="K44" s="113">
        <f>1-INDEX(Data!$D$73:$D$100,MATCH('RFPR cover'!$C$5,Data!$B$73:$B$100,0),0)</f>
        <v>0.30000000000000004</v>
      </c>
      <c r="L44" s="63"/>
      <c r="M44" s="63"/>
      <c r="N44" s="368"/>
      <c r="O44"/>
      <c r="P44"/>
      <c r="Q44"/>
      <c r="R44"/>
      <c r="S44"/>
      <c r="T44"/>
    </row>
    <row r="45" spans="1:20">
      <c r="A45" s="36"/>
      <c r="B45" s="799"/>
      <c r="N45" s="369"/>
      <c r="O45"/>
      <c r="P45"/>
      <c r="Q45"/>
      <c r="R45"/>
      <c r="S45"/>
      <c r="T45"/>
    </row>
    <row r="46" spans="1:20">
      <c r="A46" s="36"/>
      <c r="B46" s="806" t="s">
        <v>183</v>
      </c>
      <c r="C46" s="167" t="str">
        <f>'RFPR cover'!$C$14</f>
        <v>£m 12/13</v>
      </c>
      <c r="D46" s="97">
        <f>D42*D44</f>
        <v>0</v>
      </c>
      <c r="E46" s="98">
        <f t="shared" ref="E46:K46" si="12">E42*E44</f>
        <v>0</v>
      </c>
      <c r="F46" s="98">
        <f t="shared" si="12"/>
        <v>0</v>
      </c>
      <c r="G46" s="98">
        <f t="shared" si="12"/>
        <v>0</v>
      </c>
      <c r="H46" s="98">
        <f t="shared" si="12"/>
        <v>0</v>
      </c>
      <c r="I46" s="98">
        <f t="shared" si="12"/>
        <v>0</v>
      </c>
      <c r="J46" s="98">
        <f t="shared" si="12"/>
        <v>0</v>
      </c>
      <c r="K46" s="98">
        <f t="shared" si="12"/>
        <v>0</v>
      </c>
      <c r="L46" s="375">
        <f>SUM(D46:INDEX(D46:K46,0,MATCH('RFPR cover'!$C$7,$D$6:$K$6,0)))</f>
        <v>0</v>
      </c>
      <c r="M46" s="603">
        <f>SUM(D46:K46)</f>
        <v>0</v>
      </c>
      <c r="N46" s="371"/>
      <c r="O46"/>
      <c r="P46"/>
      <c r="Q46"/>
      <c r="R46"/>
      <c r="S46"/>
      <c r="T46"/>
    </row>
    <row r="47" spans="1:20">
      <c r="A47" s="36"/>
      <c r="B47" s="806" t="s">
        <v>280</v>
      </c>
      <c r="C47" s="167" t="str">
        <f>'RFPR cover'!$C$14</f>
        <v>£m 12/13</v>
      </c>
      <c r="D47" s="605">
        <f>D42*(1-D44)</f>
        <v>0</v>
      </c>
      <c r="E47" s="606">
        <f t="shared" ref="E47:K47" si="13">E42*(1-E44)</f>
        <v>0</v>
      </c>
      <c r="F47" s="606">
        <f t="shared" si="13"/>
        <v>0</v>
      </c>
      <c r="G47" s="606">
        <f t="shared" si="13"/>
        <v>0</v>
      </c>
      <c r="H47" s="606">
        <f t="shared" si="13"/>
        <v>0</v>
      </c>
      <c r="I47" s="606">
        <f t="shared" si="13"/>
        <v>0</v>
      </c>
      <c r="J47" s="606">
        <f t="shared" si="13"/>
        <v>0</v>
      </c>
      <c r="K47" s="606">
        <f t="shared" si="13"/>
        <v>0</v>
      </c>
      <c r="L47" s="607">
        <f>SUM(D47:INDEX(D47:K47,0,MATCH('RFPR cover'!$C$7,$D$6:$K$6,0)))</f>
        <v>0</v>
      </c>
      <c r="M47" s="608">
        <f>SUM(D47:K47)</f>
        <v>0</v>
      </c>
      <c r="N47" s="371"/>
      <c r="O47"/>
      <c r="P47"/>
      <c r="Q47"/>
      <c r="R47"/>
      <c r="S47"/>
      <c r="T47"/>
    </row>
    <row r="48" spans="1:20">
      <c r="A48" s="36"/>
      <c r="B48" s="799"/>
      <c r="N48" s="369"/>
      <c r="O48"/>
      <c r="P48"/>
      <c r="Q48"/>
      <c r="R48"/>
      <c r="S48"/>
      <c r="T48"/>
    </row>
    <row r="49" spans="1:20">
      <c r="A49" s="36"/>
      <c r="B49" s="807" t="s">
        <v>182</v>
      </c>
      <c r="N49" s="369"/>
      <c r="O49"/>
      <c r="P49"/>
      <c r="Q49"/>
      <c r="R49"/>
      <c r="S49"/>
      <c r="T49"/>
    </row>
    <row r="50" spans="1:20">
      <c r="A50" s="283" t="s">
        <v>151</v>
      </c>
      <c r="B50" s="797" t="s">
        <v>242</v>
      </c>
      <c r="C50" s="163" t="str">
        <f>'RFPR cover'!$C$14</f>
        <v>£m 12/13</v>
      </c>
      <c r="D50" s="609"/>
      <c r="E50" s="610"/>
      <c r="F50" s="610"/>
      <c r="G50" s="610"/>
      <c r="H50" s="610"/>
      <c r="I50" s="610"/>
      <c r="J50" s="610"/>
      <c r="K50" s="610"/>
      <c r="L50" s="684">
        <f>SUM(D50:INDEX(D50:K50,0,MATCH('RFPR cover'!$C$7,$D$6:$K$6,0)))</f>
        <v>0</v>
      </c>
      <c r="M50" s="685">
        <f t="shared" ref="M50:M56" si="14">SUM(D50:K50)</f>
        <v>0</v>
      </c>
      <c r="N50" s="600"/>
      <c r="O50"/>
      <c r="P50"/>
      <c r="Q50"/>
      <c r="R50"/>
      <c r="S50"/>
      <c r="T50"/>
    </row>
    <row r="51" spans="1:20">
      <c r="A51" s="283" t="s">
        <v>152</v>
      </c>
      <c r="B51" s="797" t="s">
        <v>242</v>
      </c>
      <c r="C51" s="163" t="str">
        <f>'RFPR cover'!$C$14</f>
        <v>£m 12/13</v>
      </c>
      <c r="D51" s="613"/>
      <c r="E51" s="614"/>
      <c r="F51" s="614"/>
      <c r="G51" s="614"/>
      <c r="H51" s="614"/>
      <c r="I51" s="614"/>
      <c r="J51" s="614"/>
      <c r="K51" s="614"/>
      <c r="L51" s="686">
        <f>SUM(D51:INDEX(D51:K51,0,MATCH('RFPR cover'!$C$7,$D$6:$K$6,0)))</f>
        <v>0</v>
      </c>
      <c r="M51" s="687">
        <f t="shared" si="14"/>
        <v>0</v>
      </c>
      <c r="N51" s="601"/>
      <c r="O51"/>
      <c r="P51"/>
      <c r="Q51"/>
      <c r="R51"/>
      <c r="S51"/>
      <c r="T51"/>
    </row>
    <row r="52" spans="1:20">
      <c r="A52" s="283" t="s">
        <v>153</v>
      </c>
      <c r="B52" s="797" t="s">
        <v>242</v>
      </c>
      <c r="C52" s="163" t="str">
        <f>'RFPR cover'!$C$14</f>
        <v>£m 12/13</v>
      </c>
      <c r="D52" s="613"/>
      <c r="E52" s="614"/>
      <c r="F52" s="614"/>
      <c r="G52" s="614"/>
      <c r="H52" s="614"/>
      <c r="I52" s="614"/>
      <c r="J52" s="614"/>
      <c r="K52" s="614"/>
      <c r="L52" s="686">
        <f>SUM(D52:INDEX(D52:K52,0,MATCH('RFPR cover'!$C$7,$D$6:$K$6,0)))</f>
        <v>0</v>
      </c>
      <c r="M52" s="687">
        <f t="shared" si="14"/>
        <v>0</v>
      </c>
      <c r="N52" s="601"/>
      <c r="O52"/>
      <c r="P52"/>
      <c r="Q52"/>
      <c r="R52"/>
      <c r="S52" s="66"/>
      <c r="T52"/>
    </row>
    <row r="53" spans="1:20">
      <c r="A53" s="283" t="s">
        <v>168</v>
      </c>
      <c r="B53" s="797" t="s">
        <v>242</v>
      </c>
      <c r="C53" s="163" t="str">
        <f>'RFPR cover'!$C$14</f>
        <v>£m 12/13</v>
      </c>
      <c r="D53" s="613"/>
      <c r="E53" s="614"/>
      <c r="F53" s="614"/>
      <c r="G53" s="614"/>
      <c r="H53" s="614"/>
      <c r="I53" s="614"/>
      <c r="J53" s="614"/>
      <c r="K53" s="614"/>
      <c r="L53" s="686">
        <f>SUM(D53:INDEX(D53:K53,0,MATCH('RFPR cover'!$C$7,$D$6:$K$6,0)))</f>
        <v>0</v>
      </c>
      <c r="M53" s="687">
        <f t="shared" si="14"/>
        <v>0</v>
      </c>
      <c r="N53" s="601"/>
      <c r="O53"/>
      <c r="P53"/>
      <c r="Q53"/>
      <c r="R53"/>
      <c r="S53"/>
      <c r="T53"/>
    </row>
    <row r="54" spans="1:20">
      <c r="A54" s="283" t="s">
        <v>169</v>
      </c>
      <c r="B54" s="797" t="s">
        <v>242</v>
      </c>
      <c r="C54" s="163" t="str">
        <f>'RFPR cover'!$C$14</f>
        <v>£m 12/13</v>
      </c>
      <c r="D54" s="613"/>
      <c r="E54" s="614"/>
      <c r="F54" s="614"/>
      <c r="G54" s="614"/>
      <c r="H54" s="614"/>
      <c r="I54" s="614"/>
      <c r="J54" s="614"/>
      <c r="K54" s="614"/>
      <c r="L54" s="686">
        <f>SUM(D54:INDEX(D54:K54,0,MATCH('RFPR cover'!$C$7,$D$6:$K$6,0)))</f>
        <v>0</v>
      </c>
      <c r="M54" s="687">
        <f t="shared" si="14"/>
        <v>0</v>
      </c>
      <c r="N54" s="601"/>
      <c r="O54"/>
      <c r="P54"/>
      <c r="Q54"/>
      <c r="R54"/>
      <c r="S54"/>
      <c r="T54"/>
    </row>
    <row r="55" spans="1:20">
      <c r="A55" s="283" t="s">
        <v>170</v>
      </c>
      <c r="B55" s="797" t="s">
        <v>242</v>
      </c>
      <c r="C55" s="163" t="str">
        <f>'RFPR cover'!$C$14</f>
        <v>£m 12/13</v>
      </c>
      <c r="D55" s="617"/>
      <c r="E55" s="618"/>
      <c r="F55" s="618"/>
      <c r="G55" s="618"/>
      <c r="H55" s="618"/>
      <c r="I55" s="618"/>
      <c r="J55" s="618"/>
      <c r="K55" s="618"/>
      <c r="L55" s="688">
        <f>SUM(D55:INDEX(D55:K55,0,MATCH('RFPR cover'!$C$7,$D$6:$K$6,0)))</f>
        <v>0</v>
      </c>
      <c r="M55" s="689">
        <f t="shared" si="14"/>
        <v>0</v>
      </c>
      <c r="N55" s="602"/>
      <c r="O55"/>
      <c r="P55"/>
      <c r="Q55"/>
      <c r="R55"/>
      <c r="S55"/>
      <c r="T55"/>
    </row>
    <row r="56" spans="1:20">
      <c r="A56" s="36"/>
      <c r="B56" s="807" t="s">
        <v>190</v>
      </c>
      <c r="C56" s="163" t="str">
        <f>'RFPR cover'!$C$14</f>
        <v>£m 12/13</v>
      </c>
      <c r="D56" s="104">
        <f>SUM(D50:D55)</f>
        <v>0</v>
      </c>
      <c r="E56" s="105">
        <f t="shared" ref="E56:K56" si="15">SUM(E50:E55)</f>
        <v>0</v>
      </c>
      <c r="F56" s="105">
        <f t="shared" si="15"/>
        <v>0</v>
      </c>
      <c r="G56" s="105">
        <f t="shared" si="15"/>
        <v>0</v>
      </c>
      <c r="H56" s="105">
        <f t="shared" si="15"/>
        <v>0</v>
      </c>
      <c r="I56" s="105">
        <f t="shared" si="15"/>
        <v>0</v>
      </c>
      <c r="J56" s="105">
        <f t="shared" si="15"/>
        <v>0</v>
      </c>
      <c r="K56" s="105">
        <f t="shared" si="15"/>
        <v>0</v>
      </c>
      <c r="L56" s="373">
        <f>SUM(D56:INDEX(D56:K56,0,MATCH('RFPR cover'!$C$7,$D$6:$K$6,0)))</f>
        <v>0</v>
      </c>
      <c r="M56" s="374">
        <f t="shared" si="14"/>
        <v>0</v>
      </c>
      <c r="N56" s="371"/>
    </row>
    <row r="57" spans="1:20">
      <c r="A57" s="36"/>
      <c r="B57" s="799"/>
      <c r="N57" s="369"/>
    </row>
    <row r="58" spans="1:20">
      <c r="A58" s="36"/>
      <c r="B58" s="806" t="s">
        <v>198</v>
      </c>
      <c r="C58" s="167" t="str">
        <f>'RFPR cover'!$C$14</f>
        <v>£m 12/13</v>
      </c>
      <c r="D58" s="97">
        <f t="shared" ref="D58:K58" si="16">D56*D44</f>
        <v>0</v>
      </c>
      <c r="E58" s="98">
        <f t="shared" si="16"/>
        <v>0</v>
      </c>
      <c r="F58" s="98">
        <f t="shared" si="16"/>
        <v>0</v>
      </c>
      <c r="G58" s="98">
        <f t="shared" si="16"/>
        <v>0</v>
      </c>
      <c r="H58" s="98">
        <f t="shared" si="16"/>
        <v>0</v>
      </c>
      <c r="I58" s="98">
        <f t="shared" si="16"/>
        <v>0</v>
      </c>
      <c r="J58" s="98">
        <f t="shared" si="16"/>
        <v>0</v>
      </c>
      <c r="K58" s="98">
        <f t="shared" si="16"/>
        <v>0</v>
      </c>
      <c r="L58" s="375">
        <f>SUM(D58:INDEX(D58:K58,0,MATCH('RFPR cover'!$C$7,$D$6:$K$6,0)))</f>
        <v>0</v>
      </c>
      <c r="M58" s="603">
        <f>SUM(D58:K58)</f>
        <v>0</v>
      </c>
      <c r="N58" s="371"/>
    </row>
    <row r="59" spans="1:20">
      <c r="A59" s="36"/>
      <c r="B59" s="806" t="s">
        <v>309</v>
      </c>
      <c r="C59" s="167" t="str">
        <f>'RFPR cover'!$C$14</f>
        <v>£m 12/13</v>
      </c>
      <c r="D59" s="94">
        <f t="shared" ref="D59:K59" si="17">D56*(1-D44)</f>
        <v>0</v>
      </c>
      <c r="E59" s="95">
        <f t="shared" si="17"/>
        <v>0</v>
      </c>
      <c r="F59" s="95">
        <f t="shared" si="17"/>
        <v>0</v>
      </c>
      <c r="G59" s="95">
        <f t="shared" si="17"/>
        <v>0</v>
      </c>
      <c r="H59" s="95">
        <f t="shared" si="17"/>
        <v>0</v>
      </c>
      <c r="I59" s="95">
        <f t="shared" si="17"/>
        <v>0</v>
      </c>
      <c r="J59" s="95">
        <f t="shared" si="17"/>
        <v>0</v>
      </c>
      <c r="K59" s="95">
        <f t="shared" si="17"/>
        <v>0</v>
      </c>
      <c r="L59" s="376">
        <f>SUM(D59:INDEX(D59:K59,0,MATCH('RFPR cover'!$C$7,$D$6:$K$6,0)))</f>
        <v>0</v>
      </c>
      <c r="M59" s="604">
        <f>SUM(D59:K59)</f>
        <v>0</v>
      </c>
      <c r="N59" s="371"/>
    </row>
    <row r="60" spans="1:20">
      <c r="A60" s="36"/>
      <c r="B60" s="799"/>
      <c r="N60" s="369"/>
    </row>
    <row r="61" spans="1:20">
      <c r="A61" s="36"/>
      <c r="B61" s="807" t="s">
        <v>181</v>
      </c>
      <c r="N61" s="369"/>
    </row>
    <row r="62" spans="1:20">
      <c r="A62" s="36"/>
      <c r="B62" s="799" t="s">
        <v>180</v>
      </c>
      <c r="C62" s="163" t="str">
        <f>'RFPR cover'!$C$14</f>
        <v>£m 12/13</v>
      </c>
      <c r="D62" s="97">
        <f>D46+D58</f>
        <v>0</v>
      </c>
      <c r="E62" s="98">
        <f t="shared" ref="E62:K62" si="18">E46+E58</f>
        <v>0</v>
      </c>
      <c r="F62" s="98">
        <f t="shared" si="18"/>
        <v>0</v>
      </c>
      <c r="G62" s="98">
        <f t="shared" si="18"/>
        <v>0</v>
      </c>
      <c r="H62" s="98">
        <f t="shared" si="18"/>
        <v>0</v>
      </c>
      <c r="I62" s="98">
        <f t="shared" si="18"/>
        <v>0</v>
      </c>
      <c r="J62" s="98">
        <f t="shared" si="18"/>
        <v>0</v>
      </c>
      <c r="K62" s="98">
        <f t="shared" si="18"/>
        <v>0</v>
      </c>
      <c r="L62" s="375">
        <f>SUM(D62:INDEX(D62:K62,0,MATCH('RFPR cover'!$C$7,$D$6:$K$6,0)))</f>
        <v>0</v>
      </c>
      <c r="M62" s="603">
        <f>SUM(D62:K62)</f>
        <v>0</v>
      </c>
      <c r="N62" s="371"/>
    </row>
    <row r="63" spans="1:20">
      <c r="A63" s="36"/>
      <c r="B63" s="799" t="s">
        <v>280</v>
      </c>
      <c r="C63" s="163" t="str">
        <f>'RFPR cover'!$C$14</f>
        <v>£m 12/13</v>
      </c>
      <c r="D63" s="100">
        <f>D47+D59</f>
        <v>0</v>
      </c>
      <c r="E63" s="101">
        <f t="shared" ref="E63:K63" si="19">E47+E59</f>
        <v>0</v>
      </c>
      <c r="F63" s="101">
        <f t="shared" si="19"/>
        <v>0</v>
      </c>
      <c r="G63" s="101">
        <f t="shared" si="19"/>
        <v>0</v>
      </c>
      <c r="H63" s="101">
        <f t="shared" si="19"/>
        <v>0</v>
      </c>
      <c r="I63" s="101">
        <f t="shared" si="19"/>
        <v>0</v>
      </c>
      <c r="J63" s="101">
        <f t="shared" si="19"/>
        <v>0</v>
      </c>
      <c r="K63" s="101">
        <f t="shared" si="19"/>
        <v>0</v>
      </c>
      <c r="L63" s="377">
        <f>SUM(D63:INDEX(D63:K63,0,MATCH('RFPR cover'!$C$7,$D$6:$K$6,0)))</f>
        <v>0</v>
      </c>
      <c r="M63" s="604">
        <f>SUM(D63:K63)</f>
        <v>0</v>
      </c>
      <c r="N63" s="371"/>
    </row>
    <row r="64" spans="1:20">
      <c r="A64" s="36"/>
      <c r="B64" s="807" t="s">
        <v>11</v>
      </c>
      <c r="C64" s="164" t="str">
        <f>'RFPR cover'!$C$14</f>
        <v>£m 12/13</v>
      </c>
      <c r="D64" s="147">
        <f>SUM(D62:D63)</f>
        <v>0</v>
      </c>
      <c r="E64" s="148">
        <f t="shared" ref="E64:K64" si="20">SUM(E62:E63)</f>
        <v>0</v>
      </c>
      <c r="F64" s="148">
        <f t="shared" si="20"/>
        <v>0</v>
      </c>
      <c r="G64" s="148">
        <f t="shared" si="20"/>
        <v>0</v>
      </c>
      <c r="H64" s="148">
        <f t="shared" si="20"/>
        <v>0</v>
      </c>
      <c r="I64" s="148">
        <f t="shared" si="20"/>
        <v>0</v>
      </c>
      <c r="J64" s="148">
        <f t="shared" si="20"/>
        <v>0</v>
      </c>
      <c r="K64" s="148">
        <f t="shared" si="20"/>
        <v>0</v>
      </c>
      <c r="L64" s="378">
        <f>SUM(D64:INDEX(D64:K64,0,MATCH('RFPR cover'!$C$7,$D$6:$K$6,0)))</f>
        <v>0</v>
      </c>
      <c r="M64" s="379">
        <f>SUM(D64:K64)</f>
        <v>0</v>
      </c>
      <c r="N64" s="372"/>
    </row>
    <row r="65" spans="1:20">
      <c r="A65" s="36"/>
      <c r="B65" s="807"/>
      <c r="C65" s="164"/>
      <c r="D65" s="164"/>
      <c r="E65" s="164"/>
      <c r="F65" s="164"/>
      <c r="G65" s="164"/>
      <c r="H65" s="164"/>
      <c r="I65" s="164"/>
      <c r="J65" s="164"/>
      <c r="K65" s="164"/>
      <c r="L65" s="164"/>
      <c r="M65" s="164"/>
    </row>
    <row r="66" spans="1:20">
      <c r="A66" s="36"/>
      <c r="B66" s="802" t="s">
        <v>257</v>
      </c>
      <c r="C66" s="158"/>
      <c r="D66" s="83"/>
      <c r="E66" s="83"/>
      <c r="F66" s="83"/>
      <c r="G66" s="83"/>
      <c r="H66" s="83"/>
      <c r="I66" s="83"/>
      <c r="J66" s="83"/>
      <c r="K66" s="83"/>
      <c r="L66" s="83"/>
      <c r="M66" s="83"/>
      <c r="N66" s="83"/>
    </row>
    <row r="67" spans="1:20">
      <c r="A67" s="36"/>
      <c r="B67" s="799"/>
      <c r="O67"/>
      <c r="P67"/>
      <c r="Q67"/>
      <c r="R67"/>
      <c r="S67"/>
      <c r="T67"/>
    </row>
    <row r="68" spans="1:20">
      <c r="A68" s="36"/>
      <c r="B68" s="807" t="s">
        <v>181</v>
      </c>
    </row>
    <row r="69" spans="1:20">
      <c r="A69" s="36"/>
      <c r="B69" s="799" t="s">
        <v>180</v>
      </c>
      <c r="C69" s="163" t="str">
        <f>'RFPR cover'!$C$14</f>
        <v>£m 12/13</v>
      </c>
      <c r="D69" s="97">
        <f>D34+D62</f>
        <v>3.8948979947646425</v>
      </c>
      <c r="E69" s="98">
        <f t="shared" ref="E69:K69" si="21">E34+E62</f>
        <v>5.5112362593822226</v>
      </c>
      <c r="F69" s="98">
        <f t="shared" si="21"/>
        <v>-6.9317763858168222</v>
      </c>
      <c r="G69" s="98">
        <f t="shared" si="21"/>
        <v>4.5411125022751282</v>
      </c>
      <c r="H69" s="98">
        <f t="shared" si="21"/>
        <v>0.38737404968937889</v>
      </c>
      <c r="I69" s="98">
        <f t="shared" si="21"/>
        <v>0.44182726893784841</v>
      </c>
      <c r="J69" s="98">
        <f t="shared" si="21"/>
        <v>0.17280793654240645</v>
      </c>
      <c r="K69" s="98">
        <f t="shared" si="21"/>
        <v>0.91852819732392099</v>
      </c>
      <c r="L69" s="97">
        <f>SUM(D69:INDEX(D69:K69,0,MATCH('RFPR cover'!$C$7,$D$6:$K$6,0)))</f>
        <v>7.0154703706051711</v>
      </c>
      <c r="M69" s="99">
        <f>SUM(D69:K69)</f>
        <v>8.936007823098727</v>
      </c>
    </row>
    <row r="70" spans="1:20">
      <c r="A70" s="36"/>
      <c r="B70" s="799" t="s">
        <v>280</v>
      </c>
      <c r="C70" s="163" t="str">
        <f>'RFPR cover'!$C$14</f>
        <v>£m 12/13</v>
      </c>
      <c r="D70" s="546">
        <f t="shared" ref="D70:K70" si="22">D35+D63</f>
        <v>9.088095321117498</v>
      </c>
      <c r="E70" s="547">
        <f t="shared" si="22"/>
        <v>12.859551271891849</v>
      </c>
      <c r="F70" s="547">
        <f t="shared" si="22"/>
        <v>-16.174144900239249</v>
      </c>
      <c r="G70" s="547">
        <f t="shared" si="22"/>
        <v>10.595929171975296</v>
      </c>
      <c r="H70" s="547">
        <f t="shared" si="22"/>
        <v>0.90387278260855053</v>
      </c>
      <c r="I70" s="547">
        <f t="shared" si="22"/>
        <v>1.0309302941883125</v>
      </c>
      <c r="J70" s="547">
        <f t="shared" si="22"/>
        <v>0.40321851859894942</v>
      </c>
      <c r="K70" s="547">
        <f t="shared" si="22"/>
        <v>2.1432324604224817</v>
      </c>
      <c r="L70" s="546">
        <f>SUM(D70:INDEX(D70:K70,0,MATCH('RFPR cover'!$C$7,$D$6:$K$6,0)))</f>
        <v>16.369430864745393</v>
      </c>
      <c r="M70" s="548">
        <f>SUM(D70:K70)</f>
        <v>20.850684920563687</v>
      </c>
    </row>
    <row r="71" spans="1:20">
      <c r="A71" s="36"/>
      <c r="B71" s="807" t="s">
        <v>11</v>
      </c>
      <c r="C71" s="164" t="str">
        <f>'RFPR cover'!$C$14</f>
        <v>£m 12/13</v>
      </c>
      <c r="D71" s="153">
        <f>SUM(D69:D70)</f>
        <v>12.98299331588214</v>
      </c>
      <c r="E71" s="154">
        <f t="shared" ref="E71:K71" si="23">SUM(E69:E70)</f>
        <v>18.370787531274072</v>
      </c>
      <c r="F71" s="154">
        <f t="shared" si="23"/>
        <v>-23.10592128605607</v>
      </c>
      <c r="G71" s="154">
        <f t="shared" si="23"/>
        <v>15.137041674250424</v>
      </c>
      <c r="H71" s="154">
        <f t="shared" si="23"/>
        <v>1.2912468322979294</v>
      </c>
      <c r="I71" s="154">
        <f t="shared" si="23"/>
        <v>1.4727575631261609</v>
      </c>
      <c r="J71" s="154">
        <f t="shared" si="23"/>
        <v>0.57602645514135586</v>
      </c>
      <c r="K71" s="154">
        <f t="shared" si="23"/>
        <v>3.0617606577464027</v>
      </c>
      <c r="L71" s="153">
        <f>SUM(D71:INDEX(D71:K71,0,MATCH('RFPR cover'!$C$7,$D$6:$K$6,0)))</f>
        <v>23.384901235350569</v>
      </c>
      <c r="M71" s="155">
        <f>SUM(D71:K71)</f>
        <v>29.786692743662421</v>
      </c>
    </row>
    <row r="72" spans="1:20">
      <c r="A72" s="36"/>
      <c r="B72" s="807"/>
      <c r="C72" s="164"/>
      <c r="D72" s="164"/>
      <c r="E72" s="164"/>
      <c r="F72" s="164"/>
      <c r="G72" s="164"/>
      <c r="H72" s="164"/>
      <c r="I72" s="164"/>
      <c r="J72" s="164"/>
      <c r="K72" s="164"/>
      <c r="L72" s="164"/>
      <c r="M72" s="164"/>
    </row>
    <row r="73" spans="1:20">
      <c r="A73" s="36"/>
      <c r="B73" s="799"/>
    </row>
    <row r="74" spans="1:20">
      <c r="A74" s="36"/>
      <c r="B74" s="802" t="s">
        <v>214</v>
      </c>
      <c r="C74" s="158"/>
      <c r="D74" s="82"/>
      <c r="E74" s="82"/>
      <c r="F74" s="82"/>
      <c r="G74" s="82"/>
      <c r="H74" s="82"/>
      <c r="I74" s="82"/>
      <c r="J74" s="82"/>
      <c r="K74" s="82"/>
      <c r="L74" s="82"/>
      <c r="M74" s="82"/>
      <c r="N74" s="82"/>
    </row>
    <row r="75" spans="1:20">
      <c r="A75" s="36"/>
      <c r="B75" s="389" t="s">
        <v>213</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06" t="s">
        <v>217</v>
      </c>
      <c r="C77" s="163" t="str">
        <f>'RFPR cover'!$C$14</f>
        <v>£m 12/13</v>
      </c>
      <c r="D77" s="690">
        <f>INDEX(Data!$C$119:$L$146,MATCH('RFPR cover'!$C$5,Data!$B$119:$B$146,0),MATCH('R4 - Totex'!D$6,Data!$C$118:$L$118,0))</f>
        <v>3.6763138465229663</v>
      </c>
      <c r="E77" s="691">
        <f>INDEX(Data!$C$119:$L$146,MATCH('RFPR cover'!$C$5,Data!$B$119:$B$146,0),MATCH('R4 - Totex'!E$6,Data!$C$118:$L$118,0))</f>
        <v>3.6748350873956013</v>
      </c>
      <c r="F77" s="691">
        <f>INDEX(Data!$C$119:$L$146,MATCH('RFPR cover'!$C$5,Data!$B$119:$B$146,0),MATCH('R4 - Totex'!F$6,Data!$C$118:$L$118,0))</f>
        <v>3.4998529635433906</v>
      </c>
      <c r="G77" s="691">
        <f>INDEX(Data!$C$119:$L$146,MATCH('RFPR cover'!$C$5,Data!$B$119:$B$146,0),MATCH('R4 - Totex'!G$6,Data!$C$118:$L$118,0))</f>
        <v>3.724685546648324</v>
      </c>
      <c r="H77" s="691">
        <f>INDEX(Data!$C$119:$L$146,MATCH('RFPR cover'!$C$5,Data!$B$119:$B$146,0),MATCH('R4 - Totex'!H$6,Data!$C$118:$L$118,0))</f>
        <v>3.4121739487309477</v>
      </c>
      <c r="I77" s="691">
        <f>INDEX(Data!$C$119:$L$146,MATCH('RFPR cover'!$C$5,Data!$B$119:$B$146,0),MATCH('R4 - Totex'!I$6,Data!$C$118:$L$118,0))</f>
        <v>3.4202241027689042</v>
      </c>
      <c r="J77" s="691">
        <f>INDEX(Data!$C$119:$L$146,MATCH('RFPR cover'!$C$5,Data!$B$119:$B$146,0),MATCH('R4 - Totex'!J$6,Data!$C$118:$L$118,0))</f>
        <v>3.3053549439575329</v>
      </c>
      <c r="K77" s="692">
        <f>INDEX(Data!$C$119:$L$146,MATCH('RFPR cover'!$C$5,Data!$B$119:$B$146,0),MATCH('R4 - Totex'!K$6,Data!$C$118:$L$118,0))</f>
        <v>3.3633285641010966</v>
      </c>
      <c r="L77" s="100">
        <f>SUM(D77:INDEX(D77:K77,0,MATCH('RFPR cover'!$C$7,$D$6:$K$6,0)))</f>
        <v>14.575687444110283</v>
      </c>
      <c r="M77" s="102">
        <f>SUM(D77:K77)</f>
        <v>28.076769003668765</v>
      </c>
    </row>
    <row r="78" spans="1:20">
      <c r="A78" s="36"/>
      <c r="B78" s="235" t="s">
        <v>201</v>
      </c>
      <c r="C78" s="163" t="s">
        <v>7</v>
      </c>
      <c r="D78" s="913">
        <f>IF(INDEX(Data!$J$73:$J$100,MATCH('RFPR cover'!$C$5,Data!$B$73:$B$100,0),0)="Pre",INDEX(Data!$G$18:$G$27,MATCH('R4 - Totex'!D$6,Data!$C$18:$C$27,0),0),"n/a")</f>
        <v>0.2</v>
      </c>
      <c r="E78" s="913">
        <f>IF(INDEX(Data!$J$73:$J$100,MATCH('RFPR cover'!$C$5,Data!$B$73:$B$100,0),0)="Pre",INDEX(Data!$G$18:$G$27,MATCH('R4 - Totex'!E$6,Data!$C$18:$C$27,0),0),"n/a")</f>
        <v>0.2</v>
      </c>
      <c r="F78" s="913">
        <f>IF(INDEX(Data!$J$73:$J$100,MATCH('RFPR cover'!$C$5,Data!$B$73:$B$100,0),0)="Pre",INDEX(Data!$G$18:$G$27,MATCH('R4 - Totex'!F$6,Data!$C$18:$C$27,0),0),"n/a")</f>
        <v>0.19</v>
      </c>
      <c r="G78" s="913">
        <f>IF(INDEX(Data!$J$73:$J$100,MATCH('RFPR cover'!$C$5,Data!$B$73:$B$100,0),0)="Pre",INDEX(Data!$G$18:$G$27,MATCH('R4 - Totex'!G$6,Data!$C$18:$C$27,0),0),"n/a")</f>
        <v>0.19</v>
      </c>
      <c r="H78" s="913">
        <f>IF(INDEX(Data!$J$73:$J$100,MATCH('RFPR cover'!$C$5,Data!$B$73:$B$100,0),0)="Pre",INDEX(Data!$G$18:$G$27,MATCH('R4 - Totex'!H$6,Data!$C$18:$C$27,0),0),"n/a")</f>
        <v>0.19</v>
      </c>
      <c r="I78" s="913">
        <f>IF(INDEX(Data!$J$73:$J$100,MATCH('RFPR cover'!$C$5,Data!$B$73:$B$100,0),0)="Pre",INDEX(Data!$G$18:$G$27,MATCH('R4 - Totex'!I$6,Data!$C$18:$C$27,0),0),"n/a")</f>
        <v>0.17</v>
      </c>
      <c r="J78" s="913">
        <f>IF(INDEX(Data!$J$73:$J$100,MATCH('RFPR cover'!$C$5,Data!$B$73:$B$100,0),0)="Pre",INDEX(Data!$G$18:$G$27,MATCH('R4 - Totex'!J$6,Data!$C$18:$C$27,0),0),"n/a")</f>
        <v>0.17</v>
      </c>
      <c r="K78" s="913">
        <f>IF(INDEX(Data!$J$73:$J$100,MATCH('RFPR cover'!$C$5,Data!$B$73:$B$100,0),0)="Pre",INDEX(Data!$G$18:$G$27,MATCH('R4 - Totex'!K$6,Data!$C$18:$C$27,0),0),"n/a")</f>
        <v>0.17</v>
      </c>
      <c r="L78" s="911"/>
      <c r="M78" s="912"/>
    </row>
    <row r="79" spans="1:20">
      <c r="A79" s="36"/>
      <c r="B79" s="235" t="s">
        <v>210</v>
      </c>
      <c r="C79" s="163" t="str">
        <f>'RFPR cover'!$C$14</f>
        <v>£m 12/13</v>
      </c>
      <c r="D79" s="637">
        <f>IF(ISNUMBER(D78),D77*(1-D78),D77)</f>
        <v>2.9410510772183733</v>
      </c>
      <c r="E79" s="638">
        <f t="shared" ref="E79:K79" si="24">IF(ISNUMBER(E78),E77*(1-E78),E77)</f>
        <v>2.9398680699164812</v>
      </c>
      <c r="F79" s="638">
        <f t="shared" si="24"/>
        <v>2.8348809004701465</v>
      </c>
      <c r="G79" s="638">
        <f t="shared" si="24"/>
        <v>3.0169952927851424</v>
      </c>
      <c r="H79" s="638">
        <f t="shared" si="24"/>
        <v>2.7638608984720676</v>
      </c>
      <c r="I79" s="638">
        <f t="shared" si="24"/>
        <v>2.8387860052981901</v>
      </c>
      <c r="J79" s="638">
        <f t="shared" si="24"/>
        <v>2.7434446034847522</v>
      </c>
      <c r="K79" s="639">
        <f t="shared" si="24"/>
        <v>2.7915627082039101</v>
      </c>
      <c r="L79" s="696">
        <f>SUM(D79:INDEX(D79:K79,0,MATCH('RFPR cover'!$C$7,$D$6:$K$6,0)))</f>
        <v>11.732795340390144</v>
      </c>
      <c r="M79" s="697">
        <f>SUM(D79:K79)</f>
        <v>22.87044955584906</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799"/>
    </row>
    <row r="84" spans="1:20">
      <c r="A84" s="36"/>
      <c r="B84" s="801" t="s">
        <v>187</v>
      </c>
      <c r="C84" s="306"/>
      <c r="D84" s="308"/>
      <c r="E84" s="308"/>
      <c r="F84" s="308"/>
      <c r="G84" s="308"/>
      <c r="H84" s="308"/>
      <c r="I84" s="308"/>
      <c r="J84" s="308"/>
      <c r="K84" s="308"/>
      <c r="L84" s="308"/>
      <c r="M84" s="308"/>
      <c r="N84" s="308"/>
    </row>
    <row r="85" spans="1:20">
      <c r="A85" s="36"/>
      <c r="B85" s="807"/>
    </row>
    <row r="86" spans="1:20">
      <c r="A86" s="36"/>
      <c r="B86" s="806" t="str">
        <f>Data!B34</f>
        <v>Financial Year Average RPI (RPIt)</v>
      </c>
      <c r="C86" s="144" t="s">
        <v>127</v>
      </c>
      <c r="D86" s="114">
        <f>Data!C$34</f>
        <v>1.0603167467048125</v>
      </c>
      <c r="E86" s="115">
        <f>Data!D$34</f>
        <v>1.0830366813119445</v>
      </c>
      <c r="F86" s="115">
        <f>Data!E$34</f>
        <v>1.1235639113109226</v>
      </c>
      <c r="G86" s="115">
        <f>Data!F$34</f>
        <v>1.1578951670583426</v>
      </c>
      <c r="H86" s="115">
        <f>Data!G$34</f>
        <v>1.1882899151936241</v>
      </c>
      <c r="I86" s="115">
        <f>Data!H$34</f>
        <v>1.2212649603402472</v>
      </c>
      <c r="J86" s="115">
        <f>Data!I$34</f>
        <v>1.2582082253905398</v>
      </c>
      <c r="K86" s="116">
        <f>Data!J$34</f>
        <v>1.296898128321299</v>
      </c>
    </row>
    <row r="87" spans="1:20">
      <c r="A87" s="36"/>
      <c r="B87" s="806"/>
      <c r="D87" s="144"/>
      <c r="E87" s="144"/>
      <c r="F87" s="144"/>
      <c r="G87" s="144"/>
      <c r="H87" s="144"/>
      <c r="I87" s="144"/>
      <c r="J87" s="144"/>
      <c r="K87" s="144"/>
    </row>
    <row r="88" spans="1:20">
      <c r="A88" s="36"/>
      <c r="B88" s="802" t="str">
        <f>B10</f>
        <v>Totex</v>
      </c>
      <c r="C88" s="158"/>
      <c r="D88" s="83"/>
      <c r="E88" s="83"/>
      <c r="F88" s="83"/>
      <c r="G88" s="83"/>
      <c r="H88" s="83"/>
      <c r="I88" s="83"/>
      <c r="J88" s="83"/>
      <c r="K88" s="83"/>
      <c r="L88" s="83"/>
      <c r="M88" s="83"/>
      <c r="N88" s="83"/>
    </row>
    <row r="89" spans="1:20" s="36" customFormat="1">
      <c r="B89" s="803"/>
      <c r="C89" s="146"/>
      <c r="D89" s="339"/>
      <c r="E89" s="339"/>
      <c r="F89" s="339"/>
      <c r="G89" s="339"/>
      <c r="H89" s="339"/>
      <c r="I89" s="339"/>
      <c r="J89" s="339"/>
      <c r="K89" s="339"/>
      <c r="L89" s="339"/>
      <c r="M89" s="339"/>
      <c r="N89" s="339"/>
    </row>
    <row r="90" spans="1:20">
      <c r="A90" s="36"/>
      <c r="B90" s="324" t="s">
        <v>34</v>
      </c>
      <c r="C90" s="163" t="s">
        <v>128</v>
      </c>
      <c r="D90" s="699">
        <f t="shared" ref="D90:K91" si="25">D12*D$86</f>
        <v>141.99940000000001</v>
      </c>
      <c r="E90" s="699">
        <f t="shared" si="25"/>
        <v>150.29193199999997</v>
      </c>
      <c r="F90" s="699">
        <f t="shared" si="25"/>
        <v>137.99698395061603</v>
      </c>
      <c r="G90" s="699">
        <f t="shared" si="25"/>
        <v>147.90859562682806</v>
      </c>
      <c r="H90" s="699">
        <f t="shared" si="25"/>
        <v>160.65170009769028</v>
      </c>
      <c r="I90" s="699">
        <f t="shared" si="25"/>
        <v>165.28136692199087</v>
      </c>
      <c r="J90" s="699">
        <f t="shared" si="25"/>
        <v>165.62822990900477</v>
      </c>
      <c r="K90" s="699">
        <f t="shared" si="25"/>
        <v>170.50455516648069</v>
      </c>
      <c r="L90" s="698">
        <f>SUM(D90:INDEX(D90:K90,0,MATCH('RFPR cover'!$C$7,$D$6:$K$6,0)))</f>
        <v>578.1969115774441</v>
      </c>
      <c r="M90" s="699">
        <f>SUM(D90:K90)</f>
        <v>1240.2627636726108</v>
      </c>
      <c r="N90" s="64"/>
      <c r="O90" s="64"/>
    </row>
    <row r="91" spans="1:20" ht="25.5">
      <c r="A91" s="36"/>
      <c r="B91" s="804" t="s">
        <v>197</v>
      </c>
      <c r="C91" s="163" t="s">
        <v>128</v>
      </c>
      <c r="D91" s="699">
        <f t="shared" si="25"/>
        <v>155.76548523518647</v>
      </c>
      <c r="E91" s="699">
        <f t="shared" si="25"/>
        <v>160.5564640946246</v>
      </c>
      <c r="F91" s="699">
        <f t="shared" si="25"/>
        <v>157.67356447353941</v>
      </c>
      <c r="G91" s="699">
        <f t="shared" si="25"/>
        <v>172.51181573104617</v>
      </c>
      <c r="H91" s="699">
        <f t="shared" si="25"/>
        <v>162.18607568653562</v>
      </c>
      <c r="I91" s="699">
        <f t="shared" si="25"/>
        <v>151.54061877354363</v>
      </c>
      <c r="J91" s="699">
        <f t="shared" si="25"/>
        <v>150.34354967303696</v>
      </c>
      <c r="K91" s="699">
        <f t="shared" si="25"/>
        <v>157.97404900373078</v>
      </c>
      <c r="L91" s="700">
        <f>SUM(D91:INDEX(D91:K91,0,MATCH('RFPR cover'!$C$7,$D$6:$K$6,0)))</f>
        <v>646.5073295343966</v>
      </c>
      <c r="M91" s="701">
        <f>SUM(D91:K91)</f>
        <v>1268.5516226712434</v>
      </c>
      <c r="N91" s="64"/>
      <c r="O91" s="64"/>
    </row>
    <row r="92" spans="1:20">
      <c r="A92" s="36"/>
      <c r="B92" s="805" t="s">
        <v>195</v>
      </c>
      <c r="C92" s="163" t="s">
        <v>128</v>
      </c>
      <c r="D92" s="104">
        <f>D91-D90</f>
        <v>13.766085235186466</v>
      </c>
      <c r="E92" s="105">
        <f t="shared" ref="E92:M92" si="26">E91-E90</f>
        <v>10.264532094624627</v>
      </c>
      <c r="F92" s="105">
        <f t="shared" si="26"/>
        <v>19.676580522923388</v>
      </c>
      <c r="G92" s="105">
        <f t="shared" si="26"/>
        <v>24.60322010421811</v>
      </c>
      <c r="H92" s="105">
        <f t="shared" si="26"/>
        <v>1.5343755888453359</v>
      </c>
      <c r="I92" s="105">
        <f t="shared" si="26"/>
        <v>-13.740748148447238</v>
      </c>
      <c r="J92" s="105">
        <f t="shared" si="26"/>
        <v>-15.284680235967812</v>
      </c>
      <c r="K92" s="106">
        <f t="shared" si="26"/>
        <v>-12.530506162749901</v>
      </c>
      <c r="L92" s="104">
        <f t="shared" si="26"/>
        <v>68.310417956952506</v>
      </c>
      <c r="M92" s="106">
        <f t="shared" si="26"/>
        <v>28.288858998632577</v>
      </c>
      <c r="N92" s="64"/>
      <c r="O92" s="983"/>
      <c r="P92" s="983"/>
      <c r="Q92" s="983"/>
      <c r="R92"/>
      <c r="S92"/>
      <c r="T92"/>
    </row>
    <row r="93" spans="1:20">
      <c r="A93" s="36"/>
      <c r="B93" s="805"/>
      <c r="C93" s="163"/>
      <c r="D93" s="60"/>
      <c r="E93" s="60"/>
      <c r="F93" s="60"/>
      <c r="G93" s="60"/>
      <c r="H93" s="60"/>
      <c r="I93" s="60"/>
      <c r="J93" s="60"/>
      <c r="K93" s="60"/>
      <c r="L93" s="60"/>
      <c r="M93" s="60"/>
      <c r="O93" s="65"/>
      <c r="P93" s="65"/>
      <c r="Q93" s="65"/>
      <c r="R93"/>
      <c r="S93"/>
      <c r="T93"/>
    </row>
    <row r="94" spans="1:20">
      <c r="A94" s="36"/>
      <c r="B94" s="799" t="s">
        <v>178</v>
      </c>
      <c r="C94" s="144" t="s">
        <v>7</v>
      </c>
      <c r="D94" s="111">
        <f>1-INDEX(Data!$D$73:$D$100,MATCH('RFPR cover'!$C$5,Data!$B$73:$B$100,0),0)</f>
        <v>0.30000000000000004</v>
      </c>
      <c r="E94" s="112">
        <f>1-INDEX(Data!$D$73:$D$100,MATCH('RFPR cover'!$C$5,Data!$B$73:$B$100,0),0)</f>
        <v>0.30000000000000004</v>
      </c>
      <c r="F94" s="112">
        <f>1-INDEX(Data!$D$73:$D$100,MATCH('RFPR cover'!$C$5,Data!$B$73:$B$100,0),0)</f>
        <v>0.30000000000000004</v>
      </c>
      <c r="G94" s="112">
        <f>1-INDEX(Data!$D$73:$D$100,MATCH('RFPR cover'!$C$5,Data!$B$73:$B$100,0),0)</f>
        <v>0.30000000000000004</v>
      </c>
      <c r="H94" s="112">
        <f>1-INDEX(Data!$D$73:$D$100,MATCH('RFPR cover'!$C$5,Data!$B$73:$B$100,0),0)</f>
        <v>0.30000000000000004</v>
      </c>
      <c r="I94" s="112">
        <f>1-INDEX(Data!$D$73:$D$100,MATCH('RFPR cover'!$C$5,Data!$B$73:$B$100,0),0)</f>
        <v>0.30000000000000004</v>
      </c>
      <c r="J94" s="112">
        <f>1-INDEX(Data!$D$73:$D$100,MATCH('RFPR cover'!$C$5,Data!$B$73:$B$100,0),0)</f>
        <v>0.30000000000000004</v>
      </c>
      <c r="K94" s="113">
        <f>1-INDEX(Data!$D$73:$D$100,MATCH('RFPR cover'!$C$5,Data!$B$73:$B$100,0),0)</f>
        <v>0.30000000000000004</v>
      </c>
      <c r="L94" s="63"/>
      <c r="M94" s="63"/>
      <c r="O94"/>
      <c r="P94"/>
      <c r="Q94"/>
      <c r="R94"/>
      <c r="S94"/>
      <c r="T94"/>
    </row>
    <row r="95" spans="1:20">
      <c r="A95" s="36"/>
      <c r="B95" s="799"/>
      <c r="O95"/>
      <c r="P95"/>
      <c r="Q95"/>
      <c r="R95"/>
      <c r="S95"/>
      <c r="T95"/>
    </row>
    <row r="96" spans="1:20">
      <c r="A96" s="36"/>
      <c r="B96" s="806" t="s">
        <v>183</v>
      </c>
      <c r="C96" s="163" t="s">
        <v>128</v>
      </c>
      <c r="D96" s="97">
        <f>D92*D94</f>
        <v>4.1298255705559406</v>
      </c>
      <c r="E96" s="98">
        <f t="shared" ref="E96:K96" si="27">E92*E94</f>
        <v>3.0793596283873885</v>
      </c>
      <c r="F96" s="98">
        <f t="shared" si="27"/>
        <v>5.9029741568770175</v>
      </c>
      <c r="G96" s="98">
        <f t="shared" si="27"/>
        <v>7.3809660312654337</v>
      </c>
      <c r="H96" s="98">
        <f t="shared" si="27"/>
        <v>0.46031267665360082</v>
      </c>
      <c r="I96" s="98">
        <f t="shared" si="27"/>
        <v>-4.1222244445341722</v>
      </c>
      <c r="J96" s="98">
        <f t="shared" si="27"/>
        <v>-4.5854040707903447</v>
      </c>
      <c r="K96" s="98">
        <f t="shared" si="27"/>
        <v>-3.7591518488249709</v>
      </c>
      <c r="L96" s="97">
        <f>SUM(D96:INDEX(D96:K96,0,MATCH('RFPR cover'!$C$7,$D$6:$K$6,0)))</f>
        <v>20.493125387085779</v>
      </c>
      <c r="M96" s="99">
        <f>SUM(D96:K96)</f>
        <v>8.4866576995898928</v>
      </c>
      <c r="O96"/>
      <c r="P96"/>
      <c r="Q96"/>
      <c r="R96"/>
      <c r="S96"/>
      <c r="T96"/>
    </row>
    <row r="97" spans="1:20">
      <c r="A97" s="36"/>
      <c r="B97" s="806" t="s">
        <v>280</v>
      </c>
      <c r="C97" s="163" t="s">
        <v>128</v>
      </c>
      <c r="D97" s="94">
        <f>D92*(1-D94)</f>
        <v>9.6362596646305256</v>
      </c>
      <c r="E97" s="95">
        <f t="shared" ref="E97:K97" si="28">E92*(1-E94)</f>
        <v>7.1851724662372387</v>
      </c>
      <c r="F97" s="95">
        <f t="shared" si="28"/>
        <v>13.773606366046371</v>
      </c>
      <c r="G97" s="95">
        <f t="shared" si="28"/>
        <v>17.222254072952676</v>
      </c>
      <c r="H97" s="95">
        <f t="shared" si="28"/>
        <v>1.0740629121917351</v>
      </c>
      <c r="I97" s="95">
        <f t="shared" si="28"/>
        <v>-9.6185237039130662</v>
      </c>
      <c r="J97" s="95">
        <f t="shared" si="28"/>
        <v>-10.699276165177467</v>
      </c>
      <c r="K97" s="95">
        <f t="shared" si="28"/>
        <v>-8.771354313924931</v>
      </c>
      <c r="L97" s="94">
        <f>SUM(D97:INDEX(D97:K97,0,MATCH('RFPR cover'!$C$7,$D$6:$K$6,0)))</f>
        <v>47.817292569866808</v>
      </c>
      <c r="M97" s="96">
        <f>SUM(D97:K97)</f>
        <v>19.802201299043077</v>
      </c>
      <c r="O97"/>
      <c r="P97"/>
      <c r="Q97"/>
      <c r="R97"/>
      <c r="S97"/>
      <c r="T97"/>
    </row>
    <row r="98" spans="1:20">
      <c r="A98" s="36"/>
      <c r="B98" s="799"/>
      <c r="O98"/>
      <c r="P98"/>
      <c r="Q98"/>
      <c r="R98"/>
      <c r="S98"/>
      <c r="T98"/>
    </row>
    <row r="99" spans="1:20">
      <c r="A99" s="36"/>
      <c r="B99" s="807" t="s">
        <v>182</v>
      </c>
      <c r="N99" s="64"/>
      <c r="O99"/>
      <c r="P99"/>
      <c r="Q99"/>
      <c r="R99"/>
      <c r="S99"/>
      <c r="T99"/>
    </row>
    <row r="100" spans="1:20">
      <c r="A100" s="283" t="s">
        <v>151</v>
      </c>
      <c r="B100" s="235" t="str">
        <f t="shared" ref="B100:B105" si="29">B22</f>
        <v>Pensions prepayment (See Appendices within RFPR commentary documentation)</v>
      </c>
      <c r="C100" s="163" t="s">
        <v>128</v>
      </c>
      <c r="D100" s="619">
        <f t="shared" ref="D100:K105" si="30">D22*D$86</f>
        <v>0</v>
      </c>
      <c r="E100" s="619">
        <f t="shared" si="30"/>
        <v>9.6317046663333112</v>
      </c>
      <c r="F100" s="619">
        <f t="shared" si="30"/>
        <v>-9.1300735131613937</v>
      </c>
      <c r="G100" s="619">
        <f t="shared" si="30"/>
        <v>-0.50032308982839002</v>
      </c>
      <c r="H100" s="619">
        <f t="shared" si="30"/>
        <v>0</v>
      </c>
      <c r="I100" s="619">
        <f t="shared" si="30"/>
        <v>0</v>
      </c>
      <c r="J100" s="619">
        <f t="shared" si="30"/>
        <v>0</v>
      </c>
      <c r="K100" s="619">
        <f t="shared" si="30"/>
        <v>0</v>
      </c>
      <c r="L100" s="611">
        <f>SUM(D100:INDEX(D100:K100,0,MATCH('RFPR cover'!$C$7,$D$6:$K$6,0)))</f>
        <v>1.3080633435275102E-3</v>
      </c>
      <c r="M100" s="612">
        <f t="shared" ref="M100:M106" si="31">SUM(D100:K100)</f>
        <v>1.3080633435275102E-3</v>
      </c>
      <c r="N100" s="64"/>
      <c r="O100"/>
      <c r="P100"/>
      <c r="Q100"/>
      <c r="R100"/>
      <c r="S100"/>
      <c r="T100"/>
    </row>
    <row r="101" spans="1:20">
      <c r="A101" s="283" t="s">
        <v>152</v>
      </c>
      <c r="B101" s="235" t="str">
        <f t="shared" si="29"/>
        <v>Rail Electrification (See Appendices within RFRS commentary documentation)</v>
      </c>
      <c r="C101" s="163" t="s">
        <v>128</v>
      </c>
      <c r="D101" s="619">
        <f t="shared" si="30"/>
        <v>0</v>
      </c>
      <c r="E101" s="619">
        <f t="shared" si="30"/>
        <v>0</v>
      </c>
      <c r="F101" s="619">
        <f t="shared" si="30"/>
        <v>-36.507486304365457</v>
      </c>
      <c r="G101" s="619">
        <f t="shared" si="30"/>
        <v>-6.5757896162144283</v>
      </c>
      <c r="H101" s="619">
        <f t="shared" si="30"/>
        <v>0</v>
      </c>
      <c r="I101" s="619">
        <f t="shared" si="30"/>
        <v>15.539375355369303</v>
      </c>
      <c r="J101" s="619">
        <f t="shared" si="30"/>
        <v>16.009441459869226</v>
      </c>
      <c r="K101" s="619">
        <f t="shared" si="30"/>
        <v>16.501297829149017</v>
      </c>
      <c r="L101" s="615">
        <f>SUM(D101:INDEX(D101:K101,0,MATCH('RFPR cover'!$C$7,$D$6:$K$6,0)))</f>
        <v>-43.083275920579887</v>
      </c>
      <c r="M101" s="616">
        <f t="shared" si="31"/>
        <v>4.9668387238076583</v>
      </c>
      <c r="N101" s="64"/>
      <c r="O101"/>
      <c r="P101"/>
      <c r="Q101"/>
      <c r="R101"/>
      <c r="S101"/>
      <c r="T101"/>
    </row>
    <row r="102" spans="1:20">
      <c r="A102" s="283" t="s">
        <v>153</v>
      </c>
      <c r="B102" s="235" t="str">
        <f t="shared" si="29"/>
        <v>Specified Street Works</v>
      </c>
      <c r="C102" s="163" t="s">
        <v>128</v>
      </c>
      <c r="D102" s="619">
        <f t="shared" si="30"/>
        <v>0</v>
      </c>
      <c r="E102" s="619">
        <f t="shared" si="30"/>
        <v>0</v>
      </c>
      <c r="F102" s="619">
        <f t="shared" si="30"/>
        <v>0</v>
      </c>
      <c r="G102" s="619">
        <f t="shared" si="30"/>
        <v>0</v>
      </c>
      <c r="H102" s="619">
        <f t="shared" si="30"/>
        <v>0</v>
      </c>
      <c r="I102" s="619">
        <f t="shared" si="30"/>
        <v>0</v>
      </c>
      <c r="J102" s="619">
        <f t="shared" si="30"/>
        <v>0</v>
      </c>
      <c r="K102" s="619">
        <f t="shared" si="30"/>
        <v>0</v>
      </c>
      <c r="L102" s="615">
        <f>SUM(D102:INDEX(D102:K102,0,MATCH('RFPR cover'!$C$7,$D$6:$K$6,0)))</f>
        <v>0</v>
      </c>
      <c r="M102" s="616">
        <f t="shared" si="31"/>
        <v>0</v>
      </c>
      <c r="N102" s="64"/>
      <c r="O102"/>
      <c r="P102"/>
      <c r="Q102"/>
      <c r="R102"/>
      <c r="S102" s="66"/>
      <c r="T102"/>
    </row>
    <row r="103" spans="1:20">
      <c r="A103" s="283" t="s">
        <v>168</v>
      </c>
      <c r="B103" s="235" t="str">
        <f t="shared" si="29"/>
        <v>[Enduring Value adjustment]</v>
      </c>
      <c r="C103" s="163" t="s">
        <v>128</v>
      </c>
      <c r="D103" s="619">
        <f t="shared" si="30"/>
        <v>0</v>
      </c>
      <c r="E103" s="619">
        <f t="shared" si="30"/>
        <v>0</v>
      </c>
      <c r="F103" s="619">
        <f t="shared" si="30"/>
        <v>0</v>
      </c>
      <c r="G103" s="619">
        <f t="shared" si="30"/>
        <v>0</v>
      </c>
      <c r="H103" s="619">
        <f t="shared" si="30"/>
        <v>0</v>
      </c>
      <c r="I103" s="619">
        <f t="shared" si="30"/>
        <v>0</v>
      </c>
      <c r="J103" s="619">
        <f t="shared" si="30"/>
        <v>0</v>
      </c>
      <c r="K103" s="619">
        <f t="shared" si="30"/>
        <v>0</v>
      </c>
      <c r="L103" s="615">
        <f>SUM(D103:INDEX(D103:K103,0,MATCH('RFPR cover'!$C$7,$D$6:$K$6,0)))</f>
        <v>0</v>
      </c>
      <c r="M103" s="616">
        <f t="shared" si="31"/>
        <v>0</v>
      </c>
      <c r="N103" s="64"/>
      <c r="O103"/>
      <c r="P103"/>
      <c r="Q103"/>
      <c r="R103"/>
      <c r="S103"/>
      <c r="T103"/>
    </row>
    <row r="104" spans="1:20">
      <c r="A104" s="283" t="s">
        <v>169</v>
      </c>
      <c r="B104" s="235" t="str">
        <f t="shared" si="29"/>
        <v>[Enduring Value adjustment]</v>
      </c>
      <c r="C104" s="163" t="s">
        <v>128</v>
      </c>
      <c r="D104" s="619">
        <f t="shared" si="30"/>
        <v>0</v>
      </c>
      <c r="E104" s="619">
        <f t="shared" si="30"/>
        <v>0</v>
      </c>
      <c r="F104" s="619">
        <f t="shared" si="30"/>
        <v>0</v>
      </c>
      <c r="G104" s="619">
        <f t="shared" si="30"/>
        <v>0</v>
      </c>
      <c r="H104" s="619">
        <f t="shared" si="30"/>
        <v>0</v>
      </c>
      <c r="I104" s="619">
        <f t="shared" si="30"/>
        <v>0</v>
      </c>
      <c r="J104" s="619">
        <f t="shared" si="30"/>
        <v>0</v>
      </c>
      <c r="K104" s="619">
        <f t="shared" si="30"/>
        <v>0</v>
      </c>
      <c r="L104" s="615">
        <f>SUM(D104:INDEX(D104:K104,0,MATCH('RFPR cover'!$C$7,$D$6:$K$6,0)))</f>
        <v>0</v>
      </c>
      <c r="M104" s="616">
        <f t="shared" si="31"/>
        <v>0</v>
      </c>
      <c r="N104" s="64"/>
      <c r="O104"/>
      <c r="P104"/>
      <c r="Q104"/>
      <c r="R104"/>
      <c r="S104"/>
      <c r="T104"/>
    </row>
    <row r="105" spans="1:20">
      <c r="A105" s="283" t="s">
        <v>170</v>
      </c>
      <c r="B105" s="235" t="str">
        <f t="shared" si="29"/>
        <v>[Enduring Value adjustment]</v>
      </c>
      <c r="C105" s="163" t="s">
        <v>128</v>
      </c>
      <c r="D105" s="619">
        <f t="shared" si="30"/>
        <v>0</v>
      </c>
      <c r="E105" s="619">
        <f t="shared" si="30"/>
        <v>0</v>
      </c>
      <c r="F105" s="619">
        <f t="shared" si="30"/>
        <v>0</v>
      </c>
      <c r="G105" s="619">
        <f t="shared" si="30"/>
        <v>0</v>
      </c>
      <c r="H105" s="619">
        <f t="shared" si="30"/>
        <v>0</v>
      </c>
      <c r="I105" s="619">
        <f t="shared" si="30"/>
        <v>0</v>
      </c>
      <c r="J105" s="619">
        <f t="shared" si="30"/>
        <v>0</v>
      </c>
      <c r="K105" s="619">
        <f t="shared" si="30"/>
        <v>0</v>
      </c>
      <c r="L105" s="619">
        <f>SUM(D105:INDEX(D105:K105,0,MATCH('RFPR cover'!$C$7,$D$6:$K$6,0)))</f>
        <v>0</v>
      </c>
      <c r="M105" s="620">
        <f t="shared" si="31"/>
        <v>0</v>
      </c>
      <c r="N105" s="64"/>
      <c r="O105"/>
      <c r="P105"/>
      <c r="Q105"/>
      <c r="R105"/>
      <c r="S105"/>
      <c r="T105"/>
    </row>
    <row r="106" spans="1:20">
      <c r="A106" s="36"/>
      <c r="B106" s="807" t="s">
        <v>190</v>
      </c>
      <c r="C106" s="163" t="s">
        <v>128</v>
      </c>
      <c r="D106" s="104">
        <f>SUM(D100:D105)</f>
        <v>0</v>
      </c>
      <c r="E106" s="105">
        <f t="shared" ref="E106:K106" si="32">SUM(E100:E105)</f>
        <v>9.6317046663333112</v>
      </c>
      <c r="F106" s="105">
        <f t="shared" si="32"/>
        <v>-45.637559817526849</v>
      </c>
      <c r="G106" s="105">
        <f t="shared" si="32"/>
        <v>-7.0761127060428182</v>
      </c>
      <c r="H106" s="105">
        <f t="shared" si="32"/>
        <v>0</v>
      </c>
      <c r="I106" s="105">
        <f t="shared" si="32"/>
        <v>15.539375355369303</v>
      </c>
      <c r="J106" s="105">
        <f t="shared" si="32"/>
        <v>16.009441459869226</v>
      </c>
      <c r="K106" s="106">
        <f t="shared" si="32"/>
        <v>16.501297829149017</v>
      </c>
      <c r="L106" s="104">
        <f>SUM(D106:INDEX(D106:K106,0,MATCH('RFPR cover'!$C$7,$D$6:$K$6,0)))</f>
        <v>-43.081967857236357</v>
      </c>
      <c r="M106" s="106">
        <f t="shared" si="31"/>
        <v>4.9681467871511877</v>
      </c>
      <c r="N106" s="64"/>
    </row>
    <row r="107" spans="1:20">
      <c r="A107" s="36"/>
      <c r="B107" s="799"/>
    </row>
    <row r="108" spans="1:20">
      <c r="A108" s="36"/>
      <c r="B108" s="806" t="s">
        <v>198</v>
      </c>
      <c r="C108" s="163" t="s">
        <v>128</v>
      </c>
      <c r="D108" s="97">
        <f t="shared" ref="D108:K108" si="33">D106*D94</f>
        <v>0</v>
      </c>
      <c r="E108" s="98">
        <f t="shared" si="33"/>
        <v>2.8895113998999937</v>
      </c>
      <c r="F108" s="98">
        <f t="shared" si="33"/>
        <v>-13.691267945258057</v>
      </c>
      <c r="G108" s="98">
        <f t="shared" si="33"/>
        <v>-2.1228338118128458</v>
      </c>
      <c r="H108" s="98">
        <f t="shared" si="33"/>
        <v>0</v>
      </c>
      <c r="I108" s="98">
        <f t="shared" si="33"/>
        <v>4.6618126066107921</v>
      </c>
      <c r="J108" s="98">
        <f t="shared" si="33"/>
        <v>4.8028324379607685</v>
      </c>
      <c r="K108" s="98">
        <f t="shared" si="33"/>
        <v>4.9503893487447055</v>
      </c>
      <c r="L108" s="97">
        <f>SUM(D108:INDEX(D108:K108,0,MATCH('RFPR cover'!$C$7,$D$6:$K$6,0)))</f>
        <v>-12.92459035717091</v>
      </c>
      <c r="M108" s="99">
        <f>SUM(D108:K108)</f>
        <v>1.4904440361453553</v>
      </c>
    </row>
    <row r="109" spans="1:20">
      <c r="A109" s="36"/>
      <c r="B109" s="806" t="s">
        <v>309</v>
      </c>
      <c r="C109" s="163" t="s">
        <v>128</v>
      </c>
      <c r="D109" s="94">
        <f t="shared" ref="D109:K109" si="34">D106*(1-D94)</f>
        <v>0</v>
      </c>
      <c r="E109" s="95">
        <f t="shared" si="34"/>
        <v>6.7421932664333175</v>
      </c>
      <c r="F109" s="95">
        <f t="shared" si="34"/>
        <v>-31.946291872268791</v>
      </c>
      <c r="G109" s="95">
        <f t="shared" si="34"/>
        <v>-4.9532788942299728</v>
      </c>
      <c r="H109" s="95">
        <f t="shared" si="34"/>
        <v>0</v>
      </c>
      <c r="I109" s="95">
        <f t="shared" si="34"/>
        <v>10.877562748758512</v>
      </c>
      <c r="J109" s="95">
        <f t="shared" si="34"/>
        <v>11.206609021908458</v>
      </c>
      <c r="K109" s="95">
        <f t="shared" si="34"/>
        <v>11.550908480404312</v>
      </c>
      <c r="L109" s="94">
        <f>SUM(D109:INDEX(D109:K109,0,MATCH('RFPR cover'!$C$7,$D$6:$K$6,0)))</f>
        <v>-30.157377500065444</v>
      </c>
      <c r="M109" s="96">
        <f>SUM(D109:K109)</f>
        <v>3.4777027510058396</v>
      </c>
    </row>
    <row r="110" spans="1:20">
      <c r="A110" s="36"/>
      <c r="B110" s="799"/>
    </row>
    <row r="111" spans="1:20">
      <c r="A111" s="36"/>
      <c r="B111" s="807" t="s">
        <v>181</v>
      </c>
    </row>
    <row r="112" spans="1:20">
      <c r="A112" s="36"/>
      <c r="B112" s="799" t="s">
        <v>180</v>
      </c>
      <c r="C112" s="163" t="s">
        <v>128</v>
      </c>
      <c r="D112" s="97">
        <f>D96+D108</f>
        <v>4.1298255705559406</v>
      </c>
      <c r="E112" s="98">
        <f t="shared" ref="E112:K112" si="35">E96+E108</f>
        <v>5.9688710282873823</v>
      </c>
      <c r="F112" s="98">
        <f t="shared" si="35"/>
        <v>-7.788293788381039</v>
      </c>
      <c r="G112" s="98">
        <f t="shared" si="35"/>
        <v>5.2581322194525875</v>
      </c>
      <c r="H112" s="98">
        <f t="shared" si="35"/>
        <v>0.46031267665360082</v>
      </c>
      <c r="I112" s="98">
        <f t="shared" si="35"/>
        <v>0.53958816207661986</v>
      </c>
      <c r="J112" s="98">
        <f t="shared" si="35"/>
        <v>0.2174283671704238</v>
      </c>
      <c r="K112" s="98">
        <f t="shared" si="35"/>
        <v>1.1912374999197346</v>
      </c>
      <c r="L112" s="97">
        <f>SUM(D112:INDEX(D112:K112,0,MATCH('RFPR cover'!$C$7,$D$6:$K$6,0)))</f>
        <v>7.5685350299148704</v>
      </c>
      <c r="M112" s="99">
        <f>SUM(D112:K112)</f>
        <v>9.9771017357352516</v>
      </c>
    </row>
    <row r="113" spans="1:20">
      <c r="A113" s="36"/>
      <c r="B113" s="799" t="s">
        <v>280</v>
      </c>
      <c r="C113" s="163" t="s">
        <v>128</v>
      </c>
      <c r="D113" s="546">
        <f>D97+D109</f>
        <v>9.6362596646305256</v>
      </c>
      <c r="E113" s="547">
        <f t="shared" ref="E113:K113" si="36">E97+E109</f>
        <v>13.927365732670555</v>
      </c>
      <c r="F113" s="547">
        <f t="shared" si="36"/>
        <v>-18.172685506222422</v>
      </c>
      <c r="G113" s="547">
        <f t="shared" si="36"/>
        <v>12.268975178722703</v>
      </c>
      <c r="H113" s="547">
        <f t="shared" si="36"/>
        <v>1.0740629121917351</v>
      </c>
      <c r="I113" s="547">
        <f t="shared" si="36"/>
        <v>1.259039044845446</v>
      </c>
      <c r="J113" s="547">
        <f t="shared" si="36"/>
        <v>0.50733285673099004</v>
      </c>
      <c r="K113" s="547">
        <f t="shared" si="36"/>
        <v>2.7795541664793806</v>
      </c>
      <c r="L113" s="546">
        <f>SUM(D113:INDEX(D113:K113,0,MATCH('RFPR cover'!$C$7,$D$6:$K$6,0)))</f>
        <v>17.659915069801364</v>
      </c>
      <c r="M113" s="548">
        <f>SUM(D113:K113)</f>
        <v>23.279904050048913</v>
      </c>
    </row>
    <row r="114" spans="1:20">
      <c r="A114" s="36"/>
      <c r="B114" s="807" t="s">
        <v>11</v>
      </c>
      <c r="C114" s="164" t="s">
        <v>128</v>
      </c>
      <c r="D114" s="153">
        <f>SUM(D112:D113)</f>
        <v>13.766085235186466</v>
      </c>
      <c r="E114" s="154">
        <f t="shared" ref="E114:K114" si="37">SUM(E112:E113)</f>
        <v>19.896236760957937</v>
      </c>
      <c r="F114" s="154">
        <f t="shared" si="37"/>
        <v>-25.960979294603462</v>
      </c>
      <c r="G114" s="154">
        <f t="shared" si="37"/>
        <v>17.527107398175289</v>
      </c>
      <c r="H114" s="154">
        <f t="shared" si="37"/>
        <v>1.5343755888453359</v>
      </c>
      <c r="I114" s="154">
        <f t="shared" si="37"/>
        <v>1.7986272069220659</v>
      </c>
      <c r="J114" s="154">
        <f t="shared" si="37"/>
        <v>0.72476122390141384</v>
      </c>
      <c r="K114" s="154">
        <f t="shared" si="37"/>
        <v>3.9707916663991152</v>
      </c>
      <c r="L114" s="153">
        <f>SUM(D114:INDEX(D114:K114,0,MATCH('RFPR cover'!$C$7,$D$6:$K$6,0)))</f>
        <v>25.228450099716227</v>
      </c>
      <c r="M114" s="155">
        <f>SUM(D114:K114)</f>
        <v>33.257005785784159</v>
      </c>
    </row>
    <row r="115" spans="1:20">
      <c r="A115" s="36"/>
      <c r="B115" s="799"/>
    </row>
    <row r="116" spans="1:20">
      <c r="A116" s="36"/>
      <c r="B116" s="802" t="str">
        <f>B38</f>
        <v>n/a</v>
      </c>
      <c r="C116" s="158"/>
      <c r="D116" s="83"/>
      <c r="E116" s="83"/>
      <c r="F116" s="83"/>
      <c r="G116" s="83"/>
      <c r="H116" s="83"/>
      <c r="I116" s="83"/>
      <c r="J116" s="83"/>
      <c r="K116" s="83"/>
      <c r="L116" s="83"/>
      <c r="M116" s="83"/>
      <c r="N116" s="83"/>
    </row>
    <row r="117" spans="1:20" s="36" customFormat="1">
      <c r="B117" s="800"/>
      <c r="C117" s="146"/>
      <c r="D117" s="339"/>
      <c r="E117" s="339"/>
      <c r="F117" s="339"/>
      <c r="G117" s="339"/>
      <c r="H117" s="339"/>
      <c r="I117" s="339"/>
      <c r="J117" s="339"/>
      <c r="K117" s="339"/>
      <c r="L117" s="339"/>
      <c r="M117" s="339"/>
      <c r="N117" s="339"/>
    </row>
    <row r="118" spans="1:20">
      <c r="A118" s="36"/>
      <c r="B118" s="324" t="s">
        <v>34</v>
      </c>
      <c r="C118" s="163" t="s">
        <v>128</v>
      </c>
      <c r="D118" s="698">
        <f t="shared" ref="D118:K119" si="38">D40*D$86</f>
        <v>0</v>
      </c>
      <c r="E118" s="698">
        <f t="shared" si="38"/>
        <v>0</v>
      </c>
      <c r="F118" s="698">
        <f t="shared" si="38"/>
        <v>0</v>
      </c>
      <c r="G118" s="698">
        <f t="shared" si="38"/>
        <v>0</v>
      </c>
      <c r="H118" s="698">
        <f t="shared" si="38"/>
        <v>0</v>
      </c>
      <c r="I118" s="698">
        <f t="shared" si="38"/>
        <v>0</v>
      </c>
      <c r="J118" s="698">
        <f t="shared" si="38"/>
        <v>0</v>
      </c>
      <c r="K118" s="698">
        <f t="shared" si="38"/>
        <v>0</v>
      </c>
      <c r="L118" s="698">
        <f>SUM(D118:INDEX(D118:K118,0,MATCH('RFPR cover'!$C$7,$D$6:$K$6,0)))</f>
        <v>0</v>
      </c>
      <c r="M118" s="699">
        <f>SUM(D118:K118)</f>
        <v>0</v>
      </c>
      <c r="N118" s="64"/>
      <c r="O118" s="64"/>
    </row>
    <row r="119" spans="1:20" ht="25.5">
      <c r="A119" s="36"/>
      <c r="B119" s="804" t="s">
        <v>197</v>
      </c>
      <c r="C119" s="163" t="s">
        <v>128</v>
      </c>
      <c r="D119" s="698">
        <f t="shared" si="38"/>
        <v>0</v>
      </c>
      <c r="E119" s="698">
        <f t="shared" si="38"/>
        <v>0</v>
      </c>
      <c r="F119" s="698">
        <f t="shared" si="38"/>
        <v>0</v>
      </c>
      <c r="G119" s="698">
        <f t="shared" si="38"/>
        <v>0</v>
      </c>
      <c r="H119" s="698">
        <f t="shared" si="38"/>
        <v>0</v>
      </c>
      <c r="I119" s="698">
        <f t="shared" si="38"/>
        <v>0</v>
      </c>
      <c r="J119" s="698">
        <f t="shared" si="38"/>
        <v>0</v>
      </c>
      <c r="K119" s="698">
        <f t="shared" si="38"/>
        <v>0</v>
      </c>
      <c r="L119" s="700">
        <f>SUM(D119:INDEX(D119:K119,0,MATCH('RFPR cover'!$C$7,$D$6:$K$6,0)))</f>
        <v>0</v>
      </c>
      <c r="M119" s="701">
        <f>SUM(D119:K119)</f>
        <v>0</v>
      </c>
      <c r="N119" s="64"/>
      <c r="O119" s="64"/>
    </row>
    <row r="120" spans="1:20">
      <c r="A120" s="36"/>
      <c r="B120" s="805" t="s">
        <v>195</v>
      </c>
      <c r="C120" s="163" t="s">
        <v>128</v>
      </c>
      <c r="D120" s="104">
        <f>D119-D118</f>
        <v>0</v>
      </c>
      <c r="E120" s="105">
        <f t="shared" ref="E120:M120" si="39">E119-E118</f>
        <v>0</v>
      </c>
      <c r="F120" s="105">
        <f t="shared" si="39"/>
        <v>0</v>
      </c>
      <c r="G120" s="105">
        <f t="shared" si="39"/>
        <v>0</v>
      </c>
      <c r="H120" s="105">
        <f t="shared" si="39"/>
        <v>0</v>
      </c>
      <c r="I120" s="105">
        <f t="shared" si="39"/>
        <v>0</v>
      </c>
      <c r="J120" s="105">
        <f t="shared" si="39"/>
        <v>0</v>
      </c>
      <c r="K120" s="105">
        <f t="shared" si="39"/>
        <v>0</v>
      </c>
      <c r="L120" s="104">
        <f t="shared" si="39"/>
        <v>0</v>
      </c>
      <c r="M120" s="106">
        <f t="shared" si="39"/>
        <v>0</v>
      </c>
      <c r="N120" s="64"/>
      <c r="O120" s="983"/>
      <c r="P120" s="983"/>
      <c r="Q120" s="983"/>
      <c r="R120"/>
      <c r="S120"/>
      <c r="T120"/>
    </row>
    <row r="121" spans="1:20">
      <c r="A121" s="36"/>
      <c r="B121" s="805"/>
      <c r="C121" s="163"/>
      <c r="D121" s="60"/>
      <c r="E121" s="60"/>
      <c r="F121" s="60"/>
      <c r="G121" s="60"/>
      <c r="H121" s="60"/>
      <c r="I121" s="60"/>
      <c r="J121" s="60"/>
      <c r="K121" s="60"/>
      <c r="L121" s="60"/>
      <c r="M121" s="60"/>
      <c r="O121" s="65"/>
      <c r="P121" s="65"/>
      <c r="Q121" s="65"/>
      <c r="R121"/>
      <c r="S121"/>
      <c r="T121"/>
    </row>
    <row r="122" spans="1:20">
      <c r="A122" s="36"/>
      <c r="B122" s="799" t="s">
        <v>178</v>
      </c>
      <c r="C122" s="144" t="s">
        <v>7</v>
      </c>
      <c r="D122" s="111">
        <f>1-INDEX(Data!$D$73:$D$100,MATCH('RFPR cover'!$C$5,Data!$B$73:$B$100,0),0)</f>
        <v>0.30000000000000004</v>
      </c>
      <c r="E122" s="112">
        <f>1-INDEX(Data!$D$73:$D$100,MATCH('RFPR cover'!$C$5,Data!$B$73:$B$100,0),0)</f>
        <v>0.30000000000000004</v>
      </c>
      <c r="F122" s="112">
        <f>1-INDEX(Data!$D$73:$D$100,MATCH('RFPR cover'!$C$5,Data!$B$73:$B$100,0),0)</f>
        <v>0.30000000000000004</v>
      </c>
      <c r="G122" s="112">
        <f>1-INDEX(Data!$D$73:$D$100,MATCH('RFPR cover'!$C$5,Data!$B$73:$B$100,0),0)</f>
        <v>0.30000000000000004</v>
      </c>
      <c r="H122" s="112">
        <f>1-INDEX(Data!$D$73:$D$100,MATCH('RFPR cover'!$C$5,Data!$B$73:$B$100,0),0)</f>
        <v>0.30000000000000004</v>
      </c>
      <c r="I122" s="112">
        <f>1-INDEX(Data!$D$73:$D$100,MATCH('RFPR cover'!$C$5,Data!$B$73:$B$100,0),0)</f>
        <v>0.30000000000000004</v>
      </c>
      <c r="J122" s="112">
        <f>1-INDEX(Data!$D$73:$D$100,MATCH('RFPR cover'!$C$5,Data!$B$73:$B$100,0),0)</f>
        <v>0.30000000000000004</v>
      </c>
      <c r="K122" s="113">
        <f>1-INDEX(Data!$D$73:$D$100,MATCH('RFPR cover'!$C$5,Data!$B$73:$B$100,0),0)</f>
        <v>0.30000000000000004</v>
      </c>
      <c r="L122" s="63"/>
      <c r="M122" s="63"/>
      <c r="O122"/>
      <c r="P122"/>
      <c r="Q122"/>
      <c r="R122"/>
      <c r="S122"/>
      <c r="T122"/>
    </row>
    <row r="123" spans="1:20">
      <c r="A123" s="36"/>
      <c r="B123" s="799"/>
      <c r="O123"/>
      <c r="P123"/>
      <c r="Q123"/>
      <c r="R123"/>
      <c r="S123"/>
      <c r="T123"/>
    </row>
    <row r="124" spans="1:20">
      <c r="A124" s="36"/>
      <c r="B124" s="806" t="s">
        <v>183</v>
      </c>
      <c r="C124" s="167" t="s">
        <v>128</v>
      </c>
      <c r="D124" s="97">
        <f>D120*D122</f>
        <v>0</v>
      </c>
      <c r="E124" s="98">
        <f t="shared" ref="E124:K124" si="40">E120*E122</f>
        <v>0</v>
      </c>
      <c r="F124" s="98">
        <f t="shared" si="40"/>
        <v>0</v>
      </c>
      <c r="G124" s="98">
        <f t="shared" si="40"/>
        <v>0</v>
      </c>
      <c r="H124" s="98">
        <f t="shared" si="40"/>
        <v>0</v>
      </c>
      <c r="I124" s="98">
        <f t="shared" si="40"/>
        <v>0</v>
      </c>
      <c r="J124" s="98">
        <f t="shared" si="40"/>
        <v>0</v>
      </c>
      <c r="K124" s="98">
        <f t="shared" si="40"/>
        <v>0</v>
      </c>
      <c r="L124" s="97">
        <f>SUM(D124:INDEX(D124:K124,0,MATCH('RFPR cover'!$C$7,$D$6:$K$6,0)))</f>
        <v>0</v>
      </c>
      <c r="M124" s="99">
        <f>SUM(D124:K124)</f>
        <v>0</v>
      </c>
      <c r="O124"/>
      <c r="P124"/>
      <c r="Q124"/>
      <c r="R124"/>
      <c r="S124"/>
      <c r="T124"/>
    </row>
    <row r="125" spans="1:20">
      <c r="A125" s="36"/>
      <c r="B125" s="806" t="s">
        <v>179</v>
      </c>
      <c r="C125" s="167" t="s">
        <v>128</v>
      </c>
      <c r="D125" s="94">
        <f>D120*(1-D122)</f>
        <v>0</v>
      </c>
      <c r="E125" s="95">
        <f t="shared" ref="E125:K125" si="41">E120*(1-E122)</f>
        <v>0</v>
      </c>
      <c r="F125" s="95">
        <f t="shared" si="41"/>
        <v>0</v>
      </c>
      <c r="G125" s="95">
        <f t="shared" si="41"/>
        <v>0</v>
      </c>
      <c r="H125" s="95">
        <f t="shared" si="41"/>
        <v>0</v>
      </c>
      <c r="I125" s="95">
        <f t="shared" si="41"/>
        <v>0</v>
      </c>
      <c r="J125" s="95">
        <f t="shared" si="41"/>
        <v>0</v>
      </c>
      <c r="K125" s="95">
        <f t="shared" si="41"/>
        <v>0</v>
      </c>
      <c r="L125" s="94">
        <f>SUM(D125:INDEX(D125:K125,0,MATCH('RFPR cover'!$C$7,$D$6:$K$6,0)))</f>
        <v>0</v>
      </c>
      <c r="M125" s="96">
        <f>SUM(D125:K125)</f>
        <v>0</v>
      </c>
      <c r="O125"/>
      <c r="P125"/>
      <c r="Q125"/>
      <c r="R125"/>
      <c r="S125"/>
      <c r="T125"/>
    </row>
    <row r="126" spans="1:20">
      <c r="A126" s="36"/>
      <c r="B126" s="799"/>
      <c r="O126"/>
      <c r="P126"/>
      <c r="Q126"/>
      <c r="R126"/>
      <c r="S126"/>
      <c r="T126"/>
    </row>
    <row r="127" spans="1:20">
      <c r="A127" s="36"/>
      <c r="B127" s="807" t="s">
        <v>182</v>
      </c>
      <c r="N127" s="64"/>
      <c r="O127"/>
      <c r="P127"/>
      <c r="Q127"/>
      <c r="R127"/>
      <c r="S127"/>
      <c r="T127"/>
    </row>
    <row r="128" spans="1:20">
      <c r="A128" s="283" t="s">
        <v>151</v>
      </c>
      <c r="B128" s="235" t="str">
        <f t="shared" ref="B128:B133" si="42">B50</f>
        <v>[Enduring Value adjustment]</v>
      </c>
      <c r="C128" s="163" t="s">
        <v>128</v>
      </c>
      <c r="D128" s="611">
        <f t="shared" ref="D128:K133" si="43">D50*D$86</f>
        <v>0</v>
      </c>
      <c r="E128" s="611">
        <f t="shared" si="43"/>
        <v>0</v>
      </c>
      <c r="F128" s="611">
        <f t="shared" si="43"/>
        <v>0</v>
      </c>
      <c r="G128" s="611">
        <f t="shared" si="43"/>
        <v>0</v>
      </c>
      <c r="H128" s="611">
        <f t="shared" si="43"/>
        <v>0</v>
      </c>
      <c r="I128" s="611">
        <f t="shared" si="43"/>
        <v>0</v>
      </c>
      <c r="J128" s="611">
        <f t="shared" si="43"/>
        <v>0</v>
      </c>
      <c r="K128" s="611">
        <f t="shared" si="43"/>
        <v>0</v>
      </c>
      <c r="L128" s="611">
        <f>SUM(D128:INDEX(D128:K128,0,MATCH('RFPR cover'!$C$7,$D$6:$K$6,0)))</f>
        <v>0</v>
      </c>
      <c r="M128" s="612">
        <f t="shared" ref="M128:M134" si="44">SUM(D128:K128)</f>
        <v>0</v>
      </c>
      <c r="N128" s="64"/>
      <c r="O128"/>
      <c r="P128"/>
      <c r="Q128"/>
      <c r="R128"/>
      <c r="S128"/>
      <c r="T128"/>
    </row>
    <row r="129" spans="1:20">
      <c r="A129" s="283" t="s">
        <v>152</v>
      </c>
      <c r="B129" s="235" t="str">
        <f t="shared" si="42"/>
        <v>[Enduring Value adjustment]</v>
      </c>
      <c r="C129" s="163" t="s">
        <v>128</v>
      </c>
      <c r="D129" s="611">
        <f t="shared" si="43"/>
        <v>0</v>
      </c>
      <c r="E129" s="611">
        <f t="shared" si="43"/>
        <v>0</v>
      </c>
      <c r="F129" s="611">
        <f t="shared" si="43"/>
        <v>0</v>
      </c>
      <c r="G129" s="611">
        <f t="shared" si="43"/>
        <v>0</v>
      </c>
      <c r="H129" s="611">
        <f t="shared" si="43"/>
        <v>0</v>
      </c>
      <c r="I129" s="611">
        <f t="shared" si="43"/>
        <v>0</v>
      </c>
      <c r="J129" s="611">
        <f t="shared" si="43"/>
        <v>0</v>
      </c>
      <c r="K129" s="611">
        <f t="shared" si="43"/>
        <v>0</v>
      </c>
      <c r="L129" s="615">
        <f>SUM(D129:INDEX(D129:K129,0,MATCH('RFPR cover'!$C$7,$D$6:$K$6,0)))</f>
        <v>0</v>
      </c>
      <c r="M129" s="616">
        <f t="shared" si="44"/>
        <v>0</v>
      </c>
      <c r="N129" s="64"/>
      <c r="O129"/>
      <c r="P129"/>
      <c r="Q129"/>
      <c r="R129"/>
      <c r="S129"/>
      <c r="T129"/>
    </row>
    <row r="130" spans="1:20">
      <c r="A130" s="283" t="s">
        <v>153</v>
      </c>
      <c r="B130" s="235" t="str">
        <f t="shared" si="42"/>
        <v>[Enduring Value adjustment]</v>
      </c>
      <c r="C130" s="163" t="s">
        <v>128</v>
      </c>
      <c r="D130" s="611">
        <f t="shared" si="43"/>
        <v>0</v>
      </c>
      <c r="E130" s="611">
        <f t="shared" si="43"/>
        <v>0</v>
      </c>
      <c r="F130" s="611">
        <f t="shared" si="43"/>
        <v>0</v>
      </c>
      <c r="G130" s="611">
        <f t="shared" si="43"/>
        <v>0</v>
      </c>
      <c r="H130" s="611">
        <f t="shared" si="43"/>
        <v>0</v>
      </c>
      <c r="I130" s="611">
        <f t="shared" si="43"/>
        <v>0</v>
      </c>
      <c r="J130" s="611">
        <f t="shared" si="43"/>
        <v>0</v>
      </c>
      <c r="K130" s="611">
        <f t="shared" si="43"/>
        <v>0</v>
      </c>
      <c r="L130" s="615">
        <f>SUM(D130:INDEX(D130:K130,0,MATCH('RFPR cover'!$C$7,$D$6:$K$6,0)))</f>
        <v>0</v>
      </c>
      <c r="M130" s="616">
        <f t="shared" si="44"/>
        <v>0</v>
      </c>
      <c r="N130" s="64"/>
      <c r="O130"/>
      <c r="P130"/>
      <c r="Q130"/>
      <c r="R130"/>
      <c r="S130" s="66"/>
      <c r="T130"/>
    </row>
    <row r="131" spans="1:20">
      <c r="A131" s="283" t="s">
        <v>168</v>
      </c>
      <c r="B131" s="235" t="str">
        <f t="shared" si="42"/>
        <v>[Enduring Value adjustment]</v>
      </c>
      <c r="C131" s="163" t="s">
        <v>128</v>
      </c>
      <c r="D131" s="611">
        <f t="shared" si="43"/>
        <v>0</v>
      </c>
      <c r="E131" s="611">
        <f t="shared" si="43"/>
        <v>0</v>
      </c>
      <c r="F131" s="611">
        <f t="shared" si="43"/>
        <v>0</v>
      </c>
      <c r="G131" s="611">
        <f t="shared" si="43"/>
        <v>0</v>
      </c>
      <c r="H131" s="611">
        <f t="shared" si="43"/>
        <v>0</v>
      </c>
      <c r="I131" s="611">
        <f t="shared" si="43"/>
        <v>0</v>
      </c>
      <c r="J131" s="611">
        <f t="shared" si="43"/>
        <v>0</v>
      </c>
      <c r="K131" s="611">
        <f t="shared" si="43"/>
        <v>0</v>
      </c>
      <c r="L131" s="615">
        <f>SUM(D131:INDEX(D131:K131,0,MATCH('RFPR cover'!$C$7,$D$6:$K$6,0)))</f>
        <v>0</v>
      </c>
      <c r="M131" s="616">
        <f t="shared" si="44"/>
        <v>0</v>
      </c>
      <c r="N131" s="64"/>
      <c r="O131"/>
      <c r="P131"/>
      <c r="Q131"/>
      <c r="R131"/>
      <c r="S131"/>
      <c r="T131"/>
    </row>
    <row r="132" spans="1:20">
      <c r="A132" s="283" t="s">
        <v>169</v>
      </c>
      <c r="B132" s="235" t="str">
        <f t="shared" si="42"/>
        <v>[Enduring Value adjustment]</v>
      </c>
      <c r="C132" s="163" t="s">
        <v>128</v>
      </c>
      <c r="D132" s="611">
        <f t="shared" si="43"/>
        <v>0</v>
      </c>
      <c r="E132" s="611">
        <f t="shared" si="43"/>
        <v>0</v>
      </c>
      <c r="F132" s="611">
        <f t="shared" si="43"/>
        <v>0</v>
      </c>
      <c r="G132" s="611">
        <f t="shared" si="43"/>
        <v>0</v>
      </c>
      <c r="H132" s="611">
        <f t="shared" si="43"/>
        <v>0</v>
      </c>
      <c r="I132" s="611">
        <f t="shared" si="43"/>
        <v>0</v>
      </c>
      <c r="J132" s="611">
        <f t="shared" si="43"/>
        <v>0</v>
      </c>
      <c r="K132" s="611">
        <f t="shared" si="43"/>
        <v>0</v>
      </c>
      <c r="L132" s="615">
        <f>SUM(D132:INDEX(D132:K132,0,MATCH('RFPR cover'!$C$7,$D$6:$K$6,0)))</f>
        <v>0</v>
      </c>
      <c r="M132" s="616">
        <f t="shared" si="44"/>
        <v>0</v>
      </c>
      <c r="N132" s="64"/>
      <c r="O132"/>
      <c r="P132"/>
      <c r="Q132"/>
      <c r="R132"/>
      <c r="S132"/>
      <c r="T132"/>
    </row>
    <row r="133" spans="1:20">
      <c r="A133" s="283" t="s">
        <v>170</v>
      </c>
      <c r="B133" s="235" t="str">
        <f t="shared" si="42"/>
        <v>[Enduring Value adjustment]</v>
      </c>
      <c r="C133" s="163" t="s">
        <v>128</v>
      </c>
      <c r="D133" s="611">
        <f t="shared" si="43"/>
        <v>0</v>
      </c>
      <c r="E133" s="611">
        <f t="shared" si="43"/>
        <v>0</v>
      </c>
      <c r="F133" s="611">
        <f t="shared" si="43"/>
        <v>0</v>
      </c>
      <c r="G133" s="611">
        <f t="shared" si="43"/>
        <v>0</v>
      </c>
      <c r="H133" s="611">
        <f t="shared" si="43"/>
        <v>0</v>
      </c>
      <c r="I133" s="611">
        <f t="shared" si="43"/>
        <v>0</v>
      </c>
      <c r="J133" s="611">
        <f t="shared" si="43"/>
        <v>0</v>
      </c>
      <c r="K133" s="611">
        <f t="shared" si="43"/>
        <v>0</v>
      </c>
      <c r="L133" s="619">
        <f>SUM(D133:INDEX(D133:K133,0,MATCH('RFPR cover'!$C$7,$D$6:$K$6,0)))</f>
        <v>0</v>
      </c>
      <c r="M133" s="620">
        <f t="shared" si="44"/>
        <v>0</v>
      </c>
      <c r="N133" s="64"/>
      <c r="O133"/>
      <c r="P133"/>
      <c r="Q133"/>
      <c r="R133"/>
      <c r="S133"/>
      <c r="T133"/>
    </row>
    <row r="134" spans="1:20">
      <c r="A134" s="36"/>
      <c r="B134" s="807" t="s">
        <v>190</v>
      </c>
      <c r="C134" s="163" t="s">
        <v>128</v>
      </c>
      <c r="D134" s="104">
        <f>SUM(D128:D133)</f>
        <v>0</v>
      </c>
      <c r="E134" s="105">
        <f t="shared" ref="E134:K134" si="45">SUM(E128:E133)</f>
        <v>0</v>
      </c>
      <c r="F134" s="105">
        <f t="shared" si="45"/>
        <v>0</v>
      </c>
      <c r="G134" s="105">
        <f t="shared" si="45"/>
        <v>0</v>
      </c>
      <c r="H134" s="105">
        <f t="shared" si="45"/>
        <v>0</v>
      </c>
      <c r="I134" s="105">
        <f t="shared" si="45"/>
        <v>0</v>
      </c>
      <c r="J134" s="105">
        <f t="shared" si="45"/>
        <v>0</v>
      </c>
      <c r="K134" s="105">
        <f t="shared" si="45"/>
        <v>0</v>
      </c>
      <c r="L134" s="104">
        <f>SUM(D134:INDEX(D134:K134,0,MATCH('RFPR cover'!$C$7,$D$6:$K$6,0)))</f>
        <v>0</v>
      </c>
      <c r="M134" s="106">
        <f t="shared" si="44"/>
        <v>0</v>
      </c>
      <c r="N134" s="64"/>
    </row>
    <row r="135" spans="1:20">
      <c r="A135" s="36"/>
      <c r="B135" s="799"/>
    </row>
    <row r="136" spans="1:20">
      <c r="A136" s="36"/>
      <c r="B136" s="806" t="s">
        <v>198</v>
      </c>
      <c r="C136" s="167" t="s">
        <v>128</v>
      </c>
      <c r="D136" s="97">
        <f t="shared" ref="D136:K136" si="46">D134*D122</f>
        <v>0</v>
      </c>
      <c r="E136" s="98">
        <f t="shared" si="46"/>
        <v>0</v>
      </c>
      <c r="F136" s="98">
        <f t="shared" si="46"/>
        <v>0</v>
      </c>
      <c r="G136" s="98">
        <f t="shared" si="46"/>
        <v>0</v>
      </c>
      <c r="H136" s="98">
        <f t="shared" si="46"/>
        <v>0</v>
      </c>
      <c r="I136" s="98">
        <f t="shared" si="46"/>
        <v>0</v>
      </c>
      <c r="J136" s="98">
        <f t="shared" si="46"/>
        <v>0</v>
      </c>
      <c r="K136" s="98">
        <f t="shared" si="46"/>
        <v>0</v>
      </c>
      <c r="L136" s="97">
        <f>SUM(D136:INDEX(D136:K136,0,MATCH('RFPR cover'!$C$7,$D$6:$K$6,0)))</f>
        <v>0</v>
      </c>
      <c r="M136" s="99">
        <f>SUM(D136:K136)</f>
        <v>0</v>
      </c>
    </row>
    <row r="137" spans="1:20">
      <c r="A137" s="36"/>
      <c r="B137" s="806" t="s">
        <v>309</v>
      </c>
      <c r="C137" s="167" t="s">
        <v>128</v>
      </c>
      <c r="D137" s="94">
        <f t="shared" ref="D137:K137" si="47">D134*(1-D122)</f>
        <v>0</v>
      </c>
      <c r="E137" s="95">
        <f t="shared" si="47"/>
        <v>0</v>
      </c>
      <c r="F137" s="95">
        <f t="shared" si="47"/>
        <v>0</v>
      </c>
      <c r="G137" s="95">
        <f t="shared" si="47"/>
        <v>0</v>
      </c>
      <c r="H137" s="95">
        <f t="shared" si="47"/>
        <v>0</v>
      </c>
      <c r="I137" s="95">
        <f t="shared" si="47"/>
        <v>0</v>
      </c>
      <c r="J137" s="95">
        <f t="shared" si="47"/>
        <v>0</v>
      </c>
      <c r="K137" s="95">
        <f t="shared" si="47"/>
        <v>0</v>
      </c>
      <c r="L137" s="94">
        <f>SUM(D137:INDEX(D137:K137,0,MATCH('RFPR cover'!$C$7,$D$6:$K$6,0)))</f>
        <v>0</v>
      </c>
      <c r="M137" s="96">
        <f>SUM(D137:K137)</f>
        <v>0</v>
      </c>
    </row>
    <row r="138" spans="1:20">
      <c r="A138" s="36"/>
      <c r="B138" s="799"/>
    </row>
    <row r="139" spans="1:20">
      <c r="A139" s="36"/>
      <c r="B139" s="807" t="s">
        <v>181</v>
      </c>
    </row>
    <row r="140" spans="1:20">
      <c r="A140" s="36"/>
      <c r="B140" s="799" t="s">
        <v>180</v>
      </c>
      <c r="C140" s="163" t="s">
        <v>128</v>
      </c>
      <c r="D140" s="97">
        <f>D124+D136</f>
        <v>0</v>
      </c>
      <c r="E140" s="98">
        <f t="shared" ref="E140:K140" si="48">E124+E136</f>
        <v>0</v>
      </c>
      <c r="F140" s="98">
        <f t="shared" si="48"/>
        <v>0</v>
      </c>
      <c r="G140" s="98">
        <f t="shared" si="48"/>
        <v>0</v>
      </c>
      <c r="H140" s="98">
        <f t="shared" si="48"/>
        <v>0</v>
      </c>
      <c r="I140" s="98">
        <f t="shared" si="48"/>
        <v>0</v>
      </c>
      <c r="J140" s="98">
        <f t="shared" si="48"/>
        <v>0</v>
      </c>
      <c r="K140" s="98">
        <f t="shared" si="48"/>
        <v>0</v>
      </c>
      <c r="L140" s="97">
        <f>SUM(D140:INDEX(D140:K140,0,MATCH('RFPR cover'!$C$7,$D$6:$K$6,0)))</f>
        <v>0</v>
      </c>
      <c r="M140" s="99">
        <f>SUM(D140:K140)</f>
        <v>0</v>
      </c>
    </row>
    <row r="141" spans="1:20">
      <c r="A141" s="36"/>
      <c r="B141" s="799" t="s">
        <v>280</v>
      </c>
      <c r="C141" s="163" t="s">
        <v>128</v>
      </c>
      <c r="D141" s="100">
        <f>D125+D137</f>
        <v>0</v>
      </c>
      <c r="E141" s="101">
        <f t="shared" ref="E141:K141" si="49">E125+E137</f>
        <v>0</v>
      </c>
      <c r="F141" s="101">
        <f t="shared" si="49"/>
        <v>0</v>
      </c>
      <c r="G141" s="101">
        <f t="shared" si="49"/>
        <v>0</v>
      </c>
      <c r="H141" s="101">
        <f t="shared" si="49"/>
        <v>0</v>
      </c>
      <c r="I141" s="101">
        <f t="shared" si="49"/>
        <v>0</v>
      </c>
      <c r="J141" s="101">
        <f t="shared" si="49"/>
        <v>0</v>
      </c>
      <c r="K141" s="101">
        <f t="shared" si="49"/>
        <v>0</v>
      </c>
      <c r="L141" s="100">
        <f>SUM(D141:INDEX(D141:K141,0,MATCH('RFPR cover'!$C$7,$D$6:$K$6,0)))</f>
        <v>0</v>
      </c>
      <c r="M141" s="102">
        <f>SUM(D141:K141)</f>
        <v>0</v>
      </c>
    </row>
    <row r="142" spans="1:20">
      <c r="A142" s="36"/>
      <c r="B142" s="807" t="s">
        <v>11</v>
      </c>
      <c r="C142" s="164" t="s">
        <v>128</v>
      </c>
      <c r="D142" s="147">
        <f>SUM(D140:D141)</f>
        <v>0</v>
      </c>
      <c r="E142" s="148">
        <f t="shared" ref="E142:K142" si="50">SUM(E140:E141)</f>
        <v>0</v>
      </c>
      <c r="F142" s="148">
        <f t="shared" si="50"/>
        <v>0</v>
      </c>
      <c r="G142" s="148">
        <f t="shared" si="50"/>
        <v>0</v>
      </c>
      <c r="H142" s="148">
        <f t="shared" si="50"/>
        <v>0</v>
      </c>
      <c r="I142" s="148">
        <f t="shared" si="50"/>
        <v>0</v>
      </c>
      <c r="J142" s="148">
        <f t="shared" si="50"/>
        <v>0</v>
      </c>
      <c r="K142" s="148">
        <f t="shared" si="50"/>
        <v>0</v>
      </c>
      <c r="L142" s="147">
        <f>SUM(D142:INDEX(D142:K142,0,MATCH('RFPR cover'!$C$7,$D$6:$K$6,0)))</f>
        <v>0</v>
      </c>
      <c r="M142" s="149">
        <f>SUM(D142:K142)</f>
        <v>0</v>
      </c>
    </row>
    <row r="143" spans="1:20">
      <c r="A143" s="36"/>
      <c r="B143" s="807"/>
      <c r="C143" s="164"/>
      <c r="D143" s="164"/>
      <c r="E143" s="164"/>
      <c r="F143" s="164"/>
      <c r="G143" s="164"/>
      <c r="H143" s="164"/>
      <c r="I143" s="164"/>
      <c r="J143" s="164"/>
      <c r="K143" s="164"/>
      <c r="L143" s="164"/>
      <c r="M143" s="164"/>
    </row>
    <row r="144" spans="1:20">
      <c r="A144" s="36"/>
      <c r="B144" s="802" t="s">
        <v>257</v>
      </c>
      <c r="C144" s="158"/>
      <c r="D144" s="83"/>
      <c r="E144" s="83"/>
      <c r="F144" s="83"/>
      <c r="G144" s="83"/>
      <c r="H144" s="83"/>
      <c r="I144" s="83"/>
      <c r="J144" s="83"/>
      <c r="K144" s="83"/>
      <c r="L144" s="83"/>
      <c r="M144" s="83"/>
      <c r="N144" s="83"/>
    </row>
    <row r="145" spans="1:20">
      <c r="A145" s="36"/>
      <c r="B145" s="799"/>
      <c r="O145"/>
      <c r="P145"/>
      <c r="Q145"/>
      <c r="R145"/>
      <c r="S145"/>
      <c r="T145"/>
    </row>
    <row r="146" spans="1:20">
      <c r="A146" s="36"/>
      <c r="B146" s="807" t="s">
        <v>181</v>
      </c>
    </row>
    <row r="147" spans="1:20">
      <c r="A147" s="36"/>
      <c r="B147" s="799" t="s">
        <v>180</v>
      </c>
      <c r="C147" s="163" t="s">
        <v>128</v>
      </c>
      <c r="D147" s="97">
        <f>D112+D140</f>
        <v>4.1298255705559406</v>
      </c>
      <c r="E147" s="98">
        <f t="shared" ref="E147:K147" si="51">E112+E140</f>
        <v>5.9688710282873823</v>
      </c>
      <c r="F147" s="98">
        <f t="shared" si="51"/>
        <v>-7.788293788381039</v>
      </c>
      <c r="G147" s="98">
        <f t="shared" si="51"/>
        <v>5.2581322194525875</v>
      </c>
      <c r="H147" s="98">
        <f t="shared" si="51"/>
        <v>0.46031267665360082</v>
      </c>
      <c r="I147" s="98">
        <f t="shared" si="51"/>
        <v>0.53958816207661986</v>
      </c>
      <c r="J147" s="98">
        <f t="shared" si="51"/>
        <v>0.2174283671704238</v>
      </c>
      <c r="K147" s="98">
        <f t="shared" si="51"/>
        <v>1.1912374999197346</v>
      </c>
      <c r="L147" s="97">
        <f>SUM(D147:INDEX(D147:K147,0,MATCH('RFPR cover'!$C$7,$D$6:$K$6,0)))</f>
        <v>7.5685350299148704</v>
      </c>
      <c r="M147" s="99">
        <f>SUM(D147:K147)</f>
        <v>9.9771017357352516</v>
      </c>
    </row>
    <row r="148" spans="1:20">
      <c r="A148" s="36"/>
      <c r="B148" s="799" t="s">
        <v>280</v>
      </c>
      <c r="C148" s="163" t="s">
        <v>128</v>
      </c>
      <c r="D148" s="100">
        <f t="shared" ref="D148:K148" si="52">D113+D141</f>
        <v>9.6362596646305256</v>
      </c>
      <c r="E148" s="101">
        <f t="shared" si="52"/>
        <v>13.927365732670555</v>
      </c>
      <c r="F148" s="101">
        <f t="shared" si="52"/>
        <v>-18.172685506222422</v>
      </c>
      <c r="G148" s="101">
        <f t="shared" si="52"/>
        <v>12.268975178722703</v>
      </c>
      <c r="H148" s="101">
        <f t="shared" si="52"/>
        <v>1.0740629121917351</v>
      </c>
      <c r="I148" s="101">
        <f t="shared" si="52"/>
        <v>1.259039044845446</v>
      </c>
      <c r="J148" s="101">
        <f t="shared" si="52"/>
        <v>0.50733285673099004</v>
      </c>
      <c r="K148" s="101">
        <f t="shared" si="52"/>
        <v>2.7795541664793806</v>
      </c>
      <c r="L148" s="100">
        <f>SUM(D148:INDEX(D148:K148,0,MATCH('RFPR cover'!$C$7,$D$6:$K$6,0)))</f>
        <v>17.659915069801364</v>
      </c>
      <c r="M148" s="102">
        <f>SUM(D148:K148)</f>
        <v>23.279904050048913</v>
      </c>
    </row>
    <row r="149" spans="1:20">
      <c r="A149" s="36"/>
      <c r="B149" s="807" t="s">
        <v>11</v>
      </c>
      <c r="C149" s="164" t="s">
        <v>128</v>
      </c>
      <c r="D149" s="147">
        <f>SUM(D147:D148)</f>
        <v>13.766085235186466</v>
      </c>
      <c r="E149" s="148">
        <f t="shared" ref="E149:K149" si="53">SUM(E147:E148)</f>
        <v>19.896236760957937</v>
      </c>
      <c r="F149" s="148">
        <f t="shared" si="53"/>
        <v>-25.960979294603462</v>
      </c>
      <c r="G149" s="148">
        <f t="shared" si="53"/>
        <v>17.527107398175289</v>
      </c>
      <c r="H149" s="148">
        <f t="shared" si="53"/>
        <v>1.5343755888453359</v>
      </c>
      <c r="I149" s="148">
        <f t="shared" si="53"/>
        <v>1.7986272069220659</v>
      </c>
      <c r="J149" s="148">
        <f t="shared" si="53"/>
        <v>0.72476122390141384</v>
      </c>
      <c r="K149" s="148">
        <f t="shared" si="53"/>
        <v>3.9707916663991152</v>
      </c>
      <c r="L149" s="147">
        <f>SUM(D149:INDEX(D149:K149,0,MATCH('RFPR cover'!$C$7,$D$6:$K$6,0)))</f>
        <v>25.228450099716227</v>
      </c>
      <c r="M149" s="149">
        <f>SUM(D149:K149)</f>
        <v>33.257005785784159</v>
      </c>
    </row>
    <row r="150" spans="1:20">
      <c r="A150" s="36"/>
      <c r="B150" s="806"/>
      <c r="D150" s="144"/>
      <c r="E150" s="144"/>
      <c r="F150" s="144"/>
      <c r="G150" s="144"/>
      <c r="H150" s="144"/>
      <c r="I150" s="144"/>
      <c r="J150" s="144"/>
      <c r="K150" s="144"/>
    </row>
    <row r="151" spans="1:20">
      <c r="A151" s="36"/>
      <c r="B151" s="799"/>
    </row>
    <row r="152" spans="1:20">
      <c r="A152" s="83"/>
      <c r="B152" s="798"/>
      <c r="C152" s="158"/>
      <c r="D152" s="83"/>
      <c r="E152" s="83"/>
      <c r="F152" s="83"/>
      <c r="G152" s="83"/>
      <c r="H152" s="83"/>
      <c r="I152" s="83"/>
      <c r="J152" s="83"/>
      <c r="K152" s="83"/>
      <c r="L152" s="83"/>
      <c r="M152" s="83"/>
      <c r="N152" s="83"/>
    </row>
    <row r="153" spans="1:20">
      <c r="B153" s="799"/>
    </row>
    <row r="154" spans="1:20">
      <c r="B154" s="799"/>
    </row>
  </sheetData>
  <mergeCells count="4">
    <mergeCell ref="O14:Q14"/>
    <mergeCell ref="O42:Q42"/>
    <mergeCell ref="O92:Q92"/>
    <mergeCell ref="O120:Q120"/>
  </mergeCells>
  <conditionalFormatting sqref="D6:K6">
    <cfRule type="expression" dxfId="46" priority="7">
      <formula>AND(D$5="Actuals",E$5="Forecast")</formula>
    </cfRule>
  </conditionalFormatting>
  <conditionalFormatting sqref="B118:M142">
    <cfRule type="expression" dxfId="45" priority="3">
      <formula>$B$38="n/a"</formula>
    </cfRule>
  </conditionalFormatting>
  <conditionalFormatting sqref="D5:K5">
    <cfRule type="expression" dxfId="44" priority="2">
      <formula>AND(D$5="Actuals",E$5="Forecast")</formula>
    </cfRule>
  </conditionalFormatting>
  <conditionalFormatting sqref="B38:N64">
    <cfRule type="expression" dxfId="43"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sheetPr>
  <dimension ref="A1:P114"/>
  <sheetViews>
    <sheetView showGridLines="0" zoomScale="80" zoomScaleNormal="80" workbookViewId="0">
      <pane ySplit="6" topLeftCell="A7" activePane="bottomLeft" state="frozen"/>
      <selection activeCell="D8" sqref="D8"/>
      <selection pane="bottomLeft" activeCell="A3" sqref="A3"/>
    </sheetView>
  </sheetViews>
  <sheetFormatPr defaultRowHeight="12.75"/>
  <cols>
    <col min="1" max="1" width="8.375" customWidth="1"/>
    <col min="2" max="2" width="71.375" bestFit="1" customWidth="1"/>
    <col min="3" max="3" width="13.375" style="144" customWidth="1"/>
    <col min="4" max="11" width="11.125" customWidth="1"/>
    <col min="12" max="12" width="12.875" customWidth="1"/>
    <col min="13" max="13" width="12.75" customWidth="1"/>
    <col min="14" max="14" width="5" customWidth="1"/>
  </cols>
  <sheetData>
    <row r="1" spans="1:14" s="38" customFormat="1" ht="20.25">
      <c r="A1" s="136" t="s">
        <v>262</v>
      </c>
      <c r="B1" s="137"/>
      <c r="C1" s="161"/>
      <c r="D1" s="137"/>
      <c r="E1" s="137"/>
      <c r="F1" s="137"/>
      <c r="G1" s="137"/>
      <c r="H1" s="137"/>
      <c r="I1" s="132"/>
      <c r="J1" s="132"/>
      <c r="K1" s="132"/>
      <c r="L1" s="132"/>
      <c r="M1" s="132"/>
      <c r="N1" s="133"/>
    </row>
    <row r="2" spans="1:14" s="38" customFormat="1" ht="20.25">
      <c r="A2" s="138" t="str">
        <f>'RFPR cover'!C5</f>
        <v>WPD-SWALES</v>
      </c>
      <c r="B2" s="37"/>
      <c r="C2" s="162"/>
      <c r="D2" s="37"/>
      <c r="E2" s="37"/>
      <c r="F2" s="37"/>
      <c r="G2" s="37"/>
      <c r="H2" s="37"/>
      <c r="I2" s="27"/>
      <c r="J2" s="27"/>
      <c r="K2" s="27"/>
      <c r="L2" s="27"/>
      <c r="M2" s="27"/>
      <c r="N2" s="127"/>
    </row>
    <row r="3" spans="1:14" s="38" customFormat="1" ht="20.25">
      <c r="A3" s="139">
        <f>'RFPR cover'!C7</f>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4" s="2" customFormat="1" ht="29.25" customHeigh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109</v>
      </c>
    </row>
    <row r="7" spans="1:14" s="2" customFormat="1">
      <c r="A7" s="36"/>
      <c r="C7" s="144"/>
    </row>
    <row r="8" spans="1:14" s="2" customFormat="1">
      <c r="A8" s="36"/>
      <c r="B8" s="118" t="s">
        <v>199</v>
      </c>
      <c r="C8" s="158"/>
      <c r="D8" s="82"/>
      <c r="E8" s="82"/>
      <c r="F8" s="82"/>
      <c r="G8" s="82"/>
      <c r="H8" s="82"/>
      <c r="I8" s="82"/>
      <c r="J8" s="82"/>
      <c r="K8" s="82"/>
      <c r="L8" s="82"/>
      <c r="M8" s="82"/>
      <c r="N8" s="82"/>
    </row>
    <row r="9" spans="1:14" s="2" customFormat="1">
      <c r="A9" s="36"/>
      <c r="B9" s="388" t="s">
        <v>393</v>
      </c>
      <c r="C9" s="388"/>
      <c r="D9" s="388"/>
      <c r="E9" s="388"/>
      <c r="F9" s="388"/>
      <c r="G9" s="388"/>
      <c r="H9" s="388"/>
      <c r="I9" s="388"/>
      <c r="J9" s="388"/>
      <c r="K9" s="388"/>
      <c r="L9" s="388"/>
      <c r="M9" s="388"/>
      <c r="N9" s="388"/>
    </row>
    <row r="10" spans="1:14" s="2" customFormat="1">
      <c r="A10" s="36"/>
      <c r="B10" s="12"/>
      <c r="C10" s="144"/>
    </row>
    <row r="11" spans="1:14" s="2" customFormat="1">
      <c r="A11" s="234" t="s">
        <v>151</v>
      </c>
      <c r="B11" s="36" t="str">
        <f>Data!B153</f>
        <v>Broad measure of customer service</v>
      </c>
      <c r="C11" s="163" t="str">
        <f>'RFPR cover'!$C$14</f>
        <v>£m 12/13</v>
      </c>
      <c r="D11" s="621">
        <v>2.592000000000001</v>
      </c>
      <c r="E11" s="622">
        <v>2.4577</v>
      </c>
      <c r="F11" s="622">
        <v>2.7549999999999999</v>
      </c>
      <c r="G11" s="622">
        <v>2.6829999999999998</v>
      </c>
      <c r="H11" s="622">
        <v>2.6954233333333351</v>
      </c>
      <c r="I11" s="622">
        <v>2.6954233333333351</v>
      </c>
      <c r="J11" s="622">
        <v>2.6954233333333351</v>
      </c>
      <c r="K11" s="622">
        <v>2.6954233333333351</v>
      </c>
      <c r="L11" s="698">
        <f>SUM(D11:INDEX(D11:K11,0,MATCH('RFPR cover'!$C$7,$D$6:$K$6,0)))</f>
        <v>10.4877</v>
      </c>
      <c r="M11" s="699">
        <f t="shared" ref="M11:M17" si="1">SUM(D11:K11)</f>
        <v>21.269393333333337</v>
      </c>
    </row>
    <row r="12" spans="1:14" s="2" customFormat="1">
      <c r="A12" s="234" t="s">
        <v>152</v>
      </c>
      <c r="B12" s="36" t="str">
        <f>Data!B154</f>
        <v>Interruptions-related quality of service</v>
      </c>
      <c r="C12" s="163" t="str">
        <f>'RFPR cover'!$C$14</f>
        <v>£m 12/13</v>
      </c>
      <c r="D12" s="623">
        <v>4.3155413062815349</v>
      </c>
      <c r="E12" s="624">
        <v>4.6832621226325175</v>
      </c>
      <c r="F12" s="624">
        <v>2.5046019026671491</v>
      </c>
      <c r="G12" s="624">
        <v>4.8500493827160494</v>
      </c>
      <c r="H12" s="624">
        <v>3.7686054175255346</v>
      </c>
      <c r="I12" s="624">
        <v>3.6491209496333528</v>
      </c>
      <c r="J12" s="624">
        <v>3.570687214693594</v>
      </c>
      <c r="K12" s="624">
        <v>3.5065908291514258</v>
      </c>
      <c r="L12" s="702">
        <f>SUM(D12:INDEX(D12:K12,0,MATCH('RFPR cover'!$C$7,$D$6:$K$6,0)))</f>
        <v>16.35345471429725</v>
      </c>
      <c r="M12" s="703">
        <f t="shared" si="1"/>
        <v>30.848459125301162</v>
      </c>
    </row>
    <row r="13" spans="1:14" s="2" customFormat="1">
      <c r="A13" s="234" t="s">
        <v>153</v>
      </c>
      <c r="B13" s="36" t="str">
        <f>Data!B155</f>
        <v>Incentive on connections engagement</v>
      </c>
      <c r="C13" s="163" t="str">
        <f>'RFPR cover'!$C$14</f>
        <v>£m 12/13</v>
      </c>
      <c r="D13" s="623">
        <v>0</v>
      </c>
      <c r="E13" s="624">
        <v>0</v>
      </c>
      <c r="F13" s="624">
        <v>0</v>
      </c>
      <c r="G13" s="624">
        <v>0</v>
      </c>
      <c r="H13" s="624">
        <v>0</v>
      </c>
      <c r="I13" s="624">
        <v>0</v>
      </c>
      <c r="J13" s="624">
        <v>0</v>
      </c>
      <c r="K13" s="624">
        <v>0</v>
      </c>
      <c r="L13" s="702">
        <f>SUM(D13:INDEX(D13:K13,0,MATCH('RFPR cover'!$C$7,$D$6:$K$6,0)))</f>
        <v>0</v>
      </c>
      <c r="M13" s="703">
        <f t="shared" si="1"/>
        <v>0</v>
      </c>
    </row>
    <row r="14" spans="1:14" s="2" customFormat="1">
      <c r="A14" s="234" t="s">
        <v>168</v>
      </c>
      <c r="B14" s="36" t="str">
        <f>Data!B156</f>
        <v>Time to Connect Incentive</v>
      </c>
      <c r="C14" s="163" t="str">
        <f>'RFPR cover'!$C$14</f>
        <v>£m 12/13</v>
      </c>
      <c r="D14" s="623">
        <v>0.45710000000000017</v>
      </c>
      <c r="E14" s="624">
        <v>0.66798362121582</v>
      </c>
      <c r="F14" s="624">
        <v>0.74190000000000011</v>
      </c>
      <c r="G14" s="624">
        <v>0.78600000000000014</v>
      </c>
      <c r="H14" s="624">
        <v>0.62986441899088641</v>
      </c>
      <c r="I14" s="624">
        <v>0.62986441899088641</v>
      </c>
      <c r="J14" s="624">
        <v>0.62986441899088641</v>
      </c>
      <c r="K14" s="624">
        <v>0.62986441899088641</v>
      </c>
      <c r="L14" s="702">
        <f>SUM(D14:INDEX(D14:K14,0,MATCH('RFPR cover'!$C$7,$D$6:$K$6,0)))</f>
        <v>2.6529836212158204</v>
      </c>
      <c r="M14" s="703">
        <f t="shared" si="1"/>
        <v>5.1724412971793665</v>
      </c>
    </row>
    <row r="15" spans="1:14" s="2" customFormat="1">
      <c r="A15" s="234" t="s">
        <v>169</v>
      </c>
      <c r="B15" s="36" t="str">
        <f>Data!B157</f>
        <v>Losses discretionary reward scheme</v>
      </c>
      <c r="C15" s="163" t="str">
        <f>'RFPR cover'!$C$14</f>
        <v>£m 12/13</v>
      </c>
      <c r="D15" s="623">
        <v>0</v>
      </c>
      <c r="E15" s="624">
        <v>0.04</v>
      </c>
      <c r="F15" s="624">
        <v>0</v>
      </c>
      <c r="G15" s="624">
        <v>0</v>
      </c>
      <c r="H15" s="624">
        <v>0</v>
      </c>
      <c r="I15" s="624">
        <f>AVERAGE(E15,G15)</f>
        <v>0.02</v>
      </c>
      <c r="J15" s="624">
        <v>0</v>
      </c>
      <c r="K15" s="624">
        <v>0</v>
      </c>
      <c r="L15" s="702">
        <f>SUM(D15:INDEX(D15:K15,0,MATCH('RFPR cover'!$C$7,$D$6:$K$6,0)))</f>
        <v>0.04</v>
      </c>
      <c r="M15" s="703">
        <f t="shared" si="1"/>
        <v>0.06</v>
      </c>
    </row>
    <row r="16" spans="1:14" s="2" customFormat="1">
      <c r="A16" s="234" t="s">
        <v>170</v>
      </c>
      <c r="B16" s="36" t="str">
        <f>Data!B158</f>
        <v/>
      </c>
      <c r="C16" s="163" t="str">
        <f>'RFPR cover'!$C$14</f>
        <v>£m 12/13</v>
      </c>
      <c r="D16" s="623"/>
      <c r="E16" s="624"/>
      <c r="F16" s="624"/>
      <c r="G16" s="624"/>
      <c r="H16" s="624"/>
      <c r="I16" s="624"/>
      <c r="J16" s="624"/>
      <c r="K16" s="624"/>
      <c r="L16" s="702">
        <f>SUM(D16:INDEX(D16:K16,0,MATCH('RFPR cover'!$C$7,$D$6:$K$6,0)))</f>
        <v>0</v>
      </c>
      <c r="M16" s="703">
        <f t="shared" si="1"/>
        <v>0</v>
      </c>
    </row>
    <row r="17" spans="1:16" s="2" customFormat="1">
      <c r="A17" s="234" t="s">
        <v>481</v>
      </c>
      <c r="B17" s="36" t="str">
        <f>Data!B159</f>
        <v/>
      </c>
      <c r="C17" s="163" t="str">
        <f>'RFPR cover'!$C$14</f>
        <v>£m 12/13</v>
      </c>
      <c r="D17" s="875"/>
      <c r="E17" s="876"/>
      <c r="F17" s="876"/>
      <c r="G17" s="876"/>
      <c r="H17" s="876"/>
      <c r="I17" s="876"/>
      <c r="J17" s="876"/>
      <c r="K17" s="877"/>
      <c r="L17" s="702">
        <f>SUM(D17:INDEX(D17:K17,0,MATCH('RFPR cover'!$C$7,$D$6:$K$6,0)))</f>
        <v>0</v>
      </c>
      <c r="M17" s="703">
        <f t="shared" si="1"/>
        <v>0</v>
      </c>
    </row>
    <row r="18" spans="1:16" s="2" customFormat="1">
      <c r="A18" s="36"/>
      <c r="B18" s="12" t="s">
        <v>203</v>
      </c>
      <c r="C18" s="164" t="str">
        <f>'RFPR cover'!$C$14</f>
        <v>£m 12/13</v>
      </c>
      <c r="D18" s="637">
        <f>SUM(D11:D17)</f>
        <v>7.3646413062815359</v>
      </c>
      <c r="E18" s="637">
        <f t="shared" ref="E18:K18" si="2">SUM(E11:E17)</f>
        <v>7.8489457438483372</v>
      </c>
      <c r="F18" s="637">
        <f t="shared" si="2"/>
        <v>6.0015019026671492</v>
      </c>
      <c r="G18" s="637">
        <f t="shared" si="2"/>
        <v>8.3190493827160488</v>
      </c>
      <c r="H18" s="637">
        <f t="shared" si="2"/>
        <v>7.0938931698497552</v>
      </c>
      <c r="I18" s="637">
        <f t="shared" si="2"/>
        <v>6.9944087019575729</v>
      </c>
      <c r="J18" s="637">
        <f t="shared" si="2"/>
        <v>6.8959749670178159</v>
      </c>
      <c r="K18" s="637">
        <f t="shared" si="2"/>
        <v>6.8318785814756477</v>
      </c>
      <c r="L18" s="637">
        <f>SUM(L11:L17)</f>
        <v>29.53413833551307</v>
      </c>
      <c r="M18" s="637">
        <f>SUM(M11:M17)</f>
        <v>57.350293755813873</v>
      </c>
    </row>
    <row r="19" spans="1:16" s="2" customFormat="1">
      <c r="A19" s="36"/>
      <c r="B19" s="12"/>
      <c r="C19" s="164"/>
      <c r="D19" s="164"/>
      <c r="E19" s="164"/>
      <c r="F19" s="164"/>
      <c r="G19" s="164"/>
      <c r="H19" s="164"/>
      <c r="I19" s="164"/>
      <c r="J19" s="164"/>
      <c r="K19" s="164"/>
      <c r="L19" s="164"/>
      <c r="M19" s="164"/>
    </row>
    <row r="20" spans="1:16" s="2" customFormat="1">
      <c r="A20" s="36"/>
      <c r="B20" s="12" t="s">
        <v>375</v>
      </c>
      <c r="C20" s="164"/>
      <c r="D20" s="164"/>
      <c r="E20" s="164"/>
      <c r="F20" s="164"/>
      <c r="G20" s="164"/>
      <c r="H20" s="164"/>
      <c r="I20" s="164"/>
      <c r="J20" s="164"/>
      <c r="K20" s="164"/>
      <c r="L20" s="164"/>
      <c r="M20" s="164"/>
    </row>
    <row r="21" spans="1:16" s="2" customFormat="1">
      <c r="A21" s="283" t="str">
        <f>A11</f>
        <v>a</v>
      </c>
      <c r="B21" s="984"/>
      <c r="C21" s="984"/>
      <c r="D21" s="984"/>
      <c r="E21" s="984"/>
      <c r="F21" s="984"/>
      <c r="G21" s="984"/>
      <c r="H21" s="984"/>
      <c r="I21" s="984"/>
      <c r="J21" s="984"/>
      <c r="K21" s="984"/>
      <c r="L21" s="984"/>
      <c r="M21" s="984"/>
    </row>
    <row r="22" spans="1:16" s="2" customFormat="1">
      <c r="A22" s="283" t="str">
        <f>A12</f>
        <v>b</v>
      </c>
      <c r="B22" s="984" t="s">
        <v>586</v>
      </c>
      <c r="C22" s="984"/>
      <c r="D22" s="984"/>
      <c r="E22" s="984"/>
      <c r="F22" s="984"/>
      <c r="G22" s="984"/>
      <c r="H22" s="984"/>
      <c r="I22" s="984"/>
      <c r="J22" s="984"/>
      <c r="K22" s="984"/>
      <c r="L22" s="984"/>
      <c r="M22" s="984"/>
    </row>
    <row r="23" spans="1:16" s="2" customFormat="1">
      <c r="A23" s="283" t="str">
        <f>A13</f>
        <v>c</v>
      </c>
      <c r="B23" s="984" t="s">
        <v>607</v>
      </c>
      <c r="C23" s="984"/>
      <c r="D23" s="984"/>
      <c r="E23" s="984"/>
      <c r="F23" s="984"/>
      <c r="G23" s="984"/>
      <c r="H23" s="984"/>
      <c r="I23" s="984"/>
      <c r="J23" s="984"/>
      <c r="K23" s="984"/>
      <c r="L23" s="984"/>
      <c r="M23" s="984"/>
    </row>
    <row r="24" spans="1:16" s="2" customFormat="1" ht="33" customHeight="1">
      <c r="A24" s="283" t="str">
        <f>A14</f>
        <v>d</v>
      </c>
      <c r="B24" s="985" t="s">
        <v>587</v>
      </c>
      <c r="C24" s="985"/>
      <c r="D24" s="985"/>
      <c r="E24" s="985"/>
      <c r="F24" s="985"/>
      <c r="G24" s="985"/>
      <c r="H24" s="985"/>
      <c r="I24" s="985"/>
      <c r="J24" s="985"/>
      <c r="K24" s="985"/>
      <c r="L24" s="985"/>
      <c r="M24" s="985"/>
    </row>
    <row r="25" spans="1:16" s="2" customFormat="1">
      <c r="A25" s="283" t="str">
        <f>A15</f>
        <v>e</v>
      </c>
      <c r="B25" s="984"/>
      <c r="C25" s="984"/>
      <c r="D25" s="984"/>
      <c r="E25" s="984"/>
      <c r="F25" s="984"/>
      <c r="G25" s="984"/>
      <c r="H25" s="984"/>
      <c r="I25" s="984"/>
      <c r="J25" s="984"/>
      <c r="K25" s="984"/>
      <c r="L25" s="984"/>
      <c r="M25" s="984"/>
    </row>
    <row r="26" spans="1:16" s="2" customFormat="1">
      <c r="A26" s="283" t="s">
        <v>170</v>
      </c>
      <c r="B26" s="871"/>
      <c r="C26" s="871"/>
      <c r="D26" s="871"/>
      <c r="E26" s="871"/>
      <c r="F26" s="871"/>
      <c r="G26" s="871"/>
      <c r="H26" s="871"/>
      <c r="I26" s="871"/>
      <c r="J26" s="871"/>
      <c r="K26" s="871"/>
      <c r="L26" s="871"/>
      <c r="M26" s="871"/>
    </row>
    <row r="27" spans="1:16" s="2" customFormat="1">
      <c r="A27" s="283" t="s">
        <v>481</v>
      </c>
      <c r="B27" s="871"/>
      <c r="C27" s="871"/>
      <c r="D27" s="871"/>
      <c r="E27" s="871"/>
      <c r="F27" s="871"/>
      <c r="G27" s="871"/>
      <c r="H27" s="871"/>
      <c r="I27" s="871"/>
      <c r="J27" s="871"/>
      <c r="K27" s="871"/>
      <c r="L27" s="871"/>
      <c r="M27" s="871"/>
    </row>
    <row r="28" spans="1:16" s="559" customFormat="1">
      <c r="A28" s="39"/>
      <c r="B28" s="563"/>
      <c r="C28" s="563"/>
      <c r="D28" s="563"/>
      <c r="E28" s="563"/>
      <c r="F28" s="563"/>
      <c r="G28" s="563"/>
      <c r="H28" s="563"/>
      <c r="I28" s="563"/>
      <c r="J28" s="563"/>
      <c r="K28" s="563"/>
      <c r="L28" s="563"/>
      <c r="M28" s="563"/>
    </row>
    <row r="29" spans="1:16" s="2" customFormat="1">
      <c r="B29" s="12"/>
      <c r="C29" s="144"/>
      <c r="D29" s="53"/>
      <c r="E29" s="53"/>
      <c r="F29" s="53"/>
      <c r="G29" s="53"/>
      <c r="H29" s="53"/>
      <c r="I29" s="53"/>
      <c r="J29" s="53"/>
      <c r="K29" s="53"/>
    </row>
    <row r="30" spans="1:16" s="2" customFormat="1">
      <c r="A30" s="36"/>
      <c r="B30" s="118" t="s">
        <v>200</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211</v>
      </c>
      <c r="C32" s="306"/>
      <c r="D32" s="308"/>
      <c r="E32" s="308"/>
      <c r="F32" s="308"/>
      <c r="G32" s="308"/>
      <c r="H32" s="308"/>
      <c r="I32" s="308"/>
      <c r="J32" s="308"/>
      <c r="K32" s="308"/>
      <c r="L32" s="308"/>
      <c r="M32" s="308"/>
      <c r="N32" s="308"/>
    </row>
    <row r="33" spans="1:14" s="2" customFormat="1">
      <c r="A33" s="36"/>
      <c r="B33" s="389" t="s">
        <v>241</v>
      </c>
      <c r="C33" s="306"/>
      <c r="D33" s="308"/>
      <c r="E33" s="308"/>
      <c r="F33" s="308"/>
      <c r="G33" s="308"/>
      <c r="H33" s="308"/>
      <c r="I33" s="308"/>
      <c r="J33" s="308"/>
      <c r="K33" s="308"/>
      <c r="L33" s="308"/>
      <c r="M33" s="308"/>
      <c r="N33" s="308"/>
    </row>
    <row r="34" spans="1:14" s="2" customFormat="1">
      <c r="A34" s="36"/>
      <c r="B34" s="389" t="s">
        <v>482</v>
      </c>
      <c r="C34" s="306"/>
      <c r="D34" s="308"/>
      <c r="E34" s="308"/>
      <c r="F34" s="308"/>
      <c r="G34" s="308"/>
      <c r="H34" s="308"/>
      <c r="I34" s="308"/>
      <c r="J34" s="308"/>
      <c r="K34" s="308"/>
      <c r="L34" s="308"/>
      <c r="M34" s="308"/>
      <c r="N34" s="308"/>
    </row>
    <row r="35" spans="1:14" s="2" customFormat="1">
      <c r="A35" s="36"/>
      <c r="B35" s="389" t="s">
        <v>209</v>
      </c>
      <c r="C35" s="306"/>
      <c r="D35" s="308"/>
      <c r="E35" s="308"/>
      <c r="F35" s="308"/>
      <c r="G35" s="308"/>
      <c r="H35" s="308"/>
      <c r="I35" s="308"/>
      <c r="J35" s="308"/>
      <c r="K35" s="308"/>
      <c r="L35" s="308"/>
      <c r="M35" s="308"/>
      <c r="N35" s="308"/>
    </row>
    <row r="36" spans="1:14" s="2" customFormat="1">
      <c r="A36" s="36"/>
      <c r="B36" s="389" t="s">
        <v>202</v>
      </c>
      <c r="C36" s="306"/>
      <c r="D36" s="308"/>
      <c r="E36" s="308"/>
      <c r="F36" s="308"/>
      <c r="G36" s="308"/>
      <c r="H36" s="308"/>
      <c r="I36" s="308"/>
      <c r="J36" s="308"/>
      <c r="K36" s="308"/>
      <c r="L36" s="308"/>
      <c r="M36" s="308"/>
      <c r="N36" s="308"/>
    </row>
    <row r="37" spans="1:14" s="2" customFormat="1">
      <c r="A37" s="36"/>
      <c r="B37" s="389" t="s">
        <v>208</v>
      </c>
      <c r="C37" s="306"/>
      <c r="D37" s="308"/>
      <c r="E37" s="308"/>
      <c r="F37" s="308"/>
      <c r="G37" s="308"/>
      <c r="H37" s="308"/>
      <c r="I37" s="308"/>
      <c r="J37" s="308"/>
      <c r="K37" s="308"/>
      <c r="L37" s="308"/>
      <c r="M37" s="308"/>
      <c r="N37" s="308"/>
    </row>
    <row r="38" spans="1:14" s="2" customFormat="1">
      <c r="B38" s="12"/>
      <c r="C38" s="144"/>
    </row>
    <row r="39" spans="1:14" s="2" customFormat="1">
      <c r="A39" s="168" t="str">
        <f t="shared" ref="A39:A45" si="3">A11</f>
        <v>a</v>
      </c>
      <c r="B39" s="36" t="str">
        <f>$B$11&amp;""</f>
        <v>Broad measure of customer service</v>
      </c>
      <c r="C39" s="163" t="str">
        <f>'RFPR cover'!$C$14</f>
        <v>£m 12/13</v>
      </c>
      <c r="D39" s="698">
        <f>D51</f>
        <v>2.0995200000000009</v>
      </c>
      <c r="E39" s="698">
        <f t="shared" ref="E39:K39" si="4">E51</f>
        <v>1.9907370000000002</v>
      </c>
      <c r="F39" s="698">
        <f t="shared" si="4"/>
        <v>2.2315499999999999</v>
      </c>
      <c r="G39" s="698">
        <f t="shared" si="4"/>
        <v>2.2268899999999996</v>
      </c>
      <c r="H39" s="698">
        <f t="shared" si="4"/>
        <v>2.2372013666666679</v>
      </c>
      <c r="I39" s="698">
        <f t="shared" si="4"/>
        <v>2.2372013666666679</v>
      </c>
      <c r="J39" s="698">
        <f t="shared" si="4"/>
        <v>2.2372013666666679</v>
      </c>
      <c r="K39" s="698">
        <f t="shared" si="4"/>
        <v>2.2372013666666679</v>
      </c>
      <c r="L39" s="698">
        <f>SUM(D39:INDEX(D39:K39,0,MATCH('RFPR cover'!$C$7,$D$6:$K$6,0)))</f>
        <v>8.5486970000000007</v>
      </c>
      <c r="M39" s="699">
        <f t="shared" ref="M39:M45" si="5">SUM(D39:K39)</f>
        <v>17.497502466666671</v>
      </c>
    </row>
    <row r="40" spans="1:14" s="2" customFormat="1">
      <c r="A40" s="168" t="str">
        <f t="shared" si="3"/>
        <v>b</v>
      </c>
      <c r="B40" s="36" t="str">
        <f>$B$12&amp;""</f>
        <v>Interruptions-related quality of service</v>
      </c>
      <c r="C40" s="163" t="str">
        <f>'RFPR cover'!$C$14</f>
        <v>£m 12/13</v>
      </c>
      <c r="D40" s="698">
        <f>D55</f>
        <v>3.4955884580880436</v>
      </c>
      <c r="E40" s="698">
        <f t="shared" ref="E40:K40" si="6">E55</f>
        <v>3.7934423193323394</v>
      </c>
      <c r="F40" s="698">
        <f t="shared" si="6"/>
        <v>2.0287275411603911</v>
      </c>
      <c r="G40" s="698">
        <f t="shared" si="6"/>
        <v>4.0255409876543204</v>
      </c>
      <c r="H40" s="698">
        <f t="shared" si="6"/>
        <v>3.1279424965461935</v>
      </c>
      <c r="I40" s="698">
        <f t="shared" si="6"/>
        <v>3.0287703881956825</v>
      </c>
      <c r="J40" s="698">
        <f t="shared" si="6"/>
        <v>2.9636703881956827</v>
      </c>
      <c r="K40" s="698">
        <f t="shared" si="6"/>
        <v>2.9104703881956833</v>
      </c>
      <c r="L40" s="702">
        <f>SUM(D40:INDEX(D40:K40,0,MATCH('RFPR cover'!$C$7,$D$6:$K$6,0)))</f>
        <v>13.343299306235094</v>
      </c>
      <c r="M40" s="703">
        <f t="shared" si="5"/>
        <v>25.374152967368335</v>
      </c>
    </row>
    <row r="41" spans="1:14" s="2" customFormat="1">
      <c r="A41" s="168" t="str">
        <f t="shared" si="3"/>
        <v>c</v>
      </c>
      <c r="B41" s="36" t="str">
        <f>$B$13&amp;""</f>
        <v>Incentive on connections engagement</v>
      </c>
      <c r="C41" s="163" t="str">
        <f>'RFPR cover'!$C$14</f>
        <v>£m 12/13</v>
      </c>
      <c r="D41" s="698">
        <f>D59</f>
        <v>0</v>
      </c>
      <c r="E41" s="698">
        <f t="shared" ref="E41:K41" si="7">E59</f>
        <v>0</v>
      </c>
      <c r="F41" s="698">
        <f t="shared" si="7"/>
        <v>0</v>
      </c>
      <c r="G41" s="698">
        <f t="shared" si="7"/>
        <v>0</v>
      </c>
      <c r="H41" s="698">
        <f t="shared" si="7"/>
        <v>0</v>
      </c>
      <c r="I41" s="698">
        <f t="shared" si="7"/>
        <v>0</v>
      </c>
      <c r="J41" s="698">
        <f t="shared" si="7"/>
        <v>0</v>
      </c>
      <c r="K41" s="698">
        <f t="shared" si="7"/>
        <v>0</v>
      </c>
      <c r="L41" s="702">
        <f>SUM(D41:INDEX(D41:K41,0,MATCH('RFPR cover'!$C$7,$D$6:$K$6,0)))</f>
        <v>0</v>
      </c>
      <c r="M41" s="703">
        <f t="shared" si="5"/>
        <v>0</v>
      </c>
    </row>
    <row r="42" spans="1:14" s="2" customFormat="1">
      <c r="A42" s="168" t="str">
        <f t="shared" si="3"/>
        <v>d</v>
      </c>
      <c r="B42" s="36" t="str">
        <f>$B$14&amp;""</f>
        <v>Time to Connect Incentive</v>
      </c>
      <c r="C42" s="163" t="str">
        <f>'RFPR cover'!$C$14</f>
        <v>£m 12/13</v>
      </c>
      <c r="D42" s="698">
        <f>D63</f>
        <v>0.37025100000000016</v>
      </c>
      <c r="E42" s="698">
        <f t="shared" ref="E42:K42" si="8">E63</f>
        <v>0.54106673318481424</v>
      </c>
      <c r="F42" s="698">
        <f t="shared" si="8"/>
        <v>0.60093900000000011</v>
      </c>
      <c r="G42" s="698">
        <f t="shared" si="8"/>
        <v>0.65238000000000007</v>
      </c>
      <c r="H42" s="698">
        <f t="shared" si="8"/>
        <v>0.52278746776243568</v>
      </c>
      <c r="I42" s="698">
        <f t="shared" si="8"/>
        <v>0.52278746776243568</v>
      </c>
      <c r="J42" s="698">
        <f t="shared" si="8"/>
        <v>0.52278746776243568</v>
      </c>
      <c r="K42" s="698">
        <f t="shared" si="8"/>
        <v>0.52278746776243568</v>
      </c>
      <c r="L42" s="702">
        <f>SUM(D42:INDEX(D42:K42,0,MATCH('RFPR cover'!$C$7,$D$6:$K$6,0)))</f>
        <v>2.1646367331848144</v>
      </c>
      <c r="M42" s="703">
        <f t="shared" si="5"/>
        <v>4.2557866042345571</v>
      </c>
    </row>
    <row r="43" spans="1:14" s="2" customFormat="1">
      <c r="A43" s="168" t="str">
        <f t="shared" si="3"/>
        <v>e</v>
      </c>
      <c r="B43" s="36" t="str">
        <f>$B$15&amp;""</f>
        <v>Losses discretionary reward scheme</v>
      </c>
      <c r="C43" s="163" t="str">
        <f>'RFPR cover'!$C$14</f>
        <v>£m 12/13</v>
      </c>
      <c r="D43" s="698">
        <f>D67</f>
        <v>0</v>
      </c>
      <c r="E43" s="698">
        <f t="shared" ref="E43:K43" si="9">E67</f>
        <v>3.2400000000000005E-2</v>
      </c>
      <c r="F43" s="698">
        <f t="shared" si="9"/>
        <v>0</v>
      </c>
      <c r="G43" s="698">
        <f t="shared" si="9"/>
        <v>0</v>
      </c>
      <c r="H43" s="698">
        <f t="shared" si="9"/>
        <v>0</v>
      </c>
      <c r="I43" s="698">
        <f t="shared" si="9"/>
        <v>1.66E-2</v>
      </c>
      <c r="J43" s="698">
        <f t="shared" si="9"/>
        <v>0</v>
      </c>
      <c r="K43" s="698">
        <f t="shared" si="9"/>
        <v>0</v>
      </c>
      <c r="L43" s="702">
        <f>SUM(D43:INDEX(D43:K43,0,MATCH('RFPR cover'!$C$7,$D$6:$K$6,0)))</f>
        <v>3.2400000000000005E-2</v>
      </c>
      <c r="M43" s="703">
        <f t="shared" si="5"/>
        <v>4.9000000000000002E-2</v>
      </c>
    </row>
    <row r="44" spans="1:14" s="2" customFormat="1">
      <c r="A44" s="168" t="str">
        <f t="shared" si="3"/>
        <v>f</v>
      </c>
      <c r="B44" s="36" t="str">
        <f>$B$16&amp;""</f>
        <v/>
      </c>
      <c r="C44" s="163" t="str">
        <f>'RFPR cover'!$C$14</f>
        <v>£m 12/13</v>
      </c>
      <c r="D44" s="698">
        <f>D71</f>
        <v>0</v>
      </c>
      <c r="E44" s="698">
        <f t="shared" ref="E44:K44" si="10">E71</f>
        <v>0</v>
      </c>
      <c r="F44" s="698">
        <f t="shared" si="10"/>
        <v>0</v>
      </c>
      <c r="G44" s="698">
        <f t="shared" si="10"/>
        <v>0</v>
      </c>
      <c r="H44" s="698">
        <f t="shared" si="10"/>
        <v>0</v>
      </c>
      <c r="I44" s="698">
        <f t="shared" si="10"/>
        <v>0</v>
      </c>
      <c r="J44" s="698">
        <f t="shared" si="10"/>
        <v>0</v>
      </c>
      <c r="K44" s="698">
        <f t="shared" si="10"/>
        <v>0</v>
      </c>
      <c r="L44" s="702">
        <f>SUM(D44:INDEX(D44:K44,0,MATCH('RFPR cover'!$C$7,$D$6:$K$6,0)))</f>
        <v>0</v>
      </c>
      <c r="M44" s="703">
        <f t="shared" si="5"/>
        <v>0</v>
      </c>
    </row>
    <row r="45" spans="1:14" s="2" customFormat="1">
      <c r="A45" s="168" t="str">
        <f t="shared" si="3"/>
        <v>g</v>
      </c>
      <c r="B45" s="36" t="str">
        <f>$B$17&amp;""</f>
        <v/>
      </c>
      <c r="C45" s="163" t="str">
        <f>'RFPR cover'!$C$14</f>
        <v>£m 12/13</v>
      </c>
      <c r="D45" s="698">
        <f>D75</f>
        <v>0</v>
      </c>
      <c r="E45" s="698">
        <f t="shared" ref="E45:K45" si="11">E75</f>
        <v>0</v>
      </c>
      <c r="F45" s="698">
        <f t="shared" si="11"/>
        <v>0</v>
      </c>
      <c r="G45" s="698">
        <f t="shared" si="11"/>
        <v>0</v>
      </c>
      <c r="H45" s="698">
        <f t="shared" si="11"/>
        <v>0</v>
      </c>
      <c r="I45" s="698">
        <f t="shared" si="11"/>
        <v>0</v>
      </c>
      <c r="J45" s="698">
        <f t="shared" si="11"/>
        <v>0</v>
      </c>
      <c r="K45" s="698">
        <f t="shared" si="11"/>
        <v>0</v>
      </c>
      <c r="L45" s="702">
        <f>SUM(D45:INDEX(D45:K45,0,MATCH('RFPR cover'!$C$7,$D$6:$K$6,0)))</f>
        <v>0</v>
      </c>
      <c r="M45" s="703">
        <f t="shared" si="5"/>
        <v>0</v>
      </c>
    </row>
    <row r="46" spans="1:14" s="2" customFormat="1">
      <c r="B46" s="12" t="s">
        <v>204</v>
      </c>
      <c r="C46" s="164" t="str">
        <f>'RFPR cover'!$C$14</f>
        <v>£m 12/13</v>
      </c>
      <c r="D46" s="637">
        <f>SUM(D39:D45)</f>
        <v>5.9653594580880451</v>
      </c>
      <c r="E46" s="637">
        <f t="shared" ref="E46:M46" si="12">SUM(E39:E45)</f>
        <v>6.3576460525171541</v>
      </c>
      <c r="F46" s="637">
        <f t="shared" si="12"/>
        <v>4.8612165411603918</v>
      </c>
      <c r="G46" s="637">
        <f t="shared" si="12"/>
        <v>6.9048109876543196</v>
      </c>
      <c r="H46" s="638">
        <f t="shared" si="12"/>
        <v>5.887931330975297</v>
      </c>
      <c r="I46" s="638">
        <f t="shared" si="12"/>
        <v>5.8053592226247872</v>
      </c>
      <c r="J46" s="638">
        <f t="shared" si="12"/>
        <v>5.7236592226247867</v>
      </c>
      <c r="K46" s="638">
        <f t="shared" si="12"/>
        <v>5.6704592226247872</v>
      </c>
      <c r="L46" s="637">
        <f t="shared" si="12"/>
        <v>24.089033039419906</v>
      </c>
      <c r="M46" s="637">
        <f t="shared" si="12"/>
        <v>47.176442038269563</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tr">
        <f>$A$11</f>
        <v>a</v>
      </c>
      <c r="B49" s="180" t="str">
        <f>INDEX($B$11:$B$15,MATCH($A49,$A$11:$A$15,0),0)&amp;""</f>
        <v>Broad measure of customer service</v>
      </c>
      <c r="C49" s="163" t="str">
        <f>'RFPR cover'!$C$14</f>
        <v>£m 12/13</v>
      </c>
      <c r="D49" s="808">
        <f>INDEX($D$11:$K$17,MATCH($A49,$A$11:$A$17,0),0)</f>
        <v>2.592000000000001</v>
      </c>
      <c r="E49" s="808">
        <f t="shared" ref="E49:K49" si="13">INDEX($D$11:$K$17,MATCH($A49,$A$11:$A$17,0),0)</f>
        <v>2.4577</v>
      </c>
      <c r="F49" s="808">
        <f t="shared" si="13"/>
        <v>2.7549999999999999</v>
      </c>
      <c r="G49" s="808">
        <f t="shared" si="13"/>
        <v>2.6829999999999998</v>
      </c>
      <c r="H49" s="808">
        <f t="shared" si="13"/>
        <v>2.6954233333333351</v>
      </c>
      <c r="I49" s="808">
        <f t="shared" si="13"/>
        <v>2.6954233333333351</v>
      </c>
      <c r="J49" s="808">
        <f t="shared" si="13"/>
        <v>2.6954233333333351</v>
      </c>
      <c r="K49" s="808">
        <f t="shared" si="13"/>
        <v>2.6954233333333351</v>
      </c>
      <c r="L49" s="808">
        <f>SUM(D49:INDEX(D49:K49,0,MATCH('RFPR cover'!$C$7,$D$6:$K$6,0)))</f>
        <v>10.4877</v>
      </c>
      <c r="M49" s="809">
        <f>SUM(D49:K49)</f>
        <v>21.269393333333337</v>
      </c>
    </row>
    <row r="50" spans="1:13" s="2" customFormat="1">
      <c r="A50" s="168"/>
      <c r="B50" s="36" t="s">
        <v>201</v>
      </c>
      <c r="C50" s="309" t="s">
        <v>202</v>
      </c>
      <c r="D50" s="914">
        <f>IF($C50=$B$33,$B$33,INDEX(Data!$G$14:$G$30,MATCH('R5 - Output Incentives'!D$6+RIGHT('R5 - Output Incentives'!$C50,2),Data!$C$14:$C$30,0),0))</f>
        <v>0.19</v>
      </c>
      <c r="E50" s="915">
        <f>IF($C50=$B$33,$B$33,INDEX(Data!$G$14:$G$30,MATCH('R5 - Output Incentives'!E$6+RIGHT('R5 - Output Incentives'!$C50,2),Data!$C$14:$C$30,0),0))</f>
        <v>0.19</v>
      </c>
      <c r="F50" s="915">
        <f>IF($C50=$B$33,$B$33,INDEX(Data!$G$14:$G$30,MATCH('R5 - Output Incentives'!F$6+RIGHT('R5 - Output Incentives'!$C50,2),Data!$C$14:$C$30,0),0))</f>
        <v>0.19</v>
      </c>
      <c r="G50" s="915">
        <f>IF($C50=$B$33,$B$33,INDEX(Data!$G$14:$G$30,MATCH('R5 - Output Incentives'!G$6+RIGHT('R5 - Output Incentives'!$C50,2),Data!$C$14:$C$30,0),0))</f>
        <v>0.17</v>
      </c>
      <c r="H50" s="915">
        <f>IF($C50=$B$33,$B$33,INDEX(Data!$G$14:$G$30,MATCH('R5 - Output Incentives'!H$6+RIGHT('R5 - Output Incentives'!$C50,2),Data!$C$14:$C$30,0),0))</f>
        <v>0.17</v>
      </c>
      <c r="I50" s="915">
        <f>IF($C50=$B$33,$B$33,INDEX(Data!$G$14:$G$30,MATCH('R5 - Output Incentives'!I$6+RIGHT('R5 - Output Incentives'!$C50,2),Data!$C$14:$C$30,0),0))</f>
        <v>0.17</v>
      </c>
      <c r="J50" s="915">
        <f>IF($C50=$B$33,$B$33,INDEX(Data!$G$14:$G$30,MATCH('R5 - Output Incentives'!J$6+RIGHT('R5 - Output Incentives'!$C50,2),Data!$C$14:$C$30,0),0))</f>
        <v>0.17</v>
      </c>
      <c r="K50" s="916">
        <f>IF($C50=$B$33,$B$33,INDEX(Data!$G$14:$G$30,MATCH('R5 - Output Incentives'!K$6+RIGHT('R5 - Output Incentives'!$C50,2),Data!$C$14:$C$30,0),0))</f>
        <v>0.17</v>
      </c>
      <c r="L50" s="810"/>
      <c r="M50" s="811"/>
    </row>
    <row r="51" spans="1:13" s="2" customFormat="1">
      <c r="A51" s="168"/>
      <c r="B51" s="36" t="s">
        <v>210</v>
      </c>
      <c r="C51" s="163"/>
      <c r="D51" s="637">
        <f>IFERROR(D49*(1-D50),0)</f>
        <v>2.0995200000000009</v>
      </c>
      <c r="E51" s="638">
        <f t="shared" ref="E51:K51" si="14">IFERROR(E49*(1-E50),0)</f>
        <v>1.9907370000000002</v>
      </c>
      <c r="F51" s="638">
        <f t="shared" si="14"/>
        <v>2.2315499999999999</v>
      </c>
      <c r="G51" s="638">
        <f t="shared" si="14"/>
        <v>2.2268899999999996</v>
      </c>
      <c r="H51" s="638">
        <f t="shared" si="14"/>
        <v>2.2372013666666679</v>
      </c>
      <c r="I51" s="638">
        <f t="shared" si="14"/>
        <v>2.2372013666666679</v>
      </c>
      <c r="J51" s="638">
        <f t="shared" si="14"/>
        <v>2.2372013666666679</v>
      </c>
      <c r="K51" s="638">
        <f t="shared" si="14"/>
        <v>2.2372013666666679</v>
      </c>
      <c r="L51" s="696">
        <f>SUM(D51:INDEX(D51:K51,0,MATCH('RFPR cover'!$C$7,$D$6:$K$6,0)))</f>
        <v>8.5486970000000007</v>
      </c>
      <c r="M51" s="697">
        <f>SUM(D51:K51)</f>
        <v>17.497502466666671</v>
      </c>
    </row>
    <row r="52" spans="1:13" s="2" customFormat="1">
      <c r="A52" s="168"/>
      <c r="B52" s="52"/>
      <c r="C52" s="164"/>
      <c r="D52" s="164"/>
      <c r="E52" s="164"/>
      <c r="F52" s="164"/>
      <c r="G52" s="164"/>
      <c r="H52" s="164"/>
      <c r="I52" s="164"/>
      <c r="J52" s="164"/>
      <c r="K52" s="164"/>
      <c r="L52" s="164"/>
      <c r="M52" s="164"/>
    </row>
    <row r="53" spans="1:13" s="2" customFormat="1">
      <c r="A53" s="168" t="str">
        <f>$A$12</f>
        <v>b</v>
      </c>
      <c r="B53" s="180" t="str">
        <f>INDEX($B$11:$B$15,MATCH($A53,$A$11:$A$15,0),0)&amp;""</f>
        <v>Interruptions-related quality of service</v>
      </c>
      <c r="C53" s="163" t="str">
        <f>'RFPR cover'!$C$14</f>
        <v>£m 12/13</v>
      </c>
      <c r="D53" s="808">
        <f>INDEX($D$11:$K$17,MATCH($A53,$A$11:$A$17,0),0)</f>
        <v>4.3155413062815349</v>
      </c>
      <c r="E53" s="808">
        <f t="shared" ref="E53:K53" si="15">INDEX($D$11:$K$17,MATCH($A53,$A$11:$A$17,0),0)</f>
        <v>4.6832621226325175</v>
      </c>
      <c r="F53" s="808">
        <f t="shared" si="15"/>
        <v>2.5046019026671491</v>
      </c>
      <c r="G53" s="808">
        <f t="shared" si="15"/>
        <v>4.8500493827160494</v>
      </c>
      <c r="H53" s="808">
        <f t="shared" si="15"/>
        <v>3.7686054175255346</v>
      </c>
      <c r="I53" s="808">
        <f t="shared" si="15"/>
        <v>3.6491209496333528</v>
      </c>
      <c r="J53" s="808">
        <f t="shared" si="15"/>
        <v>3.570687214693594</v>
      </c>
      <c r="K53" s="808">
        <f t="shared" si="15"/>
        <v>3.5065908291514258</v>
      </c>
      <c r="L53" s="698">
        <f>SUM(D53:INDEX(D53:K53,0,MATCH('RFPR cover'!$C$7,$D$6:$K$6,0)))</f>
        <v>16.35345471429725</v>
      </c>
      <c r="M53" s="699">
        <f>SUM(D53:K53)</f>
        <v>30.848459125301162</v>
      </c>
    </row>
    <row r="54" spans="1:13" s="2" customFormat="1">
      <c r="A54" s="168"/>
      <c r="B54" s="36" t="s">
        <v>201</v>
      </c>
      <c r="C54" s="309" t="s">
        <v>202</v>
      </c>
      <c r="D54" s="914">
        <f>IF($C54=$B$33,$B$33,INDEX(Data!$G$14:$G$30,MATCH('R5 - Output Incentives'!D$6+RIGHT('R5 - Output Incentives'!$C54,2),Data!$C$14:$C$30,0),0))</f>
        <v>0.19</v>
      </c>
      <c r="E54" s="915">
        <f>IF($C54=$B$33,$B$33,INDEX(Data!$G$14:$G$30,MATCH('R5 - Output Incentives'!E$6+RIGHT('R5 - Output Incentives'!$C54,2),Data!$C$14:$C$30,0),0))</f>
        <v>0.19</v>
      </c>
      <c r="F54" s="915">
        <f>IF($C54=$B$33,$B$33,INDEX(Data!$G$14:$G$30,MATCH('R5 - Output Incentives'!F$6+RIGHT('R5 - Output Incentives'!$C54,2),Data!$C$14:$C$30,0),0))</f>
        <v>0.19</v>
      </c>
      <c r="G54" s="915">
        <f>IF($C54=$B$33,$B$33,INDEX(Data!$G$14:$G$30,MATCH('R5 - Output Incentives'!G$6+RIGHT('R5 - Output Incentives'!$C54,2),Data!$C$14:$C$30,0),0))</f>
        <v>0.17</v>
      </c>
      <c r="H54" s="915">
        <f>IF($C54=$B$33,$B$33,INDEX(Data!$G$14:$G$30,MATCH('R5 - Output Incentives'!H$6+RIGHT('R5 - Output Incentives'!$C54,2),Data!$C$14:$C$30,0),0))</f>
        <v>0.17</v>
      </c>
      <c r="I54" s="915">
        <f>IF($C54=$B$33,$B$33,INDEX(Data!$G$14:$G$30,MATCH('R5 - Output Incentives'!I$6+RIGHT('R5 - Output Incentives'!$C54,2),Data!$C$14:$C$30,0),0))</f>
        <v>0.17</v>
      </c>
      <c r="J54" s="915">
        <f>IF($C54=$B$33,$B$33,INDEX(Data!$G$14:$G$30,MATCH('R5 - Output Incentives'!J$6+RIGHT('R5 - Output Incentives'!$C54,2),Data!$C$14:$C$30,0),0))</f>
        <v>0.17</v>
      </c>
      <c r="K54" s="916">
        <f>IF($C54=$B$33,$B$33,INDEX(Data!$G$14:$G$30,MATCH('R5 - Output Incentives'!K$6+RIGHT('R5 - Output Incentives'!$C54,2),Data!$C$14:$C$30,0),0))</f>
        <v>0.17</v>
      </c>
      <c r="L54" s="810"/>
      <c r="M54" s="811"/>
    </row>
    <row r="55" spans="1:13" s="2" customFormat="1">
      <c r="A55" s="168"/>
      <c r="B55" s="36" t="s">
        <v>210</v>
      </c>
      <c r="C55" s="163"/>
      <c r="D55" s="637">
        <f>IFERROR(D53*(1-D54),0)</f>
        <v>3.4955884580880436</v>
      </c>
      <c r="E55" s="638">
        <f t="shared" ref="E55:K55" si="16">IFERROR(E53*(1-E54),0)</f>
        <v>3.7934423193323394</v>
      </c>
      <c r="F55" s="638">
        <f t="shared" si="16"/>
        <v>2.0287275411603911</v>
      </c>
      <c r="G55" s="638">
        <f t="shared" si="16"/>
        <v>4.0255409876543204</v>
      </c>
      <c r="H55" s="638">
        <f t="shared" si="16"/>
        <v>3.1279424965461935</v>
      </c>
      <c r="I55" s="638">
        <f t="shared" si="16"/>
        <v>3.0287703881956825</v>
      </c>
      <c r="J55" s="638">
        <f t="shared" si="16"/>
        <v>2.9636703881956827</v>
      </c>
      <c r="K55" s="638">
        <f t="shared" si="16"/>
        <v>2.9104703881956833</v>
      </c>
      <c r="L55" s="696">
        <f>SUM(D55:INDEX(D55:K55,0,MATCH('RFPR cover'!$C$7,$D$6:$K$6,0)))</f>
        <v>13.343299306235094</v>
      </c>
      <c r="M55" s="697">
        <f>SUM(D55:K55)</f>
        <v>25.374152967368335</v>
      </c>
    </row>
    <row r="56" spans="1:13" s="2" customFormat="1">
      <c r="A56" s="168"/>
      <c r="B56" s="52"/>
      <c r="C56" s="164"/>
      <c r="D56" s="164"/>
      <c r="E56" s="164"/>
      <c r="F56" s="164"/>
      <c r="G56" s="164"/>
      <c r="H56" s="164"/>
      <c r="I56" s="164"/>
      <c r="J56" s="164"/>
      <c r="K56" s="164"/>
      <c r="L56" s="164"/>
      <c r="M56" s="164"/>
    </row>
    <row r="57" spans="1:13" s="2" customFormat="1">
      <c r="A57" s="168" t="str">
        <f>$A$13</f>
        <v>c</v>
      </c>
      <c r="B57" s="180" t="str">
        <f>INDEX($B$11:$B$15,MATCH($A57,$A$11:$A$15,0),0)&amp;""</f>
        <v>Incentive on connections engagement</v>
      </c>
      <c r="C57" s="163" t="str">
        <f>'RFPR cover'!$C$14</f>
        <v>£m 12/13</v>
      </c>
      <c r="D57" s="808">
        <f>INDEX($D$11:$K$17,MATCH($A57,$A$11:$A$17,0),0)</f>
        <v>0</v>
      </c>
      <c r="E57" s="808">
        <f t="shared" ref="E57:K57" si="17">INDEX($D$11:$K$17,MATCH($A57,$A$11:$A$17,0),0)</f>
        <v>0</v>
      </c>
      <c r="F57" s="808">
        <f t="shared" si="17"/>
        <v>0</v>
      </c>
      <c r="G57" s="808">
        <f t="shared" si="17"/>
        <v>0</v>
      </c>
      <c r="H57" s="808">
        <f t="shared" si="17"/>
        <v>0</v>
      </c>
      <c r="I57" s="808">
        <f t="shared" si="17"/>
        <v>0</v>
      </c>
      <c r="J57" s="808">
        <f t="shared" si="17"/>
        <v>0</v>
      </c>
      <c r="K57" s="808">
        <f t="shared" si="17"/>
        <v>0</v>
      </c>
      <c r="L57" s="698">
        <f>SUM(D57:INDEX(D57:K57,0,MATCH('RFPR cover'!$C$7,$D$6:$K$6,0)))</f>
        <v>0</v>
      </c>
      <c r="M57" s="699">
        <f>SUM(D57:K57)</f>
        <v>0</v>
      </c>
    </row>
    <row r="58" spans="1:13" s="2" customFormat="1">
      <c r="A58" s="168"/>
      <c r="B58" s="36" t="s">
        <v>201</v>
      </c>
      <c r="C58" s="309" t="s">
        <v>208</v>
      </c>
      <c r="D58" s="914">
        <f>IF($C58=$B$33,$B$33,INDEX(Data!$G$14:$G$30,MATCH('R5 - Output Incentives'!D$6+RIGHT('R5 - Output Incentives'!$C58,2),Data!$C$14:$C$30,0),0))</f>
        <v>0.19</v>
      </c>
      <c r="E58" s="915">
        <f>IF($C58=$B$33,$B$33,INDEX(Data!$G$14:$G$30,MATCH('R5 - Output Incentives'!E$6+RIGHT('R5 - Output Incentives'!$C58,2),Data!$C$14:$C$30,0),0))</f>
        <v>0.19</v>
      </c>
      <c r="F58" s="915">
        <f>IF($C58=$B$33,$B$33,INDEX(Data!$G$14:$G$30,MATCH('R5 - Output Incentives'!F$6+RIGHT('R5 - Output Incentives'!$C58,2),Data!$C$14:$C$30,0),0))</f>
        <v>0.17</v>
      </c>
      <c r="G58" s="915">
        <f>IF($C58=$B$33,$B$33,INDEX(Data!$G$14:$G$30,MATCH('R5 - Output Incentives'!G$6+RIGHT('R5 - Output Incentives'!$C58,2),Data!$C$14:$C$30,0),0))</f>
        <v>0.17</v>
      </c>
      <c r="H58" s="915">
        <f>IF($C58=$B$33,$B$33,INDEX(Data!$G$14:$G$30,MATCH('R5 - Output Incentives'!H$6+RIGHT('R5 - Output Incentives'!$C58,2),Data!$C$14:$C$30,0),0))</f>
        <v>0.17</v>
      </c>
      <c r="I58" s="915">
        <f>IF($C58=$B$33,$B$33,INDEX(Data!$G$14:$G$30,MATCH('R5 - Output Incentives'!I$6+RIGHT('R5 - Output Incentives'!$C58,2),Data!$C$14:$C$30,0),0))</f>
        <v>0.17</v>
      </c>
      <c r="J58" s="915">
        <f>IF($C58=$B$33,$B$33,INDEX(Data!$G$14:$G$30,MATCH('R5 - Output Incentives'!J$6+RIGHT('R5 - Output Incentives'!$C58,2),Data!$C$14:$C$30,0),0))</f>
        <v>0.17</v>
      </c>
      <c r="K58" s="916">
        <f>IF($C58=$B$33,$B$33,INDEX(Data!$G$14:$G$30,MATCH('R5 - Output Incentives'!K$6+RIGHT('R5 - Output Incentives'!$C58,2),Data!$C$14:$C$30,0),0))</f>
        <v>0.17</v>
      </c>
      <c r="L58" s="810"/>
      <c r="M58" s="811"/>
    </row>
    <row r="59" spans="1:13" s="2" customFormat="1">
      <c r="A59" s="168"/>
      <c r="B59" s="36" t="s">
        <v>210</v>
      </c>
      <c r="C59" s="163"/>
      <c r="D59" s="637">
        <f>IFERROR(D57*(1-D58),0)</f>
        <v>0</v>
      </c>
      <c r="E59" s="638">
        <f t="shared" ref="E59:K59" si="18">IFERROR(E57*(1-E58),0)</f>
        <v>0</v>
      </c>
      <c r="F59" s="638">
        <f t="shared" si="18"/>
        <v>0</v>
      </c>
      <c r="G59" s="638">
        <f t="shared" si="18"/>
        <v>0</v>
      </c>
      <c r="H59" s="638">
        <f t="shared" si="18"/>
        <v>0</v>
      </c>
      <c r="I59" s="638">
        <f t="shared" si="18"/>
        <v>0</v>
      </c>
      <c r="J59" s="638">
        <f t="shared" si="18"/>
        <v>0</v>
      </c>
      <c r="K59" s="638">
        <f t="shared" si="18"/>
        <v>0</v>
      </c>
      <c r="L59" s="696">
        <f>SUM(D59:INDEX(D59:K59,0,MATCH('RFPR cover'!$C$7,$D$6:$K$6,0)))</f>
        <v>0</v>
      </c>
      <c r="M59" s="697">
        <f>SUM(D59:K59)</f>
        <v>0</v>
      </c>
    </row>
    <row r="60" spans="1:13" s="2" customFormat="1">
      <c r="A60" s="168"/>
      <c r="B60" s="52"/>
      <c r="C60" s="164"/>
      <c r="D60" s="164"/>
      <c r="E60" s="164"/>
      <c r="F60" s="164"/>
      <c r="G60" s="164"/>
      <c r="H60" s="164"/>
      <c r="I60" s="164"/>
      <c r="J60" s="164"/>
      <c r="K60" s="164"/>
      <c r="L60" s="164"/>
      <c r="M60" s="164"/>
    </row>
    <row r="61" spans="1:13" s="2" customFormat="1">
      <c r="A61" s="168" t="str">
        <f>$A$14</f>
        <v>d</v>
      </c>
      <c r="B61" s="180" t="str">
        <f>INDEX($B$11:$B$15,MATCH($A61,$A$11:$A$15,0),0)&amp;""</f>
        <v>Time to Connect Incentive</v>
      </c>
      <c r="C61" s="163" t="str">
        <f>'RFPR cover'!$C$14</f>
        <v>£m 12/13</v>
      </c>
      <c r="D61" s="808">
        <f>INDEX($D$11:$K$17,MATCH($A61,$A$11:$A$17,0),0)</f>
        <v>0.45710000000000017</v>
      </c>
      <c r="E61" s="808">
        <f t="shared" ref="E61:K61" si="19">INDEX($D$11:$K$17,MATCH($A61,$A$11:$A$17,0),0)</f>
        <v>0.66798362121582</v>
      </c>
      <c r="F61" s="808">
        <f t="shared" si="19"/>
        <v>0.74190000000000011</v>
      </c>
      <c r="G61" s="808">
        <f t="shared" si="19"/>
        <v>0.78600000000000014</v>
      </c>
      <c r="H61" s="808">
        <f t="shared" si="19"/>
        <v>0.62986441899088641</v>
      </c>
      <c r="I61" s="808">
        <f t="shared" si="19"/>
        <v>0.62986441899088641</v>
      </c>
      <c r="J61" s="808">
        <f t="shared" si="19"/>
        <v>0.62986441899088641</v>
      </c>
      <c r="K61" s="808">
        <f t="shared" si="19"/>
        <v>0.62986441899088641</v>
      </c>
      <c r="L61" s="698">
        <f>SUM(D61:INDEX(D61:K61,0,MATCH('RFPR cover'!$C$7,$D$6:$K$6,0)))</f>
        <v>2.6529836212158204</v>
      </c>
      <c r="M61" s="699">
        <f>SUM(D61:K61)</f>
        <v>5.1724412971793665</v>
      </c>
    </row>
    <row r="62" spans="1:13" s="2" customFormat="1">
      <c r="A62" s="168"/>
      <c r="B62" s="36" t="s">
        <v>201</v>
      </c>
      <c r="C62" s="309" t="s">
        <v>202</v>
      </c>
      <c r="D62" s="914">
        <f>IF($C62=$B$33,$B$33,INDEX(Data!$G$14:$G$30,MATCH('R5 - Output Incentives'!D$6+RIGHT('R5 - Output Incentives'!$C62,2),Data!$C$14:$C$30,0),0))</f>
        <v>0.19</v>
      </c>
      <c r="E62" s="915">
        <f>IF($C62=$B$33,$B$33,INDEX(Data!$G$14:$G$30,MATCH('R5 - Output Incentives'!E$6+RIGHT('R5 - Output Incentives'!$C62,2),Data!$C$14:$C$30,0),0))</f>
        <v>0.19</v>
      </c>
      <c r="F62" s="915">
        <f>IF($C62=$B$33,$B$33,INDEX(Data!$G$14:$G$30,MATCH('R5 - Output Incentives'!F$6+RIGHT('R5 - Output Incentives'!$C62,2),Data!$C$14:$C$30,0),0))</f>
        <v>0.19</v>
      </c>
      <c r="G62" s="915">
        <f>IF($C62=$B$33,$B$33,INDEX(Data!$G$14:$G$30,MATCH('R5 - Output Incentives'!G$6+RIGHT('R5 - Output Incentives'!$C62,2),Data!$C$14:$C$30,0),0))</f>
        <v>0.17</v>
      </c>
      <c r="H62" s="915">
        <f>IF($C62=$B$33,$B$33,INDEX(Data!$G$14:$G$30,MATCH('R5 - Output Incentives'!H$6+RIGHT('R5 - Output Incentives'!$C62,2),Data!$C$14:$C$30,0),0))</f>
        <v>0.17</v>
      </c>
      <c r="I62" s="915">
        <f>IF($C62=$B$33,$B$33,INDEX(Data!$G$14:$G$30,MATCH('R5 - Output Incentives'!I$6+RIGHT('R5 - Output Incentives'!$C62,2),Data!$C$14:$C$30,0),0))</f>
        <v>0.17</v>
      </c>
      <c r="J62" s="915">
        <f>IF($C62=$B$33,$B$33,INDEX(Data!$G$14:$G$30,MATCH('R5 - Output Incentives'!J$6+RIGHT('R5 - Output Incentives'!$C62,2),Data!$C$14:$C$30,0),0))</f>
        <v>0.17</v>
      </c>
      <c r="K62" s="916">
        <f>IF($C62=$B$33,$B$33,INDEX(Data!$G$14:$G$30,MATCH('R5 - Output Incentives'!K$6+RIGHT('R5 - Output Incentives'!$C62,2),Data!$C$14:$C$30,0),0))</f>
        <v>0.17</v>
      </c>
      <c r="L62" s="810"/>
      <c r="M62" s="811"/>
    </row>
    <row r="63" spans="1:13" s="2" customFormat="1">
      <c r="A63" s="168"/>
      <c r="B63" s="36" t="s">
        <v>210</v>
      </c>
      <c r="C63" s="163"/>
      <c r="D63" s="637">
        <f>IFERROR(D61*(1-D62),0)</f>
        <v>0.37025100000000016</v>
      </c>
      <c r="E63" s="638">
        <f t="shared" ref="E63:K63" si="20">IFERROR(E61*(1-E62),0)</f>
        <v>0.54106673318481424</v>
      </c>
      <c r="F63" s="638">
        <f t="shared" si="20"/>
        <v>0.60093900000000011</v>
      </c>
      <c r="G63" s="638">
        <f t="shared" si="20"/>
        <v>0.65238000000000007</v>
      </c>
      <c r="H63" s="638">
        <f t="shared" si="20"/>
        <v>0.52278746776243568</v>
      </c>
      <c r="I63" s="638">
        <f t="shared" si="20"/>
        <v>0.52278746776243568</v>
      </c>
      <c r="J63" s="638">
        <f t="shared" si="20"/>
        <v>0.52278746776243568</v>
      </c>
      <c r="K63" s="638">
        <f t="shared" si="20"/>
        <v>0.52278746776243568</v>
      </c>
      <c r="L63" s="696">
        <f>SUM(D63:INDEX(D63:K63,0,MATCH('RFPR cover'!$C$7,$D$6:$K$6,0)))</f>
        <v>2.1646367331848144</v>
      </c>
      <c r="M63" s="697">
        <f>SUM(D63:K63)</f>
        <v>4.2557866042345571</v>
      </c>
    </row>
    <row r="64" spans="1:13" s="2" customFormat="1">
      <c r="A64" s="168"/>
      <c r="B64" s="52"/>
      <c r="C64" s="164"/>
      <c r="D64" s="164"/>
      <c r="E64" s="164"/>
      <c r="F64" s="164"/>
      <c r="G64" s="164"/>
      <c r="H64" s="164"/>
      <c r="I64" s="164"/>
      <c r="J64" s="164"/>
      <c r="K64" s="164"/>
      <c r="L64" s="164"/>
      <c r="M64" s="164"/>
    </row>
    <row r="65" spans="1:14" s="2" customFormat="1">
      <c r="A65" s="168" t="str">
        <f>$A$15</f>
        <v>e</v>
      </c>
      <c r="B65" s="180" t="str">
        <f>INDEX($B$11:$B$15,MATCH($A65,$A$11:$A$15,0),0)&amp;""</f>
        <v>Losses discretionary reward scheme</v>
      </c>
      <c r="C65" s="163" t="str">
        <f>'RFPR cover'!$C$14</f>
        <v>£m 12/13</v>
      </c>
      <c r="D65" s="808">
        <f>INDEX($D$11:$K$17,MATCH($A65,$A$11:$A$17,0),0)</f>
        <v>0</v>
      </c>
      <c r="E65" s="808">
        <f t="shared" ref="E65:K65" si="21">INDEX($D$11:$K$17,MATCH($A65,$A$11:$A$17,0),0)</f>
        <v>0.04</v>
      </c>
      <c r="F65" s="808">
        <f t="shared" si="21"/>
        <v>0</v>
      </c>
      <c r="G65" s="808">
        <f t="shared" si="21"/>
        <v>0</v>
      </c>
      <c r="H65" s="808">
        <f t="shared" si="21"/>
        <v>0</v>
      </c>
      <c r="I65" s="808">
        <f t="shared" si="21"/>
        <v>0.02</v>
      </c>
      <c r="J65" s="808">
        <f t="shared" si="21"/>
        <v>0</v>
      </c>
      <c r="K65" s="808">
        <f t="shared" si="21"/>
        <v>0</v>
      </c>
      <c r="L65" s="698">
        <f>SUM(D65:INDEX(D65:K65,0,MATCH('RFPR cover'!$C$7,$D$6:$K$6,0)))</f>
        <v>0.04</v>
      </c>
      <c r="M65" s="699">
        <f>SUM(D65:K65)</f>
        <v>0.06</v>
      </c>
    </row>
    <row r="66" spans="1:14" s="2" customFormat="1">
      <c r="A66" s="168"/>
      <c r="B66" s="36" t="s">
        <v>201</v>
      </c>
      <c r="C66" s="309" t="s">
        <v>209</v>
      </c>
      <c r="D66" s="914">
        <f>IF($C66=$B$33,$B$33,INDEX(Data!$G$14:$G$30,MATCH('R5 - Output Incentives'!D$6+RIGHT('R5 - Output Incentives'!$C66,2),Data!$C$14:$C$30,0),0))</f>
        <v>0.2</v>
      </c>
      <c r="E66" s="915">
        <f>IF($C66=$B$33,$B$33,INDEX(Data!$G$14:$G$30,MATCH('R5 - Output Incentives'!E$6+RIGHT('R5 - Output Incentives'!$C66,2),Data!$C$14:$C$30,0),0))</f>
        <v>0.19</v>
      </c>
      <c r="F66" s="915">
        <f>IF($C66=$B$33,$B$33,INDEX(Data!$G$14:$G$30,MATCH('R5 - Output Incentives'!F$6+RIGHT('R5 - Output Incentives'!$C66,2),Data!$C$14:$C$30,0),0))</f>
        <v>0.19</v>
      </c>
      <c r="G66" s="915">
        <f>IF($C66=$B$33,$B$33,INDEX(Data!$G$14:$G$30,MATCH('R5 - Output Incentives'!G$6+RIGHT('R5 - Output Incentives'!$C66,2),Data!$C$14:$C$30,0),0))</f>
        <v>0.19</v>
      </c>
      <c r="H66" s="915">
        <f>IF($C66=$B$33,$B$33,INDEX(Data!$G$14:$G$30,MATCH('R5 - Output Incentives'!H$6+RIGHT('R5 - Output Incentives'!$C66,2),Data!$C$14:$C$30,0),0))</f>
        <v>0.17</v>
      </c>
      <c r="I66" s="915">
        <f>IF($C66=$B$33,$B$33,INDEX(Data!$G$14:$G$30,MATCH('R5 - Output Incentives'!I$6+RIGHT('R5 - Output Incentives'!$C66,2),Data!$C$14:$C$30,0),0))</f>
        <v>0.17</v>
      </c>
      <c r="J66" s="915">
        <f>IF($C66=$B$33,$B$33,INDEX(Data!$G$14:$G$30,MATCH('R5 - Output Incentives'!J$6+RIGHT('R5 - Output Incentives'!$C66,2),Data!$C$14:$C$30,0),0))</f>
        <v>0.17</v>
      </c>
      <c r="K66" s="916">
        <f>IF($C66=$B$33,$B$33,INDEX(Data!$G$14:$G$30,MATCH('R5 - Output Incentives'!K$6+RIGHT('R5 - Output Incentives'!$C66,2),Data!$C$14:$C$30,0),0))</f>
        <v>0.17</v>
      </c>
      <c r="L66" s="810"/>
      <c r="M66" s="811"/>
    </row>
    <row r="67" spans="1:14" s="2" customFormat="1">
      <c r="A67" s="168"/>
      <c r="B67" s="36" t="s">
        <v>210</v>
      </c>
      <c r="C67" s="163"/>
      <c r="D67" s="637">
        <f>IFERROR(D65*(1-D66),0)</f>
        <v>0</v>
      </c>
      <c r="E67" s="638">
        <f t="shared" ref="E67:K67" si="22">IFERROR(E65*(1-E66),0)</f>
        <v>3.2400000000000005E-2</v>
      </c>
      <c r="F67" s="638">
        <f t="shared" si="22"/>
        <v>0</v>
      </c>
      <c r="G67" s="638">
        <f t="shared" si="22"/>
        <v>0</v>
      </c>
      <c r="H67" s="638">
        <f t="shared" si="22"/>
        <v>0</v>
      </c>
      <c r="I67" s="638">
        <f t="shared" si="22"/>
        <v>1.66E-2</v>
      </c>
      <c r="J67" s="638">
        <f t="shared" si="22"/>
        <v>0</v>
      </c>
      <c r="K67" s="638">
        <f t="shared" si="22"/>
        <v>0</v>
      </c>
      <c r="L67" s="696">
        <f>SUM(D67:INDEX(D67:K67,0,MATCH('RFPR cover'!$C$7,$D$6:$K$6,0)))</f>
        <v>3.2400000000000005E-2</v>
      </c>
      <c r="M67" s="697">
        <f>SUM(D67:K67)</f>
        <v>4.9000000000000002E-2</v>
      </c>
    </row>
    <row r="68" spans="1:14" s="2" customFormat="1">
      <c r="A68" s="168"/>
      <c r="B68" s="52"/>
      <c r="C68" s="164"/>
      <c r="D68" s="164"/>
      <c r="E68" s="164"/>
      <c r="F68" s="164"/>
      <c r="G68" s="164"/>
      <c r="H68" s="164"/>
      <c r="I68" s="164"/>
      <c r="J68" s="164"/>
      <c r="K68" s="164"/>
      <c r="L68" s="164"/>
      <c r="M68" s="164"/>
    </row>
    <row r="69" spans="1:14" s="2" customFormat="1">
      <c r="A69" s="168" t="str">
        <f>$A$16</f>
        <v>f</v>
      </c>
      <c r="B69" s="180" t="str">
        <f>INDEX($B$11:$B$17,MATCH($A69,$A$11:$A$17,0),0)&amp;""</f>
        <v/>
      </c>
      <c r="C69" s="163" t="str">
        <f>'RFPR cover'!$C$14</f>
        <v>£m 12/13</v>
      </c>
      <c r="D69" s="808">
        <f>INDEX($D$11:$K$17,MATCH($A69,$A$11:$A$17,0),0)</f>
        <v>0</v>
      </c>
      <c r="E69" s="808">
        <f t="shared" ref="E69:K69" si="23">INDEX($D$11:$K$17,MATCH($A69,$A$11:$A$17,0),0)</f>
        <v>0</v>
      </c>
      <c r="F69" s="808">
        <f t="shared" si="23"/>
        <v>0</v>
      </c>
      <c r="G69" s="808">
        <f t="shared" si="23"/>
        <v>0</v>
      </c>
      <c r="H69" s="808">
        <f t="shared" si="23"/>
        <v>0</v>
      </c>
      <c r="I69" s="808">
        <f t="shared" si="23"/>
        <v>0</v>
      </c>
      <c r="J69" s="808">
        <f t="shared" si="23"/>
        <v>0</v>
      </c>
      <c r="K69" s="808">
        <f t="shared" si="23"/>
        <v>0</v>
      </c>
      <c r="L69" s="698">
        <f>SUM(D69:INDEX(D69:K69,0,MATCH('RFPR cover'!$C$7,$D$6:$K$6,0)))</f>
        <v>0</v>
      </c>
      <c r="M69" s="699">
        <f>SUM(D69:K69)</f>
        <v>0</v>
      </c>
    </row>
    <row r="70" spans="1:14" s="2" customFormat="1">
      <c r="A70" s="168"/>
      <c r="B70" s="36" t="s">
        <v>201</v>
      </c>
      <c r="C70" s="309" t="s">
        <v>209</v>
      </c>
      <c r="D70" s="914">
        <f>IF($C70=$B$33,$B$33,INDEX(Data!$G$14:$G$30,MATCH('R5 - Output Incentives'!D$6+RIGHT('R5 - Output Incentives'!$C70,2),Data!$C$14:$C$30,0),0))</f>
        <v>0.2</v>
      </c>
      <c r="E70" s="915">
        <f>IF($C70=$B$33,$B$33,INDEX(Data!$G$14:$G$30,MATCH('R5 - Output Incentives'!E$6+RIGHT('R5 - Output Incentives'!$C70,2),Data!$C$14:$C$30,0),0))</f>
        <v>0.19</v>
      </c>
      <c r="F70" s="915">
        <f>IF($C70=$B$33,$B$33,INDEX(Data!$G$14:$G$30,MATCH('R5 - Output Incentives'!F$6+RIGHT('R5 - Output Incentives'!$C70,2),Data!$C$14:$C$30,0),0))</f>
        <v>0.19</v>
      </c>
      <c r="G70" s="915">
        <f>IF($C70=$B$33,$B$33,INDEX(Data!$G$14:$G$30,MATCH('R5 - Output Incentives'!G$6+RIGHT('R5 - Output Incentives'!$C70,2),Data!$C$14:$C$30,0),0))</f>
        <v>0.19</v>
      </c>
      <c r="H70" s="915">
        <f>IF($C70=$B$33,$B$33,INDEX(Data!$G$14:$G$30,MATCH('R5 - Output Incentives'!H$6+RIGHT('R5 - Output Incentives'!$C70,2),Data!$C$14:$C$30,0),0))</f>
        <v>0.17</v>
      </c>
      <c r="I70" s="915">
        <f>IF($C70=$B$33,$B$33,INDEX(Data!$G$14:$G$30,MATCH('R5 - Output Incentives'!I$6+RIGHT('R5 - Output Incentives'!$C70,2),Data!$C$14:$C$30,0),0))</f>
        <v>0.17</v>
      </c>
      <c r="J70" s="915">
        <f>IF($C70=$B$33,$B$33,INDEX(Data!$G$14:$G$30,MATCH('R5 - Output Incentives'!J$6+RIGHT('R5 - Output Incentives'!$C70,2),Data!$C$14:$C$30,0),0))</f>
        <v>0.17</v>
      </c>
      <c r="K70" s="916">
        <f>IF($C70=$B$33,$B$33,INDEX(Data!$G$14:$G$30,MATCH('R5 - Output Incentives'!K$6+RIGHT('R5 - Output Incentives'!$C70,2),Data!$C$14:$C$30,0),0))</f>
        <v>0.17</v>
      </c>
      <c r="L70" s="810"/>
      <c r="M70" s="811"/>
    </row>
    <row r="71" spans="1:14" s="2" customFormat="1">
      <c r="A71" s="168"/>
      <c r="B71" s="36" t="s">
        <v>210</v>
      </c>
      <c r="C71" s="163"/>
      <c r="D71" s="637">
        <f>IFERROR(D69*(1-D70),0)</f>
        <v>0</v>
      </c>
      <c r="E71" s="638">
        <f t="shared" ref="E71:K71" si="24">IFERROR(E69*(1-E70),0)</f>
        <v>0</v>
      </c>
      <c r="F71" s="638">
        <f t="shared" si="24"/>
        <v>0</v>
      </c>
      <c r="G71" s="638">
        <f t="shared" si="24"/>
        <v>0</v>
      </c>
      <c r="H71" s="638">
        <f t="shared" si="24"/>
        <v>0</v>
      </c>
      <c r="I71" s="638">
        <f t="shared" si="24"/>
        <v>0</v>
      </c>
      <c r="J71" s="638">
        <f t="shared" si="24"/>
        <v>0</v>
      </c>
      <c r="K71" s="638">
        <f t="shared" si="24"/>
        <v>0</v>
      </c>
      <c r="L71" s="696">
        <f>SUM(D71:INDEX(D71:K71,0,MATCH('RFPR cover'!$C$7,$D$6:$K$6,0)))</f>
        <v>0</v>
      </c>
      <c r="M71" s="697">
        <f>SUM(D71:K71)</f>
        <v>0</v>
      </c>
    </row>
    <row r="72" spans="1:14" s="2" customFormat="1">
      <c r="A72" s="168"/>
      <c r="B72" s="52"/>
      <c r="C72" s="164"/>
      <c r="D72" s="164"/>
      <c r="E72" s="164"/>
      <c r="F72" s="164"/>
      <c r="G72" s="164"/>
      <c r="H72" s="164"/>
      <c r="I72" s="164"/>
      <c r="J72" s="164"/>
      <c r="K72" s="164"/>
      <c r="L72" s="164"/>
      <c r="M72" s="164"/>
    </row>
    <row r="73" spans="1:14" s="2" customFormat="1">
      <c r="A73" s="168" t="s">
        <v>481</v>
      </c>
      <c r="B73" s="180" t="str">
        <f>INDEX($B$11:$B$17,MATCH($A73,$A$11:$A$17,0),0)&amp;""</f>
        <v/>
      </c>
      <c r="C73" s="163" t="str">
        <f>'RFPR cover'!$C$14</f>
        <v>£m 12/13</v>
      </c>
      <c r="D73" s="808">
        <f>INDEX($D$11:$K$17,MATCH($A73,$A$11:$A$17,0),0)</f>
        <v>0</v>
      </c>
      <c r="E73" s="808">
        <f t="shared" ref="E73:K73" si="25">INDEX($D$11:$K$17,MATCH($A73,$A$11:$A$17,0),0)</f>
        <v>0</v>
      </c>
      <c r="F73" s="808">
        <f t="shared" si="25"/>
        <v>0</v>
      </c>
      <c r="G73" s="808">
        <f t="shared" si="25"/>
        <v>0</v>
      </c>
      <c r="H73" s="808">
        <f t="shared" si="25"/>
        <v>0</v>
      </c>
      <c r="I73" s="808">
        <f t="shared" si="25"/>
        <v>0</v>
      </c>
      <c r="J73" s="808">
        <f t="shared" si="25"/>
        <v>0</v>
      </c>
      <c r="K73" s="808">
        <f t="shared" si="25"/>
        <v>0</v>
      </c>
      <c r="L73" s="698">
        <f>SUM(D73:INDEX(D73:K73,0,MATCH('RFPR cover'!$C$7,$D$6:$K$6,0)))</f>
        <v>0</v>
      </c>
      <c r="M73" s="699">
        <f>SUM(D73:K73)</f>
        <v>0</v>
      </c>
    </row>
    <row r="74" spans="1:14" s="2" customFormat="1">
      <c r="A74" s="168"/>
      <c r="B74" s="36" t="s">
        <v>201</v>
      </c>
      <c r="C74" s="309" t="s">
        <v>209</v>
      </c>
      <c r="D74" s="914">
        <f>IF($C74=$B$33,$B$33,INDEX(Data!$G$14:$G$30,MATCH('R5 - Output Incentives'!D$6+RIGHT('R5 - Output Incentives'!$C74,2),Data!$C$14:$C$30,0),0))</f>
        <v>0.2</v>
      </c>
      <c r="E74" s="915">
        <f>IF($C74=$B$33,$B$33,INDEX(Data!$G$14:$G$30,MATCH('R5 - Output Incentives'!E$6+RIGHT('R5 - Output Incentives'!$C74,2),Data!$C$14:$C$30,0),0))</f>
        <v>0.19</v>
      </c>
      <c r="F74" s="915">
        <f>IF($C74=$B$33,$B$33,INDEX(Data!$G$14:$G$30,MATCH('R5 - Output Incentives'!F$6+RIGHT('R5 - Output Incentives'!$C74,2),Data!$C$14:$C$30,0),0))</f>
        <v>0.19</v>
      </c>
      <c r="G74" s="915">
        <f>IF($C74=$B$33,$B$33,INDEX(Data!$G$14:$G$30,MATCH('R5 - Output Incentives'!G$6+RIGHT('R5 - Output Incentives'!$C74,2),Data!$C$14:$C$30,0),0))</f>
        <v>0.19</v>
      </c>
      <c r="H74" s="915">
        <f>IF($C74=$B$33,$B$33,INDEX(Data!$G$14:$G$30,MATCH('R5 - Output Incentives'!H$6+RIGHT('R5 - Output Incentives'!$C74,2),Data!$C$14:$C$30,0),0))</f>
        <v>0.17</v>
      </c>
      <c r="I74" s="915">
        <f>IF($C74=$B$33,$B$33,INDEX(Data!$G$14:$G$30,MATCH('R5 - Output Incentives'!I$6+RIGHT('R5 - Output Incentives'!$C74,2),Data!$C$14:$C$30,0),0))</f>
        <v>0.17</v>
      </c>
      <c r="J74" s="915">
        <f>IF($C74=$B$33,$B$33,INDEX(Data!$G$14:$G$30,MATCH('R5 - Output Incentives'!J$6+RIGHT('R5 - Output Incentives'!$C74,2),Data!$C$14:$C$30,0),0))</f>
        <v>0.17</v>
      </c>
      <c r="K74" s="916">
        <f>IF($C74=$B$33,$B$33,INDEX(Data!$G$14:$G$30,MATCH('R5 - Output Incentives'!K$6+RIGHT('R5 - Output Incentives'!$C74,2),Data!$C$14:$C$30,0),0))</f>
        <v>0.17</v>
      </c>
      <c r="L74" s="810"/>
      <c r="M74" s="811"/>
    </row>
    <row r="75" spans="1:14" s="2" customFormat="1">
      <c r="A75" s="168"/>
      <c r="B75" s="36" t="s">
        <v>210</v>
      </c>
      <c r="C75" s="163"/>
      <c r="D75" s="637">
        <f>IFERROR(D73*(1-D74),0)</f>
        <v>0</v>
      </c>
      <c r="E75" s="638">
        <f t="shared" ref="E75:K75" si="26">IFERROR(E73*(1-E74),0)</f>
        <v>0</v>
      </c>
      <c r="F75" s="638">
        <f t="shared" si="26"/>
        <v>0</v>
      </c>
      <c r="G75" s="638">
        <f t="shared" si="26"/>
        <v>0</v>
      </c>
      <c r="H75" s="638">
        <f t="shared" si="26"/>
        <v>0</v>
      </c>
      <c r="I75" s="638">
        <f t="shared" si="26"/>
        <v>0</v>
      </c>
      <c r="J75" s="638">
        <f t="shared" si="26"/>
        <v>0</v>
      </c>
      <c r="K75" s="638">
        <f t="shared" si="26"/>
        <v>0</v>
      </c>
      <c r="L75" s="696">
        <f>SUM(D75:INDEX(D75:K75,0,MATCH('RFPR cover'!$C$7,$D$6:$K$6,0)))</f>
        <v>0</v>
      </c>
      <c r="M75" s="697">
        <f>SUM(D75:K75)</f>
        <v>0</v>
      </c>
    </row>
    <row r="76" spans="1:14" s="559" customFormat="1" ht="14.1" customHeight="1">
      <c r="A76" s="558"/>
      <c r="C76" s="560"/>
      <c r="D76" s="561"/>
      <c r="E76" s="561"/>
      <c r="F76" s="561"/>
      <c r="G76" s="561"/>
      <c r="H76" s="561"/>
      <c r="I76" s="561"/>
      <c r="J76" s="561"/>
      <c r="K76" s="561"/>
      <c r="L76" s="562"/>
      <c r="M76" s="562"/>
    </row>
    <row r="77" spans="1:14" s="2" customFormat="1">
      <c r="B77" s="118" t="s">
        <v>398</v>
      </c>
      <c r="C77" s="158"/>
      <c r="D77" s="141"/>
      <c r="E77" s="141"/>
      <c r="F77" s="141"/>
      <c r="G77" s="141"/>
      <c r="H77" s="141"/>
      <c r="I77" s="141"/>
      <c r="J77" s="141"/>
      <c r="K77" s="141"/>
      <c r="L77" s="82"/>
      <c r="M77" s="82"/>
      <c r="N77" s="82"/>
    </row>
    <row r="78" spans="1:14" s="2" customFormat="1">
      <c r="B78" s="388" t="s">
        <v>397</v>
      </c>
      <c r="C78" s="306"/>
      <c r="D78" s="307"/>
      <c r="E78" s="307"/>
      <c r="F78" s="307"/>
      <c r="G78" s="307"/>
      <c r="H78" s="307"/>
      <c r="I78" s="307"/>
      <c r="J78" s="307"/>
      <c r="K78" s="307"/>
      <c r="L78" s="308"/>
      <c r="M78" s="308"/>
      <c r="N78" s="308"/>
    </row>
    <row r="79" spans="1:14" s="2" customFormat="1">
      <c r="B79" s="388" t="s">
        <v>399</v>
      </c>
      <c r="C79" s="306"/>
      <c r="D79" s="307"/>
      <c r="E79" s="307"/>
      <c r="F79" s="307"/>
      <c r="G79" s="307"/>
      <c r="H79" s="307"/>
      <c r="I79" s="307"/>
      <c r="J79" s="307"/>
      <c r="K79" s="307"/>
      <c r="L79" s="308"/>
      <c r="M79" s="308"/>
      <c r="N79" s="308"/>
    </row>
    <row r="80" spans="1:14" s="559" customFormat="1">
      <c r="B80" s="564"/>
      <c r="C80" s="565"/>
      <c r="D80" s="566"/>
      <c r="E80" s="566"/>
      <c r="F80" s="566"/>
      <c r="G80" s="566"/>
      <c r="H80" s="566"/>
      <c r="I80" s="566"/>
      <c r="J80" s="566"/>
      <c r="K80" s="566"/>
    </row>
    <row r="81" spans="1:12" s="2" customFormat="1">
      <c r="B81" s="12"/>
      <c r="C81" s="567" t="s">
        <v>400</v>
      </c>
      <c r="D81" s="570" t="str">
        <f t="shared" ref="D81:K81" si="27">IF($C50=$B$33,D$6,IF(D$6-RIGHT($C50,1)&lt;$D$6,"Pre-RIIO",D$6-RIGHT($C50,1)))</f>
        <v>Pre-RIIO</v>
      </c>
      <c r="E81" s="571" t="str">
        <f t="shared" si="27"/>
        <v>Pre-RIIO</v>
      </c>
      <c r="F81" s="571">
        <f t="shared" si="27"/>
        <v>2016</v>
      </c>
      <c r="G81" s="571">
        <f t="shared" si="27"/>
        <v>2017</v>
      </c>
      <c r="H81" s="571">
        <f t="shared" si="27"/>
        <v>2018</v>
      </c>
      <c r="I81" s="571">
        <f t="shared" si="27"/>
        <v>2019</v>
      </c>
      <c r="J81" s="571">
        <f t="shared" si="27"/>
        <v>2020</v>
      </c>
      <c r="K81" s="572">
        <f t="shared" si="27"/>
        <v>2021</v>
      </c>
    </row>
    <row r="82" spans="1:12" s="2" customFormat="1">
      <c r="A82" s="3" t="str">
        <f>A11</f>
        <v>a</v>
      </c>
      <c r="B82" s="134" t="str">
        <f>B11&amp;""</f>
        <v>Broad measure of customer service</v>
      </c>
      <c r="C82" s="144" t="s">
        <v>128</v>
      </c>
      <c r="D82" s="665">
        <v>1.5318180553499996</v>
      </c>
      <c r="E82" s="666">
        <v>1.6797453762794363</v>
      </c>
      <c r="F82" s="666">
        <v>2.7483410074588748</v>
      </c>
      <c r="G82" s="666">
        <v>2.6569000740000011</v>
      </c>
      <c r="H82" s="666">
        <f>+F11*Data!E$34</f>
        <v>3.0954185756615917</v>
      </c>
      <c r="I82" s="666">
        <f>+G11*Data!F$34</f>
        <v>3.1066327332175332</v>
      </c>
      <c r="J82" s="666">
        <f>+H11*Data!G$34</f>
        <v>3.2029443641775845</v>
      </c>
      <c r="K82" s="667">
        <f>+I11*Data!H$34</f>
        <v>3.2918260702835123</v>
      </c>
    </row>
    <row r="83" spans="1:12" s="2" customFormat="1">
      <c r="A83" s="3"/>
      <c r="B83" s="134"/>
      <c r="C83" s="144"/>
      <c r="D83" s="144"/>
      <c r="E83" s="144"/>
      <c r="F83" s="144"/>
      <c r="G83" s="144"/>
      <c r="H83" s="144"/>
      <c r="I83" s="144"/>
      <c r="J83" s="144"/>
      <c r="K83" s="144"/>
      <c r="L83" s="144"/>
    </row>
    <row r="84" spans="1:12" s="2" customFormat="1">
      <c r="A84" s="3"/>
      <c r="B84" s="134"/>
      <c r="C84" s="567" t="s">
        <v>400</v>
      </c>
      <c r="D84" s="570" t="str">
        <f t="shared" ref="D84:K84" si="28">IF($C54=$B$33,D$6,IF(D$6-RIGHT($C54,1)&lt;$D$6,"Pre-RIIO",D$6-RIGHT($C54,1)))</f>
        <v>Pre-RIIO</v>
      </c>
      <c r="E84" s="571" t="str">
        <f t="shared" si="28"/>
        <v>Pre-RIIO</v>
      </c>
      <c r="F84" s="571">
        <f t="shared" si="28"/>
        <v>2016</v>
      </c>
      <c r="G84" s="571">
        <f t="shared" si="28"/>
        <v>2017</v>
      </c>
      <c r="H84" s="571">
        <f t="shared" si="28"/>
        <v>2018</v>
      </c>
      <c r="I84" s="571">
        <f t="shared" si="28"/>
        <v>2019</v>
      </c>
      <c r="J84" s="571">
        <f t="shared" si="28"/>
        <v>2020</v>
      </c>
      <c r="K84" s="572">
        <f t="shared" si="28"/>
        <v>2021</v>
      </c>
    </row>
    <row r="85" spans="1:12" s="2" customFormat="1">
      <c r="A85" s="3" t="str">
        <f>A12</f>
        <v>b</v>
      </c>
      <c r="B85" s="134" t="str">
        <f>B12&amp;""</f>
        <v>Interruptions-related quality of service</v>
      </c>
      <c r="C85" s="144" t="s">
        <v>128</v>
      </c>
      <c r="D85" s="665">
        <v>4.8450475039499992</v>
      </c>
      <c r="E85" s="666">
        <v>4.7026683197999999</v>
      </c>
      <c r="F85" s="666">
        <v>5.2112505332402117</v>
      </c>
      <c r="G85" s="666">
        <v>5.8535884616814347</v>
      </c>
      <c r="H85" s="666">
        <f>+F12*(1+(Data!G$63*Data!$E$83)+(Data!$C$83*(1-Data!$E$83)))*(1+(Data!H$63*Data!$E$83)+(Data!$C$83*(1-Data!$E$83)))*Data!G$34</f>
        <v>3.1932387264562228</v>
      </c>
      <c r="I85" s="666">
        <f>+G12*(1+(Data!H$63*Data!$E$83)+(Data!$C$83*(1-Data!$E$83)))*(1+(Data!I$63*Data!$E$83)+(Data!$C$83*(1-Data!$E$83)))*Data!H$34</f>
        <v>6.3296592846208339</v>
      </c>
      <c r="J85" s="666">
        <f>+H12*(1+(Data!I$63*Data!$E$83)+(Data!$C$83*(1-Data!$E$83)))*(1+(Data!J$63*Data!$E$83)+(Data!$C$83*(1-Data!$E$83)))*Data!I$34</f>
        <v>5.0425690442891691</v>
      </c>
      <c r="K85" s="667">
        <f>+I12*(1+(Data!J$63*Data!$E$83)+(Data!$C$83*(1-Data!$E$83)))*(1+(Data!K$63*Data!$E$83)+(Data!$C$83*(1-Data!$E$83)))*Data!J$34</f>
        <v>5.011928287530254</v>
      </c>
    </row>
    <row r="86" spans="1:12" s="2" customFormat="1">
      <c r="A86" s="3"/>
      <c r="B86" s="134"/>
      <c r="C86" s="144"/>
      <c r="D86" s="144"/>
      <c r="E86" s="144"/>
      <c r="F86" s="144"/>
      <c r="G86" s="144"/>
      <c r="H86" s="144"/>
      <c r="I86" s="144"/>
      <c r="J86" s="144"/>
      <c r="K86" s="144"/>
      <c r="L86" s="144"/>
    </row>
    <row r="87" spans="1:12" s="2" customFormat="1">
      <c r="A87" s="3"/>
      <c r="B87" s="134"/>
      <c r="C87" s="567" t="s">
        <v>400</v>
      </c>
      <c r="D87" s="570" t="str">
        <f t="shared" ref="D87:K87" si="29">IF($C58=$B$33,D$6,IF(D$6-RIGHT($C58,1)&lt;$D$6,"Pre-RIIO",D$6-RIGHT($C58,1)))</f>
        <v>Pre-RIIO</v>
      </c>
      <c r="E87" s="571" t="str">
        <f t="shared" si="29"/>
        <v>Pre-RIIO</v>
      </c>
      <c r="F87" s="571" t="str">
        <f t="shared" si="29"/>
        <v>Pre-RIIO</v>
      </c>
      <c r="G87" s="571">
        <f t="shared" si="29"/>
        <v>2016</v>
      </c>
      <c r="H87" s="571">
        <f t="shared" si="29"/>
        <v>2017</v>
      </c>
      <c r="I87" s="571">
        <f t="shared" si="29"/>
        <v>2018</v>
      </c>
      <c r="J87" s="571">
        <f t="shared" si="29"/>
        <v>2019</v>
      </c>
      <c r="K87" s="572">
        <f t="shared" si="29"/>
        <v>2020</v>
      </c>
    </row>
    <row r="88" spans="1:12" s="2" customFormat="1">
      <c r="A88" s="3" t="str">
        <f>A13</f>
        <v>c</v>
      </c>
      <c r="B88" s="134" t="str">
        <f>B13&amp;""</f>
        <v>Incentive on connections engagement</v>
      </c>
      <c r="C88" s="144" t="s">
        <v>128</v>
      </c>
      <c r="D88" s="665">
        <v>0</v>
      </c>
      <c r="E88" s="666">
        <v>0</v>
      </c>
      <c r="F88" s="666">
        <v>0</v>
      </c>
      <c r="G88" s="666">
        <f>+D13*Data!C$34</f>
        <v>0</v>
      </c>
      <c r="H88" s="666">
        <f>+E13*Data!D$34</f>
        <v>0</v>
      </c>
      <c r="I88" s="666">
        <f>+F13*Data!E$34</f>
        <v>0</v>
      </c>
      <c r="J88" s="666">
        <f>+G13*Data!F$34</f>
        <v>0</v>
      </c>
      <c r="K88" s="667">
        <f>+H13*Data!G$34</f>
        <v>0</v>
      </c>
    </row>
    <row r="89" spans="1:12" s="2" customFormat="1">
      <c r="A89" s="3"/>
      <c r="B89" s="134"/>
      <c r="C89" s="144"/>
      <c r="D89" s="144"/>
      <c r="E89" s="144"/>
      <c r="F89" s="144"/>
      <c r="G89" s="144"/>
      <c r="H89" s="144"/>
      <c r="I89" s="144"/>
      <c r="J89" s="144"/>
      <c r="K89" s="144"/>
      <c r="L89" s="144"/>
    </row>
    <row r="90" spans="1:12" s="2" customFormat="1">
      <c r="A90" s="3"/>
      <c r="B90" s="134"/>
      <c r="C90" s="567" t="s">
        <v>400</v>
      </c>
      <c r="D90" s="570" t="str">
        <f t="shared" ref="D90:K90" si="30">IF($C62=$B$33,D$6,IF(D$6-RIGHT($C62,1)&lt;$D$6,"Pre-RIIO",D$6-RIGHT($C62,1)))</f>
        <v>Pre-RIIO</v>
      </c>
      <c r="E90" s="571" t="str">
        <f t="shared" si="30"/>
        <v>Pre-RIIO</v>
      </c>
      <c r="F90" s="571">
        <f t="shared" si="30"/>
        <v>2016</v>
      </c>
      <c r="G90" s="571">
        <f t="shared" si="30"/>
        <v>2017</v>
      </c>
      <c r="H90" s="571">
        <f t="shared" si="30"/>
        <v>2018</v>
      </c>
      <c r="I90" s="571">
        <f t="shared" si="30"/>
        <v>2019</v>
      </c>
      <c r="J90" s="571">
        <f t="shared" si="30"/>
        <v>2020</v>
      </c>
      <c r="K90" s="572">
        <f t="shared" si="30"/>
        <v>2021</v>
      </c>
    </row>
    <row r="91" spans="1:12" s="2" customFormat="1">
      <c r="A91" s="3" t="str">
        <f>A14</f>
        <v>d</v>
      </c>
      <c r="B91" s="134" t="str">
        <f>B14&amp;""</f>
        <v>Time to Connect Incentive</v>
      </c>
      <c r="C91" s="144" t="s">
        <v>128</v>
      </c>
      <c r="D91" s="665">
        <v>0</v>
      </c>
      <c r="E91" s="666">
        <v>0</v>
      </c>
      <c r="F91" s="666">
        <v>0.48467078491876997</v>
      </c>
      <c r="G91" s="666">
        <v>0.72333570000000003</v>
      </c>
      <c r="H91" s="666">
        <f>+F14*Data!E$34</f>
        <v>0.83357206580157361</v>
      </c>
      <c r="I91" s="666">
        <f>+G14*Data!F$34</f>
        <v>0.91010560130785745</v>
      </c>
      <c r="J91" s="666">
        <f>+H14*Data!G$34</f>
        <v>0.74846153702616181</v>
      </c>
      <c r="K91" s="667">
        <f>+I14*Data!H$34</f>
        <v>0.76923134467863774</v>
      </c>
    </row>
    <row r="92" spans="1:12" s="2" customFormat="1">
      <c r="A92" s="3"/>
      <c r="B92" s="134"/>
      <c r="C92" s="144"/>
      <c r="D92" s="144"/>
      <c r="E92" s="144"/>
      <c r="F92" s="144"/>
      <c r="G92" s="144"/>
      <c r="H92" s="144"/>
      <c r="I92" s="144"/>
      <c r="J92" s="144"/>
      <c r="K92" s="144"/>
      <c r="L92" s="144"/>
    </row>
    <row r="93" spans="1:12" s="2" customFormat="1">
      <c r="A93" s="3"/>
      <c r="B93" s="134"/>
      <c r="C93" s="567" t="s">
        <v>400</v>
      </c>
      <c r="D93" s="570" t="str">
        <f>IF($C66=$B$33,D$6,IF(D$6-RIGHT($C66,1)&lt;$D$6,"Pre-RIIO",D$6-RIGHT($C66,1)))</f>
        <v>Pre-RIIO</v>
      </c>
      <c r="E93" s="571">
        <f t="shared" ref="E93:K93" si="31">IF($C66=$B$33,E$6,IF(E$6-RIGHT($C66,1)&lt;$D$6,"Pre-RIIO",E$6-RIGHT($C66,1)))</f>
        <v>2016</v>
      </c>
      <c r="F93" s="571">
        <f t="shared" si="31"/>
        <v>2017</v>
      </c>
      <c r="G93" s="571">
        <f t="shared" si="31"/>
        <v>2018</v>
      </c>
      <c r="H93" s="571">
        <f t="shared" si="31"/>
        <v>2019</v>
      </c>
      <c r="I93" s="571">
        <f t="shared" si="31"/>
        <v>2020</v>
      </c>
      <c r="J93" s="571">
        <f t="shared" si="31"/>
        <v>2021</v>
      </c>
      <c r="K93" s="572">
        <f t="shared" si="31"/>
        <v>2022</v>
      </c>
    </row>
    <row r="94" spans="1:12" s="2" customFormat="1">
      <c r="A94" s="3" t="str">
        <f>A15</f>
        <v>e</v>
      </c>
      <c r="B94" s="134" t="str">
        <f>B15&amp;""</f>
        <v>Losses discretionary reward scheme</v>
      </c>
      <c r="C94" s="144" t="s">
        <v>128</v>
      </c>
      <c r="D94" s="665">
        <v>0</v>
      </c>
      <c r="E94" s="666">
        <v>0</v>
      </c>
      <c r="F94" s="666">
        <v>4.4839999999999998E-2</v>
      </c>
      <c r="G94" s="666">
        <v>0</v>
      </c>
      <c r="H94" s="666">
        <f>+G15*Data!F$34</f>
        <v>0</v>
      </c>
      <c r="I94" s="666">
        <f>+H15*Data!G$34</f>
        <v>0</v>
      </c>
      <c r="J94" s="666">
        <f>+I15*Data!H$34</f>
        <v>2.4425299206804946E-2</v>
      </c>
      <c r="K94" s="667">
        <f>+J15*Data!I$34</f>
        <v>0</v>
      </c>
    </row>
    <row r="95" spans="1:12" s="2" customFormat="1">
      <c r="A95" s="3"/>
      <c r="B95" s="134"/>
      <c r="C95" s="144"/>
      <c r="D95" s="144"/>
      <c r="E95" s="144"/>
      <c r="F95" s="144"/>
      <c r="G95" s="144"/>
      <c r="H95" s="144"/>
      <c r="I95" s="144"/>
      <c r="J95" s="144"/>
      <c r="K95" s="144"/>
      <c r="L95" s="144"/>
    </row>
    <row r="96" spans="1:12" s="2" customFormat="1">
      <c r="A96" s="3"/>
      <c r="B96" s="134"/>
      <c r="C96" s="567" t="s">
        <v>400</v>
      </c>
      <c r="D96" s="570" t="str">
        <f>IF($C70=$B$33,D$6,IF(D$6-RIGHT($C70,1)&lt;$D$6,"Pre-RIIO",D$6-RIGHT($C70,1)))</f>
        <v>Pre-RIIO</v>
      </c>
      <c r="E96" s="570">
        <f t="shared" ref="E96:K96" si="32">IF($C70=$B$33,E$6,IF(E$6-RIGHT($C70,1)&lt;$D$6,"Pre-RIIO",E$6-RIGHT($C70,1)))</f>
        <v>2016</v>
      </c>
      <c r="F96" s="570">
        <f t="shared" si="32"/>
        <v>2017</v>
      </c>
      <c r="G96" s="570">
        <f t="shared" si="32"/>
        <v>2018</v>
      </c>
      <c r="H96" s="570">
        <f t="shared" si="32"/>
        <v>2019</v>
      </c>
      <c r="I96" s="570">
        <f t="shared" si="32"/>
        <v>2020</v>
      </c>
      <c r="J96" s="570">
        <f t="shared" si="32"/>
        <v>2021</v>
      </c>
      <c r="K96" s="570">
        <f t="shared" si="32"/>
        <v>2022</v>
      </c>
    </row>
    <row r="97" spans="1:13" s="2" customFormat="1">
      <c r="A97" s="3" t="str">
        <f>A16</f>
        <v>f</v>
      </c>
      <c r="B97" s="134" t="str">
        <f>B16&amp;""</f>
        <v/>
      </c>
      <c r="C97" s="144" t="s">
        <v>128</v>
      </c>
      <c r="D97" s="665"/>
      <c r="E97" s="666"/>
      <c r="F97" s="666"/>
      <c r="G97" s="666"/>
      <c r="H97" s="644"/>
      <c r="I97" s="644"/>
      <c r="J97" s="644"/>
      <c r="K97" s="644"/>
    </row>
    <row r="98" spans="1:13" s="2" customFormat="1">
      <c r="A98" s="3"/>
      <c r="B98" s="134"/>
      <c r="C98" s="144"/>
      <c r="D98" s="144"/>
      <c r="E98" s="144"/>
      <c r="F98" s="144"/>
      <c r="G98" s="144"/>
      <c r="H98" s="144"/>
      <c r="I98" s="144"/>
      <c r="J98" s="144"/>
      <c r="K98" s="144"/>
      <c r="L98" s="144"/>
    </row>
    <row r="99" spans="1:13" s="2" customFormat="1">
      <c r="A99" s="3"/>
      <c r="B99" s="134"/>
      <c r="C99" s="567" t="s">
        <v>400</v>
      </c>
      <c r="D99" s="570" t="str">
        <f>IF($C74=$B$33,D$6,IF(D$6-RIGHT($C74,1)&lt;$D$6,"Pre-RIIO",D$6-RIGHT($C74,1)))</f>
        <v>Pre-RIIO</v>
      </c>
      <c r="E99" s="570">
        <f t="shared" ref="E99:K99" si="33">IF($C74=$B$33,E$6,IF(E$6-RIGHT($C74,1)&lt;$D$6,"Pre-RIIO",E$6-RIGHT($C74,1)))</f>
        <v>2016</v>
      </c>
      <c r="F99" s="570">
        <f t="shared" si="33"/>
        <v>2017</v>
      </c>
      <c r="G99" s="570">
        <f t="shared" si="33"/>
        <v>2018</v>
      </c>
      <c r="H99" s="570">
        <f t="shared" si="33"/>
        <v>2019</v>
      </c>
      <c r="I99" s="570">
        <f t="shared" si="33"/>
        <v>2020</v>
      </c>
      <c r="J99" s="570">
        <f t="shared" si="33"/>
        <v>2021</v>
      </c>
      <c r="K99" s="570">
        <f t="shared" si="33"/>
        <v>2022</v>
      </c>
    </row>
    <row r="100" spans="1:13" s="2" customFormat="1">
      <c r="A100" s="3" t="str">
        <f>A17</f>
        <v>g</v>
      </c>
      <c r="B100" s="134" t="str">
        <f>B17&amp;""</f>
        <v/>
      </c>
      <c r="C100" s="144" t="s">
        <v>128</v>
      </c>
      <c r="D100" s="665"/>
      <c r="E100" s="666"/>
      <c r="F100" s="666"/>
      <c r="G100" s="666"/>
      <c r="H100" s="644"/>
      <c r="I100" s="644"/>
      <c r="J100" s="644"/>
      <c r="K100" s="644"/>
    </row>
    <row r="101" spans="1:13" s="2" customFormat="1">
      <c r="A101" s="3"/>
      <c r="B101" s="134"/>
      <c r="C101" s="144"/>
      <c r="D101" s="144"/>
      <c r="E101" s="144"/>
      <c r="F101" s="144"/>
      <c r="G101" s="144"/>
      <c r="H101" s="144"/>
      <c r="I101" s="144"/>
      <c r="J101" s="144"/>
      <c r="K101" s="144"/>
      <c r="L101" s="144"/>
      <c r="M101" s="144"/>
    </row>
    <row r="102" spans="1:13" s="2" customFormat="1">
      <c r="B102" s="12" t="s">
        <v>158</v>
      </c>
      <c r="C102" s="165" t="s">
        <v>128</v>
      </c>
      <c r="D102" s="637">
        <f>SUM(D82,D85,D88,D91,D94,D97,D100)</f>
        <v>6.3768655592999988</v>
      </c>
      <c r="E102" s="637">
        <f t="shared" ref="E102:K102" si="34">SUM(E82,E85,E88,E91,E94,E97,E100)</f>
        <v>6.3824136960794364</v>
      </c>
      <c r="F102" s="637">
        <f t="shared" si="34"/>
        <v>8.489102325617857</v>
      </c>
      <c r="G102" s="637">
        <f t="shared" si="34"/>
        <v>9.2338242356814355</v>
      </c>
      <c r="H102" s="638">
        <f>SUM(H82,H85,H88,H91,H94,H97,H100)</f>
        <v>7.1222293679193873</v>
      </c>
      <c r="I102" s="638">
        <f t="shared" si="34"/>
        <v>10.346397619146224</v>
      </c>
      <c r="J102" s="638">
        <f t="shared" si="34"/>
        <v>9.018400244699718</v>
      </c>
      <c r="K102" s="638">
        <f t="shared" si="34"/>
        <v>9.072985702492403</v>
      </c>
    </row>
    <row r="103" spans="1:13" s="2" customFormat="1">
      <c r="C103" s="144"/>
    </row>
    <row r="104" spans="1:13" s="2" customFormat="1">
      <c r="A104" s="36"/>
      <c r="B104" s="12" t="s">
        <v>375</v>
      </c>
      <c r="C104" s="164"/>
      <c r="D104" s="164"/>
      <c r="E104" s="164"/>
      <c r="F104" s="164"/>
      <c r="G104" s="164"/>
      <c r="H104" s="164"/>
      <c r="I104" s="164"/>
      <c r="J104" s="164"/>
      <c r="K104" s="164"/>
      <c r="L104" s="164"/>
      <c r="M104" s="164"/>
    </row>
    <row r="105" spans="1:13" s="2" customFormat="1">
      <c r="A105" s="283" t="str">
        <f>A82</f>
        <v>a</v>
      </c>
      <c r="B105" s="985"/>
      <c r="C105" s="985"/>
      <c r="D105" s="985"/>
      <c r="E105" s="985"/>
      <c r="F105" s="985"/>
      <c r="G105" s="985"/>
      <c r="H105" s="985"/>
      <c r="I105" s="985"/>
      <c r="J105" s="985"/>
      <c r="K105" s="985"/>
      <c r="L105" s="985"/>
      <c r="M105" s="985"/>
    </row>
    <row r="106" spans="1:13" s="2" customFormat="1">
      <c r="A106" s="283" t="str">
        <f>A85</f>
        <v>b</v>
      </c>
      <c r="B106" s="985" t="str">
        <f>+B22</f>
        <v>2019 performance has yet to be finalised by Ofgem and is therefore subject to change.</v>
      </c>
      <c r="C106" s="985"/>
      <c r="D106" s="985"/>
      <c r="E106" s="985"/>
      <c r="F106" s="985"/>
      <c r="G106" s="985"/>
      <c r="H106" s="985"/>
      <c r="I106" s="985"/>
      <c r="J106" s="985"/>
      <c r="K106" s="985"/>
      <c r="L106" s="985"/>
      <c r="M106" s="985"/>
    </row>
    <row r="107" spans="1:13" s="2" customFormat="1">
      <c r="A107" s="283" t="str">
        <f>A88</f>
        <v>c</v>
      </c>
      <c r="B107" s="985"/>
      <c r="C107" s="985"/>
      <c r="D107" s="985"/>
      <c r="E107" s="985"/>
      <c r="F107" s="985"/>
      <c r="G107" s="985"/>
      <c r="H107" s="985"/>
      <c r="I107" s="985"/>
      <c r="J107" s="985"/>
      <c r="K107" s="985"/>
      <c r="L107" s="985"/>
      <c r="M107" s="985"/>
    </row>
    <row r="108" spans="1:13" s="2" customFormat="1" ht="30.75" customHeight="1">
      <c r="A108" s="283" t="str">
        <f>A91</f>
        <v>d</v>
      </c>
      <c r="B108" s="985" t="str">
        <f>+B24</f>
        <v>At the time of submission Electricity Distribution targets had not been finalised/confirmed by Ofgem for the final four years of ED1 (2020 through to and 2023). Targets for forecast years reflect those noted within Ofgems TTC consultation document. https://www.ofgem.gov.uk/publications-and-updates/electricity-time-connect-incentive-targets-consultation-regulatory-years-201920-202021-202122-and-202223</v>
      </c>
      <c r="C108" s="985"/>
      <c r="D108" s="985"/>
      <c r="E108" s="985"/>
      <c r="F108" s="985"/>
      <c r="G108" s="985"/>
      <c r="H108" s="985"/>
      <c r="I108" s="985"/>
      <c r="J108" s="985"/>
      <c r="K108" s="985"/>
      <c r="L108" s="985"/>
      <c r="M108" s="985"/>
    </row>
    <row r="109" spans="1:13" s="2" customFormat="1">
      <c r="A109" s="283" t="str">
        <f>A94</f>
        <v>e</v>
      </c>
      <c r="B109" s="985"/>
      <c r="C109" s="985"/>
      <c r="D109" s="985"/>
      <c r="E109" s="985"/>
      <c r="F109" s="985"/>
      <c r="G109" s="985"/>
      <c r="H109" s="985"/>
      <c r="I109" s="985"/>
      <c r="J109" s="985"/>
      <c r="K109" s="985"/>
      <c r="L109" s="985"/>
      <c r="M109" s="985"/>
    </row>
    <row r="110" spans="1:13" s="2" customFormat="1">
      <c r="A110" s="283" t="str">
        <f>A97</f>
        <v>f</v>
      </c>
      <c r="B110" s="984"/>
      <c r="C110" s="984"/>
      <c r="D110" s="984"/>
      <c r="E110" s="984"/>
      <c r="F110" s="984"/>
      <c r="G110" s="984"/>
      <c r="H110" s="984"/>
      <c r="I110" s="984"/>
      <c r="J110" s="984"/>
      <c r="K110" s="984"/>
      <c r="L110" s="984"/>
      <c r="M110" s="984"/>
    </row>
    <row r="111" spans="1:13" s="2" customFormat="1">
      <c r="A111" s="283" t="str">
        <f>A100</f>
        <v>g</v>
      </c>
      <c r="B111" s="984"/>
      <c r="C111" s="984"/>
      <c r="D111" s="984"/>
      <c r="E111" s="984"/>
      <c r="F111" s="984"/>
      <c r="G111" s="984"/>
      <c r="H111" s="984"/>
      <c r="I111" s="984"/>
      <c r="J111" s="984"/>
      <c r="K111" s="984"/>
      <c r="L111" s="984"/>
      <c r="M111" s="984"/>
    </row>
    <row r="112" spans="1:13" s="559" customFormat="1">
      <c r="A112" s="558"/>
      <c r="C112" s="560"/>
      <c r="D112" s="561"/>
      <c r="E112" s="561"/>
      <c r="F112" s="561"/>
      <c r="G112" s="561"/>
      <c r="H112" s="561"/>
      <c r="I112" s="561"/>
      <c r="J112" s="561"/>
      <c r="K112" s="561"/>
      <c r="L112" s="562"/>
      <c r="M112" s="562"/>
    </row>
    <row r="113" spans="1:14" s="559" customFormat="1">
      <c r="A113" s="558"/>
      <c r="C113" s="560"/>
      <c r="D113" s="560"/>
      <c r="E113" s="560"/>
      <c r="F113" s="560"/>
      <c r="G113" s="560"/>
      <c r="H113" s="560"/>
      <c r="I113" s="560"/>
      <c r="J113" s="560"/>
      <c r="K113" s="560"/>
      <c r="L113" s="560"/>
      <c r="M113" s="560"/>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2" priority="31">
      <formula>AND(D$5="Actuals",E$5="Forecast")</formula>
    </cfRule>
  </conditionalFormatting>
  <conditionalFormatting sqref="D5:K5">
    <cfRule type="expression" dxfId="41"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69" fitToHeight="2" orientation="landscape" r:id="rId1"/>
  <rowBreaks count="1" manualBreakCount="1">
    <brk id="76"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3.xml><?xml version="1.0" encoding="utf-8"?>
<?mso-contentType ?>
<SharedContentType xmlns="Microsoft.SharePoint.Taxonomy.ContentTypeSync" SourceId="ca9306fc-8436-45f0-b931-e34f519be3a3" ContentTypeId="0x010100BEF857C979C03448B587B28C0D359605" PreviousValue="true"/>
</file>

<file path=customXml/item4.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CC285FE4-1466-4BF7-8FA9-67F63A3D57B8}">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631298fc-6a88-4548-b7d9-3b164918c4a3"/>
    <ds:schemaRef ds:uri="http://schemas.microsoft.com/sharepoint/v3/fields"/>
  </ds:schemaRefs>
</ds:datastoreItem>
</file>

<file path=customXml/itemProps3.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4.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Sheet1</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Armstrong, Scott R.</cp:lastModifiedBy>
  <cp:lastPrinted>2018-10-02T10:25:02Z</cp:lastPrinted>
  <dcterms:created xsi:type="dcterms:W3CDTF">2018-06-13T08:32:09Z</dcterms:created>
  <dcterms:modified xsi:type="dcterms:W3CDTF">2019-07-29T09:12:07Z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SV_QUERY_LIST_4F35BF76-6C0D-4D9B-82B2-816C12CF3733">
    <vt:lpwstr>empty_477D106A-C0D6-4607-AEBD-E2C9D60EA279</vt:lpwstr>
  </property>
  <property fmtid="{D5CDD505-2E9C-101B-9397-08002B2CF9AE}" pid="22" name="SV_HIDDEN_GRID_QUERY_LIST_4F35BF76-6C0D-4D9B-82B2-816C12CF3733">
    <vt:lpwstr>empty_477D106A-C0D6-4607-AEBD-E2C9D60EA279</vt:lpwstr>
  </property>
</Properties>
</file>