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hvdcs01\rrp\ED1 RRPs\RRP 2021 22\RFPR\FOR WEBSITE\"/>
    </mc:Choice>
  </mc:AlternateContent>
  <bookViews>
    <workbookView xWindow="0" yWindow="0" windowWidth="28800" windowHeight="12300"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RoRE'!$A$1:$O$47</definedName>
    <definedName name="_xlnm.Print_Area" localSheetId="13">'R10 - Tax'!$A$1:$L$46</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2" i="5" l="1"/>
  <c r="J102" i="5"/>
  <c r="J15" i="4"/>
  <c r="J26" i="4"/>
  <c r="J28" i="4"/>
  <c r="J45" i="4"/>
  <c r="E19" i="29"/>
  <c r="E35" i="29"/>
  <c r="E38" i="29"/>
  <c r="F19" i="29"/>
  <c r="F35" i="29"/>
  <c r="F38" i="29"/>
  <c r="G19" i="29"/>
  <c r="G35" i="29"/>
  <c r="G38" i="29"/>
  <c r="H19" i="29"/>
  <c r="H35" i="29"/>
  <c r="H38" i="29"/>
  <c r="I19" i="29"/>
  <c r="I35" i="29"/>
  <c r="I38" i="29"/>
  <c r="J22" i="29"/>
  <c r="J35" i="29"/>
  <c r="J38" i="29"/>
  <c r="K82" i="5"/>
  <c r="K91" i="5"/>
  <c r="K102" i="5"/>
  <c r="K22" i="29"/>
  <c r="K35" i="29"/>
  <c r="K15" i="4"/>
  <c r="K38" i="29"/>
  <c r="D21" i="10"/>
  <c r="D24" i="10"/>
  <c r="D18" i="10"/>
  <c r="D29" i="10"/>
  <c r="E16" i="10"/>
  <c r="E18" i="10"/>
  <c r="E21" i="10"/>
  <c r="E24" i="10"/>
  <c r="E29" i="10"/>
  <c r="E40" i="10"/>
  <c r="E43" i="10"/>
  <c r="E47" i="10"/>
  <c r="E45" i="10"/>
  <c r="E49" i="10"/>
  <c r="E86" i="29"/>
  <c r="D38" i="10"/>
  <c r="E38" i="10"/>
  <c r="E88" i="29"/>
  <c r="E51" i="29"/>
  <c r="F16" i="10"/>
  <c r="F18" i="10"/>
  <c r="F21" i="10"/>
  <c r="F24" i="10"/>
  <c r="F29" i="10"/>
  <c r="F40" i="10"/>
  <c r="F43" i="10"/>
  <c r="F47" i="10"/>
  <c r="F45" i="10"/>
  <c r="F49" i="10"/>
  <c r="F86" i="29"/>
  <c r="F38" i="10"/>
  <c r="F88" i="29"/>
  <c r="F51" i="29"/>
  <c r="G16" i="10"/>
  <c r="G18" i="10"/>
  <c r="G21" i="10"/>
  <c r="G24" i="10"/>
  <c r="G29" i="10"/>
  <c r="G40" i="10"/>
  <c r="G43" i="10"/>
  <c r="G47" i="10"/>
  <c r="G45" i="10"/>
  <c r="G49" i="10"/>
  <c r="G86" i="29"/>
  <c r="G38" i="10"/>
  <c r="G88" i="29"/>
  <c r="G51" i="29"/>
  <c r="H16" i="10"/>
  <c r="H18" i="10"/>
  <c r="H21" i="10"/>
  <c r="H24" i="10"/>
  <c r="H29" i="10"/>
  <c r="H40" i="10"/>
  <c r="H43" i="10"/>
  <c r="H47" i="10"/>
  <c r="H45" i="10"/>
  <c r="H49" i="10"/>
  <c r="H86" i="29"/>
  <c r="H38" i="10"/>
  <c r="H88" i="29"/>
  <c r="H51" i="29"/>
  <c r="I16" i="10"/>
  <c r="I18" i="10"/>
  <c r="I21" i="10"/>
  <c r="I24" i="10"/>
  <c r="I29" i="10"/>
  <c r="I40" i="10"/>
  <c r="I43" i="10"/>
  <c r="I47" i="10"/>
  <c r="I45" i="10"/>
  <c r="I49" i="10"/>
  <c r="I86" i="29"/>
  <c r="I38" i="10"/>
  <c r="I88" i="29"/>
  <c r="I51" i="29"/>
  <c r="J16" i="10"/>
  <c r="J18" i="10"/>
  <c r="J21" i="10"/>
  <c r="J24" i="10"/>
  <c r="J29" i="10"/>
  <c r="J40" i="10"/>
  <c r="J43" i="10"/>
  <c r="J47" i="10"/>
  <c r="J45" i="10"/>
  <c r="J49" i="10"/>
  <c r="J86" i="29"/>
  <c r="J38" i="10"/>
  <c r="J88" i="29"/>
  <c r="J51" i="29"/>
  <c r="K16" i="10"/>
  <c r="K18" i="10"/>
  <c r="K21" i="10"/>
  <c r="K24" i="10"/>
  <c r="K29" i="10"/>
  <c r="T86" i="28"/>
  <c r="K40" i="10"/>
  <c r="K43" i="10"/>
  <c r="K47" i="10"/>
  <c r="K45" i="10"/>
  <c r="K49" i="10"/>
  <c r="K86" i="29"/>
  <c r="K38" i="10"/>
  <c r="K88" i="29"/>
  <c r="K51" i="29"/>
  <c r="E89" i="29"/>
  <c r="F89" i="29"/>
  <c r="G89" i="29"/>
  <c r="H89" i="29"/>
  <c r="I89" i="29"/>
  <c r="J89" i="29"/>
  <c r="K89" i="29"/>
  <c r="E50" i="29"/>
  <c r="E52" i="29"/>
  <c r="E54" i="29"/>
  <c r="E69" i="29"/>
  <c r="E82" i="29"/>
  <c r="E61" i="1"/>
  <c r="F50" i="29"/>
  <c r="F52" i="29"/>
  <c r="F54" i="29"/>
  <c r="F69" i="29"/>
  <c r="F82" i="29"/>
  <c r="F61" i="1"/>
  <c r="G50" i="29"/>
  <c r="G52" i="29"/>
  <c r="G54" i="29"/>
  <c r="G69" i="29"/>
  <c r="G82" i="29"/>
  <c r="G61" i="1"/>
  <c r="H50" i="29"/>
  <c r="H52" i="29"/>
  <c r="H54" i="29"/>
  <c r="H69" i="29"/>
  <c r="H82" i="29"/>
  <c r="H61" i="1"/>
  <c r="I50" i="29"/>
  <c r="I52" i="29"/>
  <c r="I54" i="29"/>
  <c r="I69" i="29"/>
  <c r="I82" i="29"/>
  <c r="I61" i="1"/>
  <c r="J50" i="29"/>
  <c r="J52" i="29"/>
  <c r="J54" i="29"/>
  <c r="J69" i="29"/>
  <c r="J82" i="29"/>
  <c r="J61" i="1"/>
  <c r="K50" i="29"/>
  <c r="K52" i="29"/>
  <c r="K54" i="29"/>
  <c r="K69" i="29"/>
  <c r="K82" i="29"/>
  <c r="K61" i="1"/>
  <c r="D40" i="10"/>
  <c r="D43" i="10"/>
  <c r="D47" i="10"/>
  <c r="D45" i="10"/>
  <c r="D49" i="10"/>
  <c r="D86" i="29"/>
  <c r="D88" i="29"/>
  <c r="D51" i="29"/>
  <c r="D19" i="29"/>
  <c r="D35" i="29"/>
  <c r="D38" i="29"/>
  <c r="D89" i="29"/>
  <c r="D50" i="29"/>
  <c r="D52" i="29"/>
  <c r="D54" i="29"/>
  <c r="D69" i="29"/>
  <c r="D82" i="29"/>
  <c r="D61" i="1"/>
  <c r="E46" i="10"/>
  <c r="E65" i="1"/>
  <c r="F46" i="10"/>
  <c r="F65" i="1"/>
  <c r="G46" i="10"/>
  <c r="G65" i="1"/>
  <c r="H46" i="10"/>
  <c r="H65" i="1"/>
  <c r="I46" i="10"/>
  <c r="I65" i="1"/>
  <c r="J46" i="10"/>
  <c r="J65" i="1"/>
  <c r="K46" i="10"/>
  <c r="K65" i="1"/>
  <c r="D46" i="10"/>
  <c r="D65" i="1"/>
  <c r="E59" i="1"/>
  <c r="E87" i="29"/>
  <c r="E90" i="29"/>
  <c r="E60" i="1"/>
  <c r="F59" i="1"/>
  <c r="F87" i="29"/>
  <c r="F90" i="29"/>
  <c r="F60" i="1"/>
  <c r="G59" i="1"/>
  <c r="G87" i="29"/>
  <c r="G90" i="29"/>
  <c r="G60" i="1"/>
  <c r="H59" i="1"/>
  <c r="H87" i="29"/>
  <c r="H90" i="29"/>
  <c r="H60" i="1"/>
  <c r="I59" i="1"/>
  <c r="I87" i="29"/>
  <c r="I90" i="29"/>
  <c r="I60" i="1"/>
  <c r="J59" i="1"/>
  <c r="J87" i="29"/>
  <c r="J90" i="29"/>
  <c r="J60" i="1"/>
  <c r="K59" i="1"/>
  <c r="K87" i="29"/>
  <c r="K90" i="29"/>
  <c r="K60" i="1"/>
  <c r="D59" i="1"/>
  <c r="D87" i="29"/>
  <c r="D90" i="29"/>
  <c r="D60" i="1"/>
  <c r="D14" i="2"/>
  <c r="D19" i="2"/>
  <c r="D28" i="2"/>
  <c r="D31" i="2"/>
  <c r="D35" i="2"/>
  <c r="D49" i="1"/>
  <c r="E14" i="2"/>
  <c r="E19" i="2"/>
  <c r="E28" i="2"/>
  <c r="E31" i="2"/>
  <c r="E35" i="2"/>
  <c r="E49" i="1"/>
  <c r="F14" i="2"/>
  <c r="F19" i="2"/>
  <c r="F28" i="2"/>
  <c r="F31" i="2"/>
  <c r="F35" i="2"/>
  <c r="F49" i="1"/>
  <c r="G14" i="2"/>
  <c r="G19" i="2"/>
  <c r="G28" i="2"/>
  <c r="G31" i="2"/>
  <c r="G35" i="2"/>
  <c r="G49" i="1"/>
  <c r="H14" i="2"/>
  <c r="H19" i="2"/>
  <c r="H28" i="2"/>
  <c r="H31" i="2"/>
  <c r="H35" i="2"/>
  <c r="H49" i="1"/>
  <c r="I14" i="2"/>
  <c r="I19" i="2"/>
  <c r="I28" i="2"/>
  <c r="I31" i="2"/>
  <c r="I35" i="2"/>
  <c r="I49" i="1"/>
  <c r="J14" i="2"/>
  <c r="J19" i="2"/>
  <c r="J28" i="2"/>
  <c r="J31" i="2"/>
  <c r="J35" i="2"/>
  <c r="J49" i="1"/>
  <c r="M11" i="1"/>
  <c r="M12" i="1"/>
  <c r="D49" i="5"/>
  <c r="D51" i="5"/>
  <c r="D39" i="5"/>
  <c r="D51" i="1"/>
  <c r="E49" i="5"/>
  <c r="E51" i="5"/>
  <c r="E39" i="5"/>
  <c r="E51" i="1"/>
  <c r="F49" i="5"/>
  <c r="F51" i="5"/>
  <c r="F39" i="5"/>
  <c r="F51" i="1"/>
  <c r="G49" i="5"/>
  <c r="G51" i="5"/>
  <c r="G39" i="5"/>
  <c r="G51" i="1"/>
  <c r="H49" i="5"/>
  <c r="H51" i="5"/>
  <c r="H39" i="5"/>
  <c r="H51" i="1"/>
  <c r="I49" i="5"/>
  <c r="I51" i="5"/>
  <c r="I39" i="5"/>
  <c r="I51" i="1"/>
  <c r="J49" i="5"/>
  <c r="J51" i="5"/>
  <c r="J39" i="5"/>
  <c r="J51" i="1"/>
  <c r="M13" i="1"/>
  <c r="D53" i="5"/>
  <c r="D55" i="5"/>
  <c r="D40" i="5"/>
  <c r="D52" i="1"/>
  <c r="E53" i="5"/>
  <c r="E55" i="5"/>
  <c r="E40" i="5"/>
  <c r="E52" i="1"/>
  <c r="F53" i="5"/>
  <c r="F55" i="5"/>
  <c r="F40" i="5"/>
  <c r="F52" i="1"/>
  <c r="G53" i="5"/>
  <c r="G55" i="5"/>
  <c r="G40" i="5"/>
  <c r="G52" i="1"/>
  <c r="H53" i="5"/>
  <c r="H55" i="5"/>
  <c r="H40" i="5"/>
  <c r="H52" i="1"/>
  <c r="I53" i="5"/>
  <c r="I55" i="5"/>
  <c r="I40" i="5"/>
  <c r="I52" i="1"/>
  <c r="J53" i="5"/>
  <c r="J55" i="5"/>
  <c r="J40" i="5"/>
  <c r="J52" i="1"/>
  <c r="M14" i="1"/>
  <c r="D57" i="5"/>
  <c r="D59" i="5"/>
  <c r="D41" i="5"/>
  <c r="D53" i="1"/>
  <c r="E57" i="5"/>
  <c r="E59" i="5"/>
  <c r="E41" i="5"/>
  <c r="E53" i="1"/>
  <c r="F57" i="5"/>
  <c r="F59" i="5"/>
  <c r="F41" i="5"/>
  <c r="F53" i="1"/>
  <c r="G57" i="5"/>
  <c r="G59" i="5"/>
  <c r="G41" i="5"/>
  <c r="G53" i="1"/>
  <c r="H57" i="5"/>
  <c r="H59" i="5"/>
  <c r="H41" i="5"/>
  <c r="H53" i="1"/>
  <c r="I57" i="5"/>
  <c r="I59" i="5"/>
  <c r="I41" i="5"/>
  <c r="I53" i="1"/>
  <c r="J57" i="5"/>
  <c r="J59" i="5"/>
  <c r="J41" i="5"/>
  <c r="J53" i="1"/>
  <c r="M15" i="1"/>
  <c r="D61" i="5"/>
  <c r="D63" i="5"/>
  <c r="D42" i="5"/>
  <c r="D54" i="1"/>
  <c r="E61" i="5"/>
  <c r="E63" i="5"/>
  <c r="E42" i="5"/>
  <c r="E54" i="1"/>
  <c r="F61" i="5"/>
  <c r="F63" i="5"/>
  <c r="F42" i="5"/>
  <c r="F54" i="1"/>
  <c r="G61" i="5"/>
  <c r="G63" i="5"/>
  <c r="G42" i="5"/>
  <c r="G54" i="1"/>
  <c r="H61" i="5"/>
  <c r="H63" i="5"/>
  <c r="H42" i="5"/>
  <c r="H54" i="1"/>
  <c r="I61" i="5"/>
  <c r="I63" i="5"/>
  <c r="I42" i="5"/>
  <c r="I54" i="1"/>
  <c r="J61" i="5"/>
  <c r="J63" i="5"/>
  <c r="J42" i="5"/>
  <c r="J54" i="1"/>
  <c r="M16" i="1"/>
  <c r="D65" i="5"/>
  <c r="D67" i="5"/>
  <c r="D43" i="5"/>
  <c r="D55" i="1"/>
  <c r="E65" i="5"/>
  <c r="E67" i="5"/>
  <c r="E43" i="5"/>
  <c r="E55" i="1"/>
  <c r="F65" i="5"/>
  <c r="F67" i="5"/>
  <c r="F43" i="5"/>
  <c r="F55" i="1"/>
  <c r="G65" i="5"/>
  <c r="G67" i="5"/>
  <c r="G43" i="5"/>
  <c r="G55" i="1"/>
  <c r="H65" i="5"/>
  <c r="H67" i="5"/>
  <c r="H43" i="5"/>
  <c r="H55" i="1"/>
  <c r="I65" i="5"/>
  <c r="I67" i="5"/>
  <c r="I43" i="5"/>
  <c r="I55" i="1"/>
  <c r="J65" i="5"/>
  <c r="J67" i="5"/>
  <c r="J43" i="5"/>
  <c r="J55" i="1"/>
  <c r="M17" i="1"/>
  <c r="J28" i="3"/>
  <c r="J56" i="1"/>
  <c r="D28" i="3"/>
  <c r="D56" i="1"/>
  <c r="E28" i="3"/>
  <c r="E56" i="1"/>
  <c r="F28" i="3"/>
  <c r="F56" i="1"/>
  <c r="G28" i="3"/>
  <c r="G56" i="1"/>
  <c r="H28" i="3"/>
  <c r="H56" i="1"/>
  <c r="I28" i="3"/>
  <c r="I56" i="1"/>
  <c r="M18" i="1"/>
  <c r="D14" i="20"/>
  <c r="D16" i="20"/>
  <c r="D21" i="20"/>
  <c r="D8" i="20"/>
  <c r="D57" i="1"/>
  <c r="E14" i="20"/>
  <c r="E16" i="20"/>
  <c r="E21" i="20"/>
  <c r="E8" i="20"/>
  <c r="E57" i="1"/>
  <c r="F14" i="20"/>
  <c r="F16" i="20"/>
  <c r="F21" i="20"/>
  <c r="F8" i="20"/>
  <c r="F57" i="1"/>
  <c r="G14" i="20"/>
  <c r="G16" i="20"/>
  <c r="G21" i="20"/>
  <c r="G8" i="20"/>
  <c r="G57" i="1"/>
  <c r="H14" i="20"/>
  <c r="H16" i="20"/>
  <c r="H21" i="20"/>
  <c r="H8" i="20"/>
  <c r="H57" i="1"/>
  <c r="I14" i="20"/>
  <c r="I16" i="20"/>
  <c r="I20" i="20"/>
  <c r="I21" i="20"/>
  <c r="I8" i="20"/>
  <c r="I57" i="1"/>
  <c r="M19" i="1"/>
  <c r="D50" i="10"/>
  <c r="D48" i="1"/>
  <c r="E50" i="10"/>
  <c r="E48" i="1"/>
  <c r="F50" i="10"/>
  <c r="F48" i="1"/>
  <c r="G50" i="10"/>
  <c r="G48" i="1"/>
  <c r="H50" i="10"/>
  <c r="H48" i="1"/>
  <c r="I50" i="10"/>
  <c r="I48" i="1"/>
  <c r="J50" i="10"/>
  <c r="J48" i="1"/>
  <c r="M10" i="1"/>
  <c r="M21" i="1"/>
  <c r="D102" i="5"/>
  <c r="D22" i="29"/>
  <c r="E102" i="5"/>
  <c r="E22" i="29"/>
  <c r="F102" i="5"/>
  <c r="F22" i="29"/>
  <c r="G102" i="5"/>
  <c r="G22" i="29"/>
  <c r="H102" i="5"/>
  <c r="H22" i="29"/>
  <c r="I102" i="5"/>
  <c r="I22" i="29"/>
  <c r="M22" i="1"/>
  <c r="K57" i="5"/>
  <c r="K59" i="5"/>
  <c r="K41" i="5"/>
  <c r="K53" i="1"/>
  <c r="K61" i="5"/>
  <c r="K63" i="5"/>
  <c r="K42" i="5"/>
  <c r="K54" i="1"/>
  <c r="N53" i="1"/>
  <c r="K65" i="5"/>
  <c r="K67" i="5"/>
  <c r="K43" i="5"/>
  <c r="K55" i="1"/>
  <c r="M53" i="1"/>
  <c r="M55" i="1"/>
  <c r="N55" i="1"/>
  <c r="K53" i="5"/>
  <c r="K55" i="5"/>
  <c r="K40" i="5"/>
  <c r="K52" i="1"/>
  <c r="K49" i="5"/>
  <c r="K51" i="5"/>
  <c r="K39" i="5"/>
  <c r="K51" i="1"/>
  <c r="M52" i="1"/>
  <c r="N52" i="1"/>
  <c r="K19" i="20"/>
  <c r="K20" i="20"/>
  <c r="K21" i="20"/>
  <c r="K8" i="20"/>
  <c r="K57" i="1"/>
  <c r="M57" i="1"/>
  <c r="N57" i="1"/>
  <c r="N54" i="1"/>
  <c r="M54" i="1"/>
  <c r="J18" i="5"/>
  <c r="M51" i="1"/>
  <c r="N51" i="1"/>
  <c r="J14" i="4"/>
  <c r="J12" i="3"/>
  <c r="J17" i="4"/>
  <c r="J17" i="3"/>
  <c r="J18" i="4"/>
  <c r="J18" i="2"/>
  <c r="K11" i="3"/>
  <c r="K28" i="3"/>
  <c r="K56" i="1"/>
  <c r="J91" i="2"/>
  <c r="J90" i="2"/>
  <c r="J92" i="2"/>
  <c r="N56" i="1"/>
  <c r="M56" i="1"/>
  <c r="K14" i="2"/>
  <c r="K19" i="2"/>
  <c r="K28" i="2"/>
  <c r="K31" i="2"/>
  <c r="K35" i="2"/>
  <c r="K49" i="1"/>
  <c r="M49" i="1"/>
  <c r="N49" i="1"/>
  <c r="D58" i="1"/>
  <c r="E58" i="1"/>
  <c r="F58" i="1"/>
  <c r="G58" i="1"/>
  <c r="H58" i="1"/>
  <c r="I58" i="1"/>
  <c r="J12" i="1"/>
  <c r="J11" i="1"/>
  <c r="J15" i="1"/>
  <c r="J19" i="1"/>
  <c r="J18" i="1"/>
  <c r="J14" i="1"/>
  <c r="J17" i="1"/>
  <c r="J10" i="1"/>
  <c r="M48" i="1"/>
  <c r="N15" i="1"/>
  <c r="N19" i="1"/>
  <c r="N12" i="1"/>
  <c r="N11" i="1"/>
  <c r="N14" i="1"/>
  <c r="N17" i="1"/>
  <c r="N18" i="1"/>
  <c r="K50" i="10"/>
  <c r="K48" i="1"/>
  <c r="N10" i="1"/>
  <c r="N48" i="1"/>
  <c r="K58" i="1"/>
  <c r="J16" i="1"/>
  <c r="N16" i="1"/>
  <c r="J13" i="1"/>
  <c r="J20" i="1"/>
  <c r="N13" i="1"/>
  <c r="N20" i="1"/>
  <c r="J58" i="1"/>
  <c r="M20" i="1"/>
  <c r="M50" i="1"/>
  <c r="M58" i="1"/>
  <c r="N58" i="1"/>
  <c r="D66" i="1"/>
  <c r="E66" i="1"/>
  <c r="F66" i="1"/>
  <c r="G66" i="1"/>
  <c r="H66" i="1"/>
  <c r="I66" i="1"/>
  <c r="J66" i="1"/>
  <c r="K66" i="1"/>
  <c r="N37" i="1"/>
  <c r="N32" i="1"/>
  <c r="N29" i="1"/>
  <c r="N34" i="1"/>
  <c r="N30" i="1"/>
  <c r="N33" i="1"/>
  <c r="N38" i="1"/>
  <c r="N36" i="1"/>
  <c r="N35" i="1"/>
  <c r="N31" i="1"/>
  <c r="N39" i="1"/>
  <c r="J21" i="1"/>
  <c r="M59" i="1"/>
  <c r="N21" i="1"/>
  <c r="N40" i="1"/>
  <c r="N59" i="1"/>
  <c r="D63" i="29"/>
  <c r="D71" i="29"/>
  <c r="G63" i="29"/>
  <c r="G71" i="29"/>
  <c r="H63" i="29"/>
  <c r="H71" i="29"/>
  <c r="J63" i="29"/>
  <c r="J71" i="29"/>
  <c r="K63" i="29"/>
  <c r="K71" i="29"/>
  <c r="F63" i="29"/>
  <c r="F71" i="29"/>
  <c r="I63" i="29"/>
  <c r="I71" i="29"/>
  <c r="J75" i="29"/>
  <c r="E63" i="29"/>
  <c r="E71" i="29"/>
  <c r="H75" i="29"/>
  <c r="K75" i="29"/>
  <c r="F75" i="29"/>
  <c r="D75" i="29"/>
  <c r="I75" i="29"/>
  <c r="G75" i="29"/>
  <c r="E75" i="29"/>
  <c r="J22" i="1"/>
  <c r="J23" i="1"/>
  <c r="M23" i="1"/>
  <c r="M61" i="1"/>
  <c r="N22" i="1"/>
  <c r="N61" i="1"/>
  <c r="N23" i="1"/>
  <c r="D42" i="29"/>
  <c r="D80" i="29"/>
  <c r="D84" i="29"/>
  <c r="D62" i="1"/>
  <c r="E42" i="29"/>
  <c r="E80" i="29"/>
  <c r="E84" i="29"/>
  <c r="E62" i="1"/>
  <c r="F42" i="29"/>
  <c r="F80" i="29"/>
  <c r="F84" i="29"/>
  <c r="F62" i="1"/>
  <c r="G42" i="29"/>
  <c r="G80" i="29"/>
  <c r="G84" i="29"/>
  <c r="G62" i="1"/>
  <c r="H42" i="29"/>
  <c r="H80" i="29"/>
  <c r="H84" i="29"/>
  <c r="H62" i="1"/>
  <c r="I42" i="29"/>
  <c r="I80" i="29"/>
  <c r="I84" i="29"/>
  <c r="I62" i="1"/>
  <c r="J42" i="29"/>
  <c r="J80" i="29"/>
  <c r="J84" i="29"/>
  <c r="J62" i="1"/>
  <c r="K42" i="29"/>
  <c r="K80" i="29"/>
  <c r="K84" i="29"/>
  <c r="K62" i="1"/>
  <c r="N41" i="1"/>
  <c r="N42" i="1"/>
  <c r="I18" i="15"/>
  <c r="I23" i="15"/>
  <c r="J18" i="15"/>
  <c r="J43" i="28"/>
  <c r="F26" i="28"/>
  <c r="K15" i="20"/>
  <c r="J11" i="20"/>
  <c r="I13" i="11"/>
  <c r="J13" i="11"/>
  <c r="J62" i="10"/>
  <c r="K14" i="20"/>
  <c r="K16" i="20"/>
  <c r="J14" i="20"/>
  <c r="J15" i="20"/>
  <c r="J16" i="20"/>
  <c r="J20" i="20"/>
  <c r="J21" i="20"/>
  <c r="B109" i="5"/>
  <c r="B108" i="5"/>
  <c r="B107" i="5"/>
  <c r="B106" i="5"/>
  <c r="B105" i="5"/>
  <c r="B21" i="1"/>
  <c r="B3" i="1"/>
  <c r="A3" i="20"/>
  <c r="A2" i="20"/>
  <c r="D36" i="19"/>
  <c r="D35" i="19"/>
  <c r="K19" i="19"/>
  <c r="J19" i="19"/>
  <c r="I19" i="19"/>
  <c r="H19" i="19"/>
  <c r="G19" i="19"/>
  <c r="F19" i="19"/>
  <c r="E19" i="19"/>
  <c r="D19" i="19"/>
  <c r="A3" i="19"/>
  <c r="A2" i="19"/>
  <c r="K13" i="11"/>
  <c r="H13" i="11"/>
  <c r="G13" i="11"/>
  <c r="F13" i="11"/>
  <c r="E13" i="11"/>
  <c r="D13" i="11"/>
  <c r="B3" i="11"/>
  <c r="A3" i="11"/>
  <c r="A2" i="11"/>
  <c r="K19" i="29"/>
  <c r="J19" i="29"/>
  <c r="A3" i="29"/>
  <c r="A2" i="29"/>
  <c r="K28" i="10"/>
  <c r="J28" i="10"/>
  <c r="I28" i="10"/>
  <c r="H28" i="10"/>
  <c r="G28" i="10"/>
  <c r="F28" i="10"/>
  <c r="E28" i="10"/>
  <c r="D28" i="10"/>
  <c r="A3" i="10"/>
  <c r="A2" i="10"/>
  <c r="K17" i="3"/>
  <c r="I17" i="3"/>
  <c r="I18" i="4"/>
  <c r="H17" i="3"/>
  <c r="H18" i="4"/>
  <c r="G17" i="3"/>
  <c r="F17" i="3"/>
  <c r="F18" i="4"/>
  <c r="E17" i="3"/>
  <c r="D17" i="3"/>
  <c r="D18" i="4"/>
  <c r="I12" i="3"/>
  <c r="I17" i="4"/>
  <c r="H12" i="3"/>
  <c r="H17" i="4"/>
  <c r="G12" i="3"/>
  <c r="G17" i="4"/>
  <c r="F12" i="3"/>
  <c r="F17" i="4"/>
  <c r="E12" i="3"/>
  <c r="D12" i="3"/>
  <c r="D17" i="4"/>
  <c r="B3" i="3"/>
  <c r="A3" i="3"/>
  <c r="A2" i="3"/>
  <c r="A111" i="5"/>
  <c r="A110" i="5"/>
  <c r="A109" i="5"/>
  <c r="A108" i="5"/>
  <c r="A107" i="5"/>
  <c r="A106" i="5"/>
  <c r="A105" i="5"/>
  <c r="I15" i="4"/>
  <c r="H15" i="4"/>
  <c r="G15" i="4"/>
  <c r="F15" i="4"/>
  <c r="E15" i="4"/>
  <c r="D15" i="4"/>
  <c r="A100" i="5"/>
  <c r="A97" i="5"/>
  <c r="A94" i="5"/>
  <c r="A91" i="5"/>
  <c r="A88" i="5"/>
  <c r="A85" i="5"/>
  <c r="A82" i="5"/>
  <c r="K73" i="5"/>
  <c r="J73" i="5"/>
  <c r="I73" i="5"/>
  <c r="H73" i="5"/>
  <c r="G73" i="5"/>
  <c r="F73" i="5"/>
  <c r="E73" i="5"/>
  <c r="D73" i="5"/>
  <c r="K69" i="5"/>
  <c r="J69" i="5"/>
  <c r="I69" i="5"/>
  <c r="H69" i="5"/>
  <c r="G69" i="5"/>
  <c r="F69" i="5"/>
  <c r="E69" i="5"/>
  <c r="D69" i="5"/>
  <c r="A69" i="5"/>
  <c r="A65" i="5"/>
  <c r="A61" i="5"/>
  <c r="A57" i="5"/>
  <c r="A53" i="5"/>
  <c r="A49" i="5"/>
  <c r="A45" i="5"/>
  <c r="A44" i="5"/>
  <c r="A43" i="5"/>
  <c r="A42" i="5"/>
  <c r="A41" i="5"/>
  <c r="A40" i="5"/>
  <c r="A39" i="5"/>
  <c r="A25" i="5"/>
  <c r="A24" i="5"/>
  <c r="A23" i="5"/>
  <c r="A22" i="5"/>
  <c r="A21" i="5"/>
  <c r="H18" i="5"/>
  <c r="G18" i="5"/>
  <c r="F18" i="5"/>
  <c r="E18" i="5"/>
  <c r="D18" i="5"/>
  <c r="M17" i="5"/>
  <c r="M16" i="5"/>
  <c r="M15" i="5"/>
  <c r="M13"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M56" i="2"/>
  <c r="K56" i="2"/>
  <c r="J56" i="2"/>
  <c r="I56" i="2"/>
  <c r="H56" i="2"/>
  <c r="G56" i="2"/>
  <c r="F56" i="2"/>
  <c r="E56" i="2"/>
  <c r="D56" i="2"/>
  <c r="M55" i="2"/>
  <c r="M54" i="2"/>
  <c r="M53" i="2"/>
  <c r="M52" i="2"/>
  <c r="M51" i="2"/>
  <c r="M50" i="2"/>
  <c r="K44" i="2"/>
  <c r="K47" i="2"/>
  <c r="J44" i="2"/>
  <c r="I44" i="2"/>
  <c r="I58" i="2"/>
  <c r="H44" i="2"/>
  <c r="H58" i="2"/>
  <c r="G44" i="2"/>
  <c r="F44" i="2"/>
  <c r="F46" i="2"/>
  <c r="E44" i="2"/>
  <c r="E58" i="2"/>
  <c r="D44" i="2"/>
  <c r="M42" i="2"/>
  <c r="K42" i="2"/>
  <c r="J42" i="2"/>
  <c r="I42" i="2"/>
  <c r="H42" i="2"/>
  <c r="G42" i="2"/>
  <c r="F42" i="2"/>
  <c r="E42" i="2"/>
  <c r="D42" i="2"/>
  <c r="M41" i="2"/>
  <c r="M40" i="2"/>
  <c r="M27" i="2"/>
  <c r="M26" i="2"/>
  <c r="M23" i="2"/>
  <c r="M22" i="2"/>
  <c r="K16" i="2"/>
  <c r="J16" i="2"/>
  <c r="I16" i="2"/>
  <c r="H16" i="2"/>
  <c r="G16" i="2"/>
  <c r="F16" i="2"/>
  <c r="E16" i="2"/>
  <c r="D16" i="2"/>
  <c r="M13" i="2"/>
  <c r="L6" i="2"/>
  <c r="A3" i="2"/>
  <c r="A2" i="2"/>
  <c r="K80" i="15"/>
  <c r="K78" i="15"/>
  <c r="H78" i="15"/>
  <c r="G78" i="15"/>
  <c r="F78" i="15"/>
  <c r="E78" i="15"/>
  <c r="D78" i="15"/>
  <c r="K48" i="15"/>
  <c r="K46" i="15"/>
  <c r="J46" i="15"/>
  <c r="I46" i="15"/>
  <c r="I48" i="15"/>
  <c r="H46" i="15"/>
  <c r="G46" i="15"/>
  <c r="F46" i="15"/>
  <c r="E46" i="15"/>
  <c r="D46" i="15"/>
  <c r="K23" i="15"/>
  <c r="J23" i="15"/>
  <c r="K18" i="15"/>
  <c r="H18" i="15"/>
  <c r="H23" i="15"/>
  <c r="G18" i="15"/>
  <c r="G23" i="15"/>
  <c r="F18" i="15"/>
  <c r="F23" i="15"/>
  <c r="E18" i="15"/>
  <c r="E23" i="15"/>
  <c r="D18" i="15"/>
  <c r="D23" i="15"/>
  <c r="A3" i="15"/>
  <c r="A2" i="15"/>
  <c r="K68" i="4"/>
  <c r="K66" i="4"/>
  <c r="K64" i="4"/>
  <c r="H64" i="4"/>
  <c r="G64" i="4"/>
  <c r="F64" i="4"/>
  <c r="E64" i="4"/>
  <c r="D64" i="4"/>
  <c r="K45" i="4"/>
  <c r="I45" i="4"/>
  <c r="H45" i="4"/>
  <c r="G45" i="4"/>
  <c r="F45" i="4"/>
  <c r="E45" i="4"/>
  <c r="D45" i="4"/>
  <c r="K28" i="4"/>
  <c r="K18" i="4"/>
  <c r="G18" i="4"/>
  <c r="E18" i="4"/>
  <c r="E17" i="4"/>
  <c r="K14" i="4"/>
  <c r="H14" i="4"/>
  <c r="G14" i="4"/>
  <c r="F14" i="4"/>
  <c r="E14" i="4"/>
  <c r="D14" i="4"/>
  <c r="A3" i="4"/>
  <c r="A2" i="4"/>
  <c r="B42" i="1"/>
  <c r="B39" i="1"/>
  <c r="B38" i="1"/>
  <c r="B37" i="1"/>
  <c r="B31" i="1"/>
  <c r="B30" i="1"/>
  <c r="B23" i="1"/>
  <c r="B22" i="1"/>
  <c r="B20" i="1"/>
  <c r="B19" i="1"/>
  <c r="B18" i="1"/>
  <c r="B12" i="1"/>
  <c r="B11" i="1"/>
  <c r="M6" i="1"/>
  <c r="A3" i="1"/>
  <c r="A2" i="1"/>
  <c r="A3" i="14"/>
  <c r="A2" i="14"/>
  <c r="A3" i="21"/>
  <c r="A2" i="21"/>
  <c r="E202" i="28"/>
  <c r="B202" i="28"/>
  <c r="E192" i="28"/>
  <c r="F157" i="28"/>
  <c r="B192" i="28"/>
  <c r="E182" i="28"/>
  <c r="B182" i="28"/>
  <c r="F159" i="28"/>
  <c r="F158" i="28"/>
  <c r="F156" i="28"/>
  <c r="F155" i="28"/>
  <c r="F154" i="28"/>
  <c r="F153" i="28"/>
  <c r="F152" i="28"/>
  <c r="L118" i="28"/>
  <c r="K118" i="28"/>
  <c r="J118" i="28"/>
  <c r="I118" i="28"/>
  <c r="H118" i="28"/>
  <c r="G118" i="28"/>
  <c r="F118" i="28"/>
  <c r="E118" i="28"/>
  <c r="D118" i="28"/>
  <c r="J105" i="28"/>
  <c r="I105" i="28"/>
  <c r="H105" i="28"/>
  <c r="G105" i="28"/>
  <c r="F105" i="28"/>
  <c r="E105" i="28"/>
  <c r="D105" i="28"/>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T72" i="28"/>
  <c r="S72" i="28"/>
  <c r="R72" i="28"/>
  <c r="Q72" i="28"/>
  <c r="P72" i="28"/>
  <c r="O72" i="28"/>
  <c r="N72" i="28"/>
  <c r="M72" i="28"/>
  <c r="L72" i="28"/>
  <c r="L62" i="28"/>
  <c r="K62" i="28"/>
  <c r="J62" i="28"/>
  <c r="I62" i="28"/>
  <c r="H62" i="28"/>
  <c r="G62" i="28"/>
  <c r="F62" i="28"/>
  <c r="E62" i="28"/>
  <c r="D62" i="28"/>
  <c r="J51" i="28"/>
  <c r="I51" i="28"/>
  <c r="H51" i="28"/>
  <c r="G51" i="28"/>
  <c r="F51" i="28"/>
  <c r="E51" i="28"/>
  <c r="D51" i="28"/>
  <c r="C51" i="28"/>
  <c r="J50" i="28"/>
  <c r="I50" i="28"/>
  <c r="H50" i="28"/>
  <c r="G50" i="28"/>
  <c r="F50" i="28"/>
  <c r="E50" i="28"/>
  <c r="D50" i="28"/>
  <c r="C48" i="28"/>
  <c r="B45" i="28"/>
  <c r="J42" i="28"/>
  <c r="I42" i="28"/>
  <c r="H42" i="28"/>
  <c r="G42" i="28"/>
  <c r="F42" i="28"/>
  <c r="E42" i="28"/>
  <c r="J38" i="28"/>
  <c r="I38" i="28"/>
  <c r="H38" i="28"/>
  <c r="G38" i="28"/>
  <c r="F38" i="28"/>
  <c r="E38" i="28"/>
  <c r="D30" i="28"/>
  <c r="D29" i="28"/>
  <c r="D28" i="28"/>
  <c r="D27" i="28"/>
  <c r="D26" i="28"/>
  <c r="D25" i="28"/>
  <c r="D24" i="28"/>
  <c r="D23" i="28"/>
  <c r="D22" i="28"/>
  <c r="D21" i="28"/>
  <c r="D20" i="28"/>
  <c r="D19" i="28"/>
  <c r="D18" i="28"/>
  <c r="D17" i="28"/>
  <c r="D16" i="28"/>
  <c r="D15" i="28"/>
  <c r="D14" i="28"/>
  <c r="A3" i="28"/>
  <c r="A2" i="28"/>
  <c r="C14" i="13"/>
  <c r="C42" i="2"/>
  <c r="C13" i="13"/>
  <c r="D6" i="15"/>
  <c r="C12" i="13"/>
  <c r="C11" i="13"/>
  <c r="C10" i="13"/>
  <c r="C6" i="13"/>
  <c r="E156" i="28"/>
  <c r="A3" i="13"/>
  <c r="A2" i="13"/>
  <c r="F66" i="4"/>
  <c r="F68" i="4"/>
  <c r="D66" i="4"/>
  <c r="D68" i="4"/>
  <c r="H66" i="4"/>
  <c r="H68" i="4"/>
  <c r="J48" i="15"/>
  <c r="E66" i="4"/>
  <c r="E68" i="4"/>
  <c r="H48" i="15"/>
  <c r="H80" i="15"/>
  <c r="D26" i="4"/>
  <c r="D28" i="4"/>
  <c r="D48" i="15"/>
  <c r="D80" i="15"/>
  <c r="G66" i="4"/>
  <c r="G68" i="4"/>
  <c r="G26" i="4"/>
  <c r="G28" i="4"/>
  <c r="E26" i="4"/>
  <c r="E28" i="4"/>
  <c r="F26" i="4"/>
  <c r="F28" i="4"/>
  <c r="M69" i="5"/>
  <c r="M73" i="5"/>
  <c r="H26" i="4"/>
  <c r="H28" i="4"/>
  <c r="F48" i="15"/>
  <c r="F80" i="15"/>
  <c r="M65" i="5"/>
  <c r="E48" i="15"/>
  <c r="E80" i="15"/>
  <c r="G48" i="15"/>
  <c r="G80" i="15"/>
  <c r="I59" i="2"/>
  <c r="K46" i="2"/>
  <c r="K18" i="2"/>
  <c r="G30" i="2"/>
  <c r="F47" i="2"/>
  <c r="E46" i="2"/>
  <c r="E62" i="2"/>
  <c r="I46" i="2"/>
  <c r="I62" i="2"/>
  <c r="E59" i="2"/>
  <c r="E6" i="15"/>
  <c r="D5" i="15"/>
  <c r="E154" i="28"/>
  <c r="E159" i="28"/>
  <c r="C51" i="1"/>
  <c r="C55" i="1"/>
  <c r="C61" i="1"/>
  <c r="C11" i="4"/>
  <c r="J47" i="29"/>
  <c r="F47" i="29"/>
  <c r="J42" i="10"/>
  <c r="F42" i="10"/>
  <c r="I47" i="29"/>
  <c r="E47" i="29"/>
  <c r="I42" i="10"/>
  <c r="E42" i="10"/>
  <c r="H47" i="29"/>
  <c r="D47" i="29"/>
  <c r="H42" i="10"/>
  <c r="D42" i="10"/>
  <c r="K42" i="10"/>
  <c r="K47" i="29"/>
  <c r="G42" i="10"/>
  <c r="G47" i="29"/>
  <c r="C33" i="28"/>
  <c r="C50" i="1"/>
  <c r="C54" i="1"/>
  <c r="C66" i="1"/>
  <c r="E157" i="28"/>
  <c r="E153" i="28"/>
  <c r="D6" i="20"/>
  <c r="D6" i="19"/>
  <c r="D6" i="3"/>
  <c r="D6" i="10"/>
  <c r="D5" i="10"/>
  <c r="D6" i="11"/>
  <c r="D6" i="29"/>
  <c r="D5" i="29"/>
  <c r="D6" i="4"/>
  <c r="D6" i="1"/>
  <c r="D6" i="2"/>
  <c r="D6" i="5"/>
  <c r="B48" i="28"/>
  <c r="B10" i="2"/>
  <c r="B88" i="2"/>
  <c r="B149" i="28"/>
  <c r="E158" i="28"/>
  <c r="C48" i="1"/>
  <c r="C53" i="1"/>
  <c r="C12" i="2"/>
  <c r="F58" i="2"/>
  <c r="F62" i="2"/>
  <c r="F59" i="2"/>
  <c r="J58" i="2"/>
  <c r="J59" i="2"/>
  <c r="J47" i="2"/>
  <c r="J46" i="2"/>
  <c r="J41" i="10"/>
  <c r="F41" i="10"/>
  <c r="I41" i="10"/>
  <c r="E41" i="10"/>
  <c r="H41" i="10"/>
  <c r="D41" i="10"/>
  <c r="G41" i="10"/>
  <c r="K41" i="10"/>
  <c r="C8" i="20"/>
  <c r="C14" i="19"/>
  <c r="C87" i="29"/>
  <c r="C75" i="29"/>
  <c r="C69" i="29"/>
  <c r="C62" i="29"/>
  <c r="C47" i="10"/>
  <c r="C29" i="10"/>
  <c r="C25" i="10"/>
  <c r="C21" i="10"/>
  <c r="C17" i="10"/>
  <c r="C16" i="10"/>
  <c r="C28" i="3"/>
  <c r="C19" i="19"/>
  <c r="C84" i="29"/>
  <c r="C74" i="29"/>
  <c r="C68" i="29"/>
  <c r="C61" i="29"/>
  <c r="C51" i="10"/>
  <c r="C46" i="10"/>
  <c r="C28" i="10"/>
  <c r="C24" i="10"/>
  <c r="C20" i="10"/>
  <c r="C11" i="10"/>
  <c r="C18" i="19"/>
  <c r="C90" i="29"/>
  <c r="C82" i="29"/>
  <c r="C73" i="29"/>
  <c r="C67" i="29"/>
  <c r="C54" i="29"/>
  <c r="C50" i="10"/>
  <c r="C45" i="10"/>
  <c r="C27" i="10"/>
  <c r="C23" i="10"/>
  <c r="C19" i="10"/>
  <c r="C17" i="19"/>
  <c r="C72" i="29"/>
  <c r="C42" i="29"/>
  <c r="C49" i="10"/>
  <c r="C26" i="10"/>
  <c r="C69" i="5"/>
  <c r="C53" i="5"/>
  <c r="C43" i="5"/>
  <c r="C39" i="5"/>
  <c r="C17" i="5"/>
  <c r="C16" i="5"/>
  <c r="C15" i="5"/>
  <c r="C14" i="5"/>
  <c r="C13" i="5"/>
  <c r="C12" i="5"/>
  <c r="C11" i="5"/>
  <c r="C63" i="29"/>
  <c r="C22" i="10"/>
  <c r="C89" i="29"/>
  <c r="C18" i="10"/>
  <c r="C73" i="5"/>
  <c r="C61" i="5"/>
  <c r="C80" i="29"/>
  <c r="C31" i="10"/>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c r="B116" i="2"/>
  <c r="E152" i="28"/>
  <c r="E155" i="28"/>
  <c r="C52" i="1"/>
  <c r="C57" i="1"/>
  <c r="D30" i="2"/>
  <c r="H30" i="2"/>
  <c r="C18" i="2"/>
  <c r="C24" i="2"/>
  <c r="C27" i="2"/>
  <c r="I30" i="2"/>
  <c r="G58" i="2"/>
  <c r="G59" i="2"/>
  <c r="K58" i="2"/>
  <c r="K62" i="2"/>
  <c r="K59" i="2"/>
  <c r="K63" i="2"/>
  <c r="G46" i="2"/>
  <c r="G47" i="2"/>
  <c r="E30" i="2"/>
  <c r="D59" i="2"/>
  <c r="D46" i="2"/>
  <c r="H59" i="2"/>
  <c r="H46" i="2"/>
  <c r="H62" i="2"/>
  <c r="H47" i="2"/>
  <c r="F30" i="2"/>
  <c r="D47" i="2"/>
  <c r="D58" i="2"/>
  <c r="E47" i="2"/>
  <c r="I47" i="2"/>
  <c r="M57" i="5"/>
  <c r="I63" i="2"/>
  <c r="G63" i="2"/>
  <c r="G62" i="2"/>
  <c r="D50" i="15"/>
  <c r="B153" i="28"/>
  <c r="B11" i="5"/>
  <c r="I64" i="2"/>
  <c r="F63" i="2"/>
  <c r="M58" i="2"/>
  <c r="M59" i="2"/>
  <c r="E63" i="2"/>
  <c r="E64" i="2"/>
  <c r="K64" i="2"/>
  <c r="D78" i="2"/>
  <c r="E6" i="2"/>
  <c r="D5" i="2"/>
  <c r="D77" i="2"/>
  <c r="D5" i="20"/>
  <c r="E6" i="20"/>
  <c r="F6" i="15"/>
  <c r="E5" i="15"/>
  <c r="E50" i="15"/>
  <c r="D5" i="1"/>
  <c r="E6" i="1"/>
  <c r="E6" i="29"/>
  <c r="E5" i="29"/>
  <c r="E6" i="10"/>
  <c r="E5" i="10"/>
  <c r="D36" i="10"/>
  <c r="D63" i="2"/>
  <c r="M47" i="2"/>
  <c r="G64" i="2"/>
  <c r="H63" i="2"/>
  <c r="D62" i="2"/>
  <c r="M46" i="2"/>
  <c r="B159" i="28"/>
  <c r="B17" i="5"/>
  <c r="B160" i="28"/>
  <c r="B156" i="28"/>
  <c r="B14" i="5"/>
  <c r="B157" i="28"/>
  <c r="B15" i="5"/>
  <c r="B154" i="28"/>
  <c r="B12" i="5"/>
  <c r="B155" i="28"/>
  <c r="B13" i="5"/>
  <c r="B158" i="28"/>
  <c r="B16" i="5"/>
  <c r="J62" i="2"/>
  <c r="D5" i="4"/>
  <c r="E6" i="4"/>
  <c r="D5" i="3"/>
  <c r="E6" i="3"/>
  <c r="J63" i="2"/>
  <c r="D99" i="5"/>
  <c r="D93" i="5"/>
  <c r="D87" i="5"/>
  <c r="D81" i="5"/>
  <c r="D96" i="5"/>
  <c r="D90" i="5"/>
  <c r="D84" i="5"/>
  <c r="D66" i="5"/>
  <c r="D50" i="5"/>
  <c r="D70" i="5"/>
  <c r="D71" i="5"/>
  <c r="D58" i="5"/>
  <c r="D74" i="5"/>
  <c r="D75" i="5"/>
  <c r="D62" i="5"/>
  <c r="D5" i="5"/>
  <c r="E6" i="5"/>
  <c r="D54" i="5"/>
  <c r="E6" i="11"/>
  <c r="D5" i="11"/>
  <c r="D5" i="19"/>
  <c r="E6" i="19"/>
  <c r="D33" i="28"/>
  <c r="C36" i="28"/>
  <c r="C35" i="28"/>
  <c r="D34" i="10"/>
  <c r="C34" i="28"/>
  <c r="C32" i="28"/>
  <c r="F64" i="2"/>
  <c r="J64" i="2"/>
  <c r="D79" i="2"/>
  <c r="D50" i="1"/>
  <c r="B49" i="5"/>
  <c r="B82" i="5"/>
  <c r="B39" i="5"/>
  <c r="B51" i="1"/>
  <c r="B94" i="5"/>
  <c r="B65" i="5"/>
  <c r="B43" i="5"/>
  <c r="B55" i="1"/>
  <c r="M63" i="2"/>
  <c r="E78" i="2"/>
  <c r="E77" i="2"/>
  <c r="E5" i="2"/>
  <c r="F6" i="2"/>
  <c r="E33" i="28"/>
  <c r="D36" i="28"/>
  <c r="D35" i="28"/>
  <c r="E34" i="10"/>
  <c r="D34" i="28"/>
  <c r="D32" i="28"/>
  <c r="F6" i="11"/>
  <c r="E5" i="11"/>
  <c r="F6" i="4"/>
  <c r="E5" i="4"/>
  <c r="B97" i="5"/>
  <c r="B44" i="5"/>
  <c r="B69" i="5"/>
  <c r="B91" i="5"/>
  <c r="B61" i="5"/>
  <c r="B42" i="5"/>
  <c r="B54" i="1"/>
  <c r="M62" i="2"/>
  <c r="D64" i="2"/>
  <c r="F6" i="29"/>
  <c r="F5" i="29"/>
  <c r="H64" i="2"/>
  <c r="D35" i="10"/>
  <c r="D40" i="29"/>
  <c r="D14" i="19"/>
  <c r="D86" i="2"/>
  <c r="F6" i="19"/>
  <c r="E5" i="19"/>
  <c r="E96" i="5"/>
  <c r="E90" i="5"/>
  <c r="E84" i="5"/>
  <c r="E99" i="5"/>
  <c r="E70" i="5"/>
  <c r="E71" i="5"/>
  <c r="E44" i="5"/>
  <c r="E54" i="5"/>
  <c r="F6" i="5"/>
  <c r="E81" i="5"/>
  <c r="E87" i="5"/>
  <c r="E74" i="5"/>
  <c r="E75" i="5"/>
  <c r="E45" i="5"/>
  <c r="E62" i="5"/>
  <c r="E93" i="5"/>
  <c r="E66" i="5"/>
  <c r="E50" i="5"/>
  <c r="E5" i="5"/>
  <c r="E58" i="5"/>
  <c r="B57" i="5"/>
  <c r="B88" i="5"/>
  <c r="B41" i="5"/>
  <c r="B53" i="1"/>
  <c r="F6" i="10"/>
  <c r="F5" i="10"/>
  <c r="F6" i="1"/>
  <c r="E5" i="1"/>
  <c r="G6" i="15"/>
  <c r="F5" i="15"/>
  <c r="F50" i="15"/>
  <c r="D45" i="5"/>
  <c r="D44" i="5"/>
  <c r="F6" i="3"/>
  <c r="E5" i="3"/>
  <c r="B85" i="5"/>
  <c r="B40" i="5"/>
  <c r="B52" i="1"/>
  <c r="B53" i="5"/>
  <c r="B100" i="5"/>
  <c r="B73" i="5"/>
  <c r="B45" i="5"/>
  <c r="F6" i="20"/>
  <c r="E5" i="20"/>
  <c r="B33" i="1"/>
  <c r="B14" i="1"/>
  <c r="D46" i="5"/>
  <c r="G6" i="19"/>
  <c r="F5" i="19"/>
  <c r="G6" i="4"/>
  <c r="F5" i="4"/>
  <c r="E35" i="10"/>
  <c r="E14" i="19"/>
  <c r="E40" i="29"/>
  <c r="E86" i="2"/>
  <c r="E79" i="2"/>
  <c r="B36" i="1"/>
  <c r="B17" i="1"/>
  <c r="B35" i="1"/>
  <c r="B16" i="1"/>
  <c r="F77" i="2"/>
  <c r="G6" i="2"/>
  <c r="F78" i="2"/>
  <c r="F5" i="2"/>
  <c r="G6" i="20"/>
  <c r="F5" i="20"/>
  <c r="G5" i="15"/>
  <c r="H6" i="15"/>
  <c r="G6" i="1"/>
  <c r="F5" i="1"/>
  <c r="B34" i="1"/>
  <c r="B15" i="1"/>
  <c r="F96" i="5"/>
  <c r="F90" i="5"/>
  <c r="F84" i="5"/>
  <c r="F99" i="5"/>
  <c r="F93" i="5"/>
  <c r="F87" i="5"/>
  <c r="F81" i="5"/>
  <c r="F58" i="5"/>
  <c r="F5" i="5"/>
  <c r="F74" i="5"/>
  <c r="F75" i="5"/>
  <c r="F66" i="5"/>
  <c r="F70" i="5"/>
  <c r="F71" i="5"/>
  <c r="F54" i="5"/>
  <c r="G6" i="5"/>
  <c r="F62" i="5"/>
  <c r="F50" i="5"/>
  <c r="D119" i="2"/>
  <c r="D131" i="2"/>
  <c r="D100" i="2"/>
  <c r="D130" i="2"/>
  <c r="D132" i="2"/>
  <c r="D103" i="2"/>
  <c r="D91" i="2"/>
  <c r="D118" i="2"/>
  <c r="D104" i="2"/>
  <c r="D128" i="2"/>
  <c r="D133" i="2"/>
  <c r="D102" i="2"/>
  <c r="D101" i="2"/>
  <c r="D105" i="2"/>
  <c r="D129" i="2"/>
  <c r="D23" i="29"/>
  <c r="F5" i="11"/>
  <c r="G6" i="11"/>
  <c r="G6" i="3"/>
  <c r="F5" i="3"/>
  <c r="G6" i="10"/>
  <c r="G5" i="10"/>
  <c r="E46" i="5"/>
  <c r="G6" i="29"/>
  <c r="G5" i="29"/>
  <c r="M64" i="2"/>
  <c r="E36" i="28"/>
  <c r="E35" i="28"/>
  <c r="F34" i="10"/>
  <c r="E34" i="28"/>
  <c r="E32" i="28"/>
  <c r="F33" i="28"/>
  <c r="B32" i="1"/>
  <c r="B13" i="1"/>
  <c r="E23" i="29"/>
  <c r="F14" i="19"/>
  <c r="F35" i="10"/>
  <c r="F86" i="2"/>
  <c r="F40" i="29"/>
  <c r="H6" i="3"/>
  <c r="G5" i="3"/>
  <c r="D120" i="2"/>
  <c r="I6" i="15"/>
  <c r="H5" i="15"/>
  <c r="H6" i="19"/>
  <c r="G5" i="19"/>
  <c r="D106" i="2"/>
  <c r="G99" i="5"/>
  <c r="G93" i="5"/>
  <c r="G87" i="5"/>
  <c r="G81" i="5"/>
  <c r="G74" i="5"/>
  <c r="G75" i="5"/>
  <c r="G45" i="5"/>
  <c r="G62" i="5"/>
  <c r="G84" i="5"/>
  <c r="G90" i="5"/>
  <c r="G70" i="5"/>
  <c r="G71" i="5"/>
  <c r="G44" i="5"/>
  <c r="G96" i="5"/>
  <c r="G58" i="5"/>
  <c r="G66" i="5"/>
  <c r="H6" i="5"/>
  <c r="G50" i="5"/>
  <c r="G54" i="5"/>
  <c r="G5" i="5"/>
  <c r="F45" i="5"/>
  <c r="G50" i="15"/>
  <c r="F79" i="2"/>
  <c r="F50" i="1"/>
  <c r="H6" i="4"/>
  <c r="G5" i="4"/>
  <c r="G33" i="28"/>
  <c r="F36" i="28"/>
  <c r="F35" i="28"/>
  <c r="G34" i="10"/>
  <c r="F34" i="28"/>
  <c r="F32" i="28"/>
  <c r="H6" i="29"/>
  <c r="H5" i="29"/>
  <c r="H6" i="11"/>
  <c r="G5" i="11"/>
  <c r="D134" i="2"/>
  <c r="H6" i="20"/>
  <c r="G5" i="20"/>
  <c r="G77" i="2"/>
  <c r="G78" i="2"/>
  <c r="H6" i="2"/>
  <c r="G5" i="2"/>
  <c r="E102" i="2"/>
  <c r="E119" i="2"/>
  <c r="E105" i="2"/>
  <c r="E101" i="2"/>
  <c r="E128" i="2"/>
  <c r="E131" i="2"/>
  <c r="E100" i="2"/>
  <c r="E130" i="2"/>
  <c r="E132" i="2"/>
  <c r="E103" i="2"/>
  <c r="E91" i="2"/>
  <c r="E118" i="2"/>
  <c r="E104" i="2"/>
  <c r="E133" i="2"/>
  <c r="E129" i="2"/>
  <c r="H6" i="10"/>
  <c r="H5" i="10"/>
  <c r="F44" i="5"/>
  <c r="H6" i="1"/>
  <c r="G5" i="1"/>
  <c r="E50" i="1"/>
  <c r="E120" i="2"/>
  <c r="E125" i="2"/>
  <c r="G79" i="2"/>
  <c r="G50" i="1"/>
  <c r="F46" i="5"/>
  <c r="H5" i="1"/>
  <c r="I6" i="1"/>
  <c r="I6" i="10"/>
  <c r="I5" i="10"/>
  <c r="E106" i="2"/>
  <c r="G14" i="19"/>
  <c r="G86" i="2"/>
  <c r="G35" i="10"/>
  <c r="G40" i="29"/>
  <c r="H5" i="4"/>
  <c r="I6" i="4"/>
  <c r="D109" i="2"/>
  <c r="D108" i="2"/>
  <c r="J6" i="15"/>
  <c r="I5" i="15"/>
  <c r="G46" i="5"/>
  <c r="H5" i="3"/>
  <c r="I6" i="3"/>
  <c r="H5" i="19"/>
  <c r="I6" i="19"/>
  <c r="F103" i="2"/>
  <c r="F128" i="2"/>
  <c r="F133" i="2"/>
  <c r="F102" i="2"/>
  <c r="F129" i="2"/>
  <c r="F119" i="2"/>
  <c r="F101" i="2"/>
  <c r="F118" i="2"/>
  <c r="F105" i="2"/>
  <c r="F100" i="2"/>
  <c r="F130" i="2"/>
  <c r="F132" i="2"/>
  <c r="F131" i="2"/>
  <c r="F91" i="2"/>
  <c r="F104" i="2"/>
  <c r="E134" i="2"/>
  <c r="D136" i="2"/>
  <c r="D137" i="2"/>
  <c r="I6" i="11"/>
  <c r="H5" i="11"/>
  <c r="I6" i="29"/>
  <c r="I5" i="29"/>
  <c r="F23" i="29"/>
  <c r="H78" i="2"/>
  <c r="I6" i="2"/>
  <c r="H77" i="2"/>
  <c r="H5" i="2"/>
  <c r="H5" i="20"/>
  <c r="I6" i="20"/>
  <c r="H33" i="28"/>
  <c r="G32" i="28"/>
  <c r="G35" i="28"/>
  <c r="H34" i="10"/>
  <c r="G34" i="28"/>
  <c r="G36" i="28"/>
  <c r="H99" i="5"/>
  <c r="H93" i="5"/>
  <c r="H87" i="5"/>
  <c r="H81" i="5"/>
  <c r="H96" i="5"/>
  <c r="H90" i="5"/>
  <c r="H84" i="5"/>
  <c r="H66" i="5"/>
  <c r="H50" i="5"/>
  <c r="H70" i="5"/>
  <c r="H71" i="5"/>
  <c r="H58" i="5"/>
  <c r="H74" i="5"/>
  <c r="H75" i="5"/>
  <c r="H62" i="5"/>
  <c r="H54" i="5"/>
  <c r="H5" i="5"/>
  <c r="I6" i="5"/>
  <c r="H50" i="15"/>
  <c r="D125" i="2"/>
  <c r="D124" i="2"/>
  <c r="E124" i="2"/>
  <c r="G23" i="29"/>
  <c r="D140" i="2"/>
  <c r="D141" i="2"/>
  <c r="F106" i="2"/>
  <c r="F109" i="2"/>
  <c r="I33" i="28"/>
  <c r="H32" i="28"/>
  <c r="H35" i="28"/>
  <c r="I34" i="10"/>
  <c r="H36" i="28"/>
  <c r="H34" i="28"/>
  <c r="H79" i="2"/>
  <c r="F120" i="2"/>
  <c r="F134" i="2"/>
  <c r="J6" i="19"/>
  <c r="I5" i="19"/>
  <c r="G133" i="2"/>
  <c r="G102" i="2"/>
  <c r="G129" i="2"/>
  <c r="G91" i="2"/>
  <c r="G100" i="2"/>
  <c r="G104" i="2"/>
  <c r="G105" i="2"/>
  <c r="G101" i="2"/>
  <c r="G128" i="2"/>
  <c r="G130" i="2"/>
  <c r="G132" i="2"/>
  <c r="G131" i="2"/>
  <c r="G119" i="2"/>
  <c r="G118" i="2"/>
  <c r="G103" i="2"/>
  <c r="E109" i="2"/>
  <c r="E108" i="2"/>
  <c r="H44" i="5"/>
  <c r="H14" i="19"/>
  <c r="H35" i="10"/>
  <c r="H40" i="29"/>
  <c r="H86" i="2"/>
  <c r="J6" i="20"/>
  <c r="I5" i="20"/>
  <c r="J6" i="10"/>
  <c r="J5" i="10"/>
  <c r="J6" i="1"/>
  <c r="I5" i="1"/>
  <c r="I96" i="5"/>
  <c r="I90" i="5"/>
  <c r="I84" i="5"/>
  <c r="I81" i="5"/>
  <c r="I70" i="5"/>
  <c r="I71" i="5"/>
  <c r="I44" i="5"/>
  <c r="I54" i="5"/>
  <c r="J6" i="5"/>
  <c r="I87" i="5"/>
  <c r="I93" i="5"/>
  <c r="I74" i="5"/>
  <c r="I75" i="5"/>
  <c r="I45" i="5"/>
  <c r="I62" i="5"/>
  <c r="I99" i="5"/>
  <c r="I66" i="5"/>
  <c r="I50" i="5"/>
  <c r="I58" i="5"/>
  <c r="I5" i="5"/>
  <c r="H45" i="5"/>
  <c r="J6" i="11"/>
  <c r="I5" i="11"/>
  <c r="I50" i="15"/>
  <c r="I78" i="2"/>
  <c r="I77" i="2"/>
  <c r="I5" i="2"/>
  <c r="J6" i="2"/>
  <c r="J6" i="29"/>
  <c r="J5" i="29"/>
  <c r="E137" i="2"/>
  <c r="E141" i="2"/>
  <c r="E136" i="2"/>
  <c r="J6" i="3"/>
  <c r="I5" i="3"/>
  <c r="K6" i="15"/>
  <c r="K5" i="15"/>
  <c r="J5" i="15"/>
  <c r="J6" i="4"/>
  <c r="I5" i="4"/>
  <c r="E140" i="2"/>
  <c r="E142" i="2"/>
  <c r="H23" i="29"/>
  <c r="D142" i="2"/>
  <c r="F108" i="2"/>
  <c r="K6" i="3"/>
  <c r="K5" i="3"/>
  <c r="J5" i="3"/>
  <c r="K6" i="19"/>
  <c r="K5" i="19"/>
  <c r="J5" i="19"/>
  <c r="H50" i="1"/>
  <c r="I14" i="19"/>
  <c r="I40" i="29"/>
  <c r="I86" i="2"/>
  <c r="I35" i="10"/>
  <c r="I32" i="28"/>
  <c r="J33" i="28"/>
  <c r="K6" i="10"/>
  <c r="K5" i="10"/>
  <c r="J32" i="10"/>
  <c r="K6" i="20"/>
  <c r="K5" i="20"/>
  <c r="J5" i="20"/>
  <c r="F136" i="2"/>
  <c r="F137" i="2"/>
  <c r="K6" i="29"/>
  <c r="K5" i="29"/>
  <c r="I79" i="2"/>
  <c r="H101" i="2"/>
  <c r="H130" i="2"/>
  <c r="H132" i="2"/>
  <c r="H131" i="2"/>
  <c r="H100" i="2"/>
  <c r="H118" i="2"/>
  <c r="H104" i="2"/>
  <c r="H103" i="2"/>
  <c r="H91" i="2"/>
  <c r="H102" i="2"/>
  <c r="H129" i="2"/>
  <c r="H128" i="2"/>
  <c r="H105" i="2"/>
  <c r="H119" i="2"/>
  <c r="H133" i="2"/>
  <c r="H46" i="5"/>
  <c r="F125" i="2"/>
  <c r="F124" i="2"/>
  <c r="K50" i="15"/>
  <c r="K6" i="4"/>
  <c r="K5" i="4"/>
  <c r="J5" i="4"/>
  <c r="J77" i="2"/>
  <c r="J78" i="2"/>
  <c r="K6" i="2"/>
  <c r="L56" i="2"/>
  <c r="J5" i="2"/>
  <c r="L47" i="2"/>
  <c r="L13" i="2"/>
  <c r="L51" i="2"/>
  <c r="L63" i="2"/>
  <c r="L22" i="2"/>
  <c r="L58" i="2"/>
  <c r="L27" i="2"/>
  <c r="J5" i="11"/>
  <c r="K6" i="11"/>
  <c r="K5" i="11"/>
  <c r="J96" i="5"/>
  <c r="J90" i="5"/>
  <c r="J84" i="5"/>
  <c r="J99" i="5"/>
  <c r="J93" i="5"/>
  <c r="J87" i="5"/>
  <c r="J81" i="5"/>
  <c r="J58" i="5"/>
  <c r="J5" i="5"/>
  <c r="J74" i="5"/>
  <c r="J75" i="5"/>
  <c r="J66" i="5"/>
  <c r="J70" i="5"/>
  <c r="J71" i="5"/>
  <c r="J54" i="5"/>
  <c r="J50" i="5"/>
  <c r="J62" i="5"/>
  <c r="K6" i="5"/>
  <c r="L16" i="5"/>
  <c r="L57" i="5"/>
  <c r="K6" i="1"/>
  <c r="J5" i="1"/>
  <c r="L41" i="2"/>
  <c r="L46" i="2"/>
  <c r="G120" i="2"/>
  <c r="G134" i="2"/>
  <c r="G106" i="2"/>
  <c r="L26" i="2"/>
  <c r="L53" i="2"/>
  <c r="I78" i="15"/>
  <c r="I80" i="15"/>
  <c r="K12" i="3"/>
  <c r="K17" i="4"/>
  <c r="L23" i="2"/>
  <c r="L17" i="5"/>
  <c r="L40" i="2"/>
  <c r="L42" i="2"/>
  <c r="L50" i="2"/>
  <c r="L69" i="5"/>
  <c r="L62" i="2"/>
  <c r="L52" i="2"/>
  <c r="L65" i="5"/>
  <c r="L59" i="2"/>
  <c r="L73" i="5"/>
  <c r="L64" i="2"/>
  <c r="L13" i="5"/>
  <c r="L55" i="2"/>
  <c r="L54" i="2"/>
  <c r="L15" i="5"/>
  <c r="J79" i="2"/>
  <c r="J50" i="1"/>
  <c r="K99" i="5"/>
  <c r="K93" i="5"/>
  <c r="K87" i="5"/>
  <c r="K81" i="5"/>
  <c r="K84" i="5"/>
  <c r="K74" i="5"/>
  <c r="K75" i="5"/>
  <c r="K45" i="5"/>
  <c r="K62" i="5"/>
  <c r="K90" i="5"/>
  <c r="K96" i="5"/>
  <c r="K70" i="5"/>
  <c r="K71" i="5"/>
  <c r="K54" i="5"/>
  <c r="K58" i="5"/>
  <c r="K5" i="5"/>
  <c r="K66" i="5"/>
  <c r="L67" i="5"/>
  <c r="K50" i="5"/>
  <c r="L75" i="5"/>
  <c r="J44" i="5"/>
  <c r="L71" i="5"/>
  <c r="L59" i="5"/>
  <c r="F140" i="2"/>
  <c r="H120" i="2"/>
  <c r="K32" i="10"/>
  <c r="I101" i="2"/>
  <c r="I119" i="2"/>
  <c r="I105" i="2"/>
  <c r="I132" i="2"/>
  <c r="I131" i="2"/>
  <c r="I100" i="2"/>
  <c r="I130" i="2"/>
  <c r="I128" i="2"/>
  <c r="I118" i="2"/>
  <c r="I102" i="2"/>
  <c r="I104" i="2"/>
  <c r="I103" i="2"/>
  <c r="I91" i="2"/>
  <c r="I133" i="2"/>
  <c r="I129" i="2"/>
  <c r="G137" i="2"/>
  <c r="G136" i="2"/>
  <c r="G124" i="2"/>
  <c r="G125" i="2"/>
  <c r="K77" i="2"/>
  <c r="K78" i="2"/>
  <c r="K5" i="2"/>
  <c r="L77" i="2"/>
  <c r="F141" i="2"/>
  <c r="I23" i="29"/>
  <c r="J45" i="5"/>
  <c r="L45" i="5"/>
  <c r="H106" i="2"/>
  <c r="I50" i="1"/>
  <c r="G109" i="2"/>
  <c r="G108" i="2"/>
  <c r="K5" i="1"/>
  <c r="H134" i="2"/>
  <c r="J32" i="28"/>
  <c r="G141" i="2"/>
  <c r="L79" i="2"/>
  <c r="K79" i="2"/>
  <c r="K50" i="1"/>
  <c r="M75" i="5"/>
  <c r="G140" i="2"/>
  <c r="M59" i="5"/>
  <c r="I120" i="2"/>
  <c r="I125" i="2"/>
  <c r="F142" i="2"/>
  <c r="H109" i="2"/>
  <c r="H108" i="2"/>
  <c r="I106" i="2"/>
  <c r="H136" i="2"/>
  <c r="H137" i="2"/>
  <c r="H125" i="2"/>
  <c r="H124" i="2"/>
  <c r="L43" i="5"/>
  <c r="M67" i="5"/>
  <c r="K44" i="5"/>
  <c r="M44" i="5"/>
  <c r="M71" i="5"/>
  <c r="M45" i="5"/>
  <c r="M77" i="2"/>
  <c r="I134" i="2"/>
  <c r="M41" i="5"/>
  <c r="L41" i="5"/>
  <c r="N50" i="1"/>
  <c r="L44" i="5"/>
  <c r="G142" i="2"/>
  <c r="M79" i="2"/>
  <c r="I124" i="2"/>
  <c r="I109" i="2"/>
  <c r="I108" i="2"/>
  <c r="H141" i="2"/>
  <c r="I136" i="2"/>
  <c r="I137" i="2"/>
  <c r="I141" i="2"/>
  <c r="H140" i="2"/>
  <c r="M43" i="5"/>
  <c r="I140" i="2"/>
  <c r="I142" i="2"/>
  <c r="K82" i="15"/>
  <c r="H142" i="2"/>
  <c r="I18" i="5"/>
  <c r="K26" i="4"/>
  <c r="K18" i="5"/>
  <c r="K46" i="5"/>
  <c r="I46" i="5"/>
  <c r="I14" i="4"/>
  <c r="I26" i="4"/>
  <c r="I28" i="4"/>
  <c r="I64" i="4"/>
  <c r="I66" i="4"/>
  <c r="I68" i="4"/>
  <c r="F27" i="28"/>
  <c r="J35" i="28"/>
  <c r="K34" i="10"/>
  <c r="I35" i="28"/>
  <c r="J34" i="10"/>
  <c r="E90" i="2"/>
  <c r="H90" i="2"/>
  <c r="F90" i="2"/>
  <c r="D90" i="2"/>
  <c r="G90" i="2"/>
  <c r="G92" i="2"/>
  <c r="G81" i="15"/>
  <c r="G82" i="15"/>
  <c r="F18" i="2"/>
  <c r="F34" i="2"/>
  <c r="H92" i="2"/>
  <c r="H81" i="15"/>
  <c r="H82" i="15"/>
  <c r="F82" i="15"/>
  <c r="F92" i="2"/>
  <c r="F81" i="15"/>
  <c r="H18" i="2"/>
  <c r="H34" i="2"/>
  <c r="G18" i="2"/>
  <c r="G34" i="2"/>
  <c r="D92" i="2"/>
  <c r="D81" i="15"/>
  <c r="D82" i="15"/>
  <c r="E18" i="2"/>
  <c r="E34" i="2"/>
  <c r="D18" i="2"/>
  <c r="E81" i="15"/>
  <c r="E92" i="2"/>
  <c r="E82" i="15"/>
  <c r="E96" i="2"/>
  <c r="E112" i="2"/>
  <c r="E97" i="2"/>
  <c r="E113" i="2"/>
  <c r="E148" i="2"/>
  <c r="F96" i="2"/>
  <c r="F112" i="2"/>
  <c r="F97" i="2"/>
  <c r="F113" i="2"/>
  <c r="F148" i="2"/>
  <c r="G96" i="2"/>
  <c r="G112" i="2"/>
  <c r="G97" i="2"/>
  <c r="G113" i="2"/>
  <c r="G148" i="2"/>
  <c r="D34" i="2"/>
  <c r="D96" i="2"/>
  <c r="D97" i="2"/>
  <c r="G70" i="2"/>
  <c r="G69" i="2"/>
  <c r="G36" i="2"/>
  <c r="E36" i="2"/>
  <c r="E69" i="2"/>
  <c r="H96" i="2"/>
  <c r="H112" i="2"/>
  <c r="H97" i="2"/>
  <c r="H113" i="2"/>
  <c r="H148" i="2"/>
  <c r="E70" i="2"/>
  <c r="H69" i="2"/>
  <c r="H36" i="2"/>
  <c r="F69" i="2"/>
  <c r="F36" i="2"/>
  <c r="H70" i="2"/>
  <c r="F70" i="2"/>
  <c r="E71" i="2"/>
  <c r="F71" i="2"/>
  <c r="H114" i="2"/>
  <c r="H147" i="2"/>
  <c r="H149" i="2"/>
  <c r="D36" i="2"/>
  <c r="D69" i="2"/>
  <c r="G147" i="2"/>
  <c r="G149" i="2"/>
  <c r="G114" i="2"/>
  <c r="D70" i="2"/>
  <c r="H71" i="2"/>
  <c r="G71" i="2"/>
  <c r="D113" i="2"/>
  <c r="F147" i="2"/>
  <c r="F149" i="2"/>
  <c r="F114" i="2"/>
  <c r="D112" i="2"/>
  <c r="E114" i="2"/>
  <c r="E147" i="2"/>
  <c r="E149" i="2"/>
  <c r="D71" i="2"/>
  <c r="D147" i="2"/>
  <c r="D114" i="2"/>
  <c r="D148" i="2"/>
  <c r="D149" i="2"/>
  <c r="I90" i="2"/>
  <c r="I18" i="2"/>
  <c r="I82" i="15"/>
  <c r="I92" i="2"/>
  <c r="I81" i="15"/>
  <c r="I96" i="2"/>
  <c r="I97" i="2"/>
  <c r="I34" i="2"/>
  <c r="I112" i="2"/>
  <c r="I69" i="2"/>
  <c r="I36" i="2"/>
  <c r="I70" i="2"/>
  <c r="I113" i="2"/>
  <c r="I71" i="2"/>
  <c r="I114" i="2"/>
  <c r="I147" i="2"/>
  <c r="I148" i="2"/>
  <c r="I149" i="2"/>
  <c r="L12" i="5"/>
  <c r="M12" i="5"/>
  <c r="L53" i="5"/>
  <c r="M53" i="5"/>
  <c r="L55" i="5"/>
  <c r="M55" i="5"/>
  <c r="M40" i="5"/>
  <c r="L40" i="5"/>
  <c r="L12" i="2"/>
  <c r="L14" i="2"/>
  <c r="M12" i="2"/>
  <c r="M14" i="2"/>
  <c r="L18" i="2"/>
  <c r="M18" i="2"/>
  <c r="M19" i="2"/>
  <c r="L19" i="2"/>
  <c r="J78" i="15"/>
  <c r="J80" i="15"/>
  <c r="I36" i="28"/>
  <c r="E27" i="28"/>
  <c r="I34" i="28"/>
  <c r="J14" i="19"/>
  <c r="J86" i="2"/>
  <c r="J40" i="29"/>
  <c r="J23" i="29"/>
  <c r="J8" i="20"/>
  <c r="J57" i="1"/>
  <c r="J35" i="10"/>
  <c r="J36" i="28"/>
  <c r="J34" i="28"/>
  <c r="K35" i="10"/>
  <c r="K40" i="29"/>
  <c r="K23" i="29"/>
  <c r="K86" i="2"/>
  <c r="K14" i="19"/>
  <c r="J129" i="2"/>
  <c r="L129" i="2"/>
  <c r="J118" i="2"/>
  <c r="L118" i="2"/>
  <c r="J128" i="2"/>
  <c r="J105" i="2"/>
  <c r="L105" i="2"/>
  <c r="J104" i="2"/>
  <c r="L104" i="2"/>
  <c r="J101" i="2"/>
  <c r="L101" i="2"/>
  <c r="J100" i="2"/>
  <c r="J131" i="2"/>
  <c r="L131" i="2"/>
  <c r="J130" i="2"/>
  <c r="L130" i="2"/>
  <c r="J119" i="2"/>
  <c r="J132" i="2"/>
  <c r="L132" i="2"/>
  <c r="J133" i="2"/>
  <c r="L133" i="2"/>
  <c r="J120" i="2"/>
  <c r="L119" i="2"/>
  <c r="L120" i="2"/>
  <c r="J134" i="2"/>
  <c r="L128" i="2"/>
  <c r="J81" i="15"/>
  <c r="L90" i="2"/>
  <c r="J82" i="15"/>
  <c r="K101" i="2"/>
  <c r="M101" i="2"/>
  <c r="K133" i="2"/>
  <c r="M133" i="2"/>
  <c r="K91" i="2"/>
  <c r="K131" i="2"/>
  <c r="M131" i="2"/>
  <c r="K105" i="2"/>
  <c r="M105" i="2"/>
  <c r="K132" i="2"/>
  <c r="M132" i="2"/>
  <c r="K118" i="2"/>
  <c r="M118" i="2"/>
  <c r="K128" i="2"/>
  <c r="K90" i="2"/>
  <c r="K100" i="2"/>
  <c r="K130" i="2"/>
  <c r="M130" i="2"/>
  <c r="K119" i="2"/>
  <c r="K129" i="2"/>
  <c r="M129" i="2"/>
  <c r="K104" i="2"/>
  <c r="M104" i="2"/>
  <c r="L91" i="2"/>
  <c r="L100" i="2"/>
  <c r="K81" i="15"/>
  <c r="K92" i="2"/>
  <c r="M90" i="2"/>
  <c r="J137" i="2"/>
  <c r="L137" i="2"/>
  <c r="J136" i="2"/>
  <c r="L136" i="2"/>
  <c r="L134" i="2"/>
  <c r="J124" i="2"/>
  <c r="J125" i="2"/>
  <c r="J97" i="2"/>
  <c r="J96" i="2"/>
  <c r="M91" i="2"/>
  <c r="M128" i="2"/>
  <c r="K134" i="2"/>
  <c r="L92" i="2"/>
  <c r="M100" i="2"/>
  <c r="K120" i="2"/>
  <c r="M119" i="2"/>
  <c r="M120" i="2"/>
  <c r="K96" i="2"/>
  <c r="M96" i="2"/>
  <c r="K97" i="2"/>
  <c r="M97" i="2"/>
  <c r="K136" i="2"/>
  <c r="M136" i="2"/>
  <c r="K137" i="2"/>
  <c r="M137" i="2"/>
  <c r="L125" i="2"/>
  <c r="J141" i="2"/>
  <c r="L141" i="2"/>
  <c r="J140" i="2"/>
  <c r="L124" i="2"/>
  <c r="M134" i="2"/>
  <c r="K125" i="2"/>
  <c r="K124" i="2"/>
  <c r="L96" i="2"/>
  <c r="L97" i="2"/>
  <c r="M92" i="2"/>
  <c r="K140" i="2"/>
  <c r="M140" i="2"/>
  <c r="M124" i="2"/>
  <c r="J142" i="2"/>
  <c r="L142" i="2"/>
  <c r="L140" i="2"/>
  <c r="K141" i="2"/>
  <c r="M141" i="2"/>
  <c r="M125" i="2"/>
  <c r="K142" i="2"/>
  <c r="M142" i="2"/>
  <c r="J50" i="15"/>
  <c r="J64" i="4"/>
  <c r="J66" i="4"/>
  <c r="J68" i="4"/>
  <c r="M14" i="5"/>
  <c r="L14" i="5"/>
  <c r="M61" i="5"/>
  <c r="L61" i="5"/>
  <c r="L63" i="5"/>
  <c r="M63" i="5"/>
  <c r="L42" i="5"/>
  <c r="M42" i="5"/>
  <c r="L11" i="5"/>
  <c r="L18" i="5"/>
  <c r="M11" i="5"/>
  <c r="M18" i="5"/>
  <c r="M49" i="5"/>
  <c r="L49" i="5"/>
  <c r="L51" i="5"/>
  <c r="M51" i="5"/>
  <c r="M39" i="5"/>
  <c r="M46" i="5"/>
  <c r="J46" i="5"/>
  <c r="L39" i="5"/>
  <c r="L46" i="5"/>
  <c r="K103" i="2"/>
  <c r="M25" i="2"/>
  <c r="J103" i="2"/>
  <c r="L25" i="2"/>
  <c r="K102" i="2"/>
  <c r="K106" i="2"/>
  <c r="L103" i="2"/>
  <c r="M103" i="2"/>
  <c r="K109" i="2"/>
  <c r="K113" i="2"/>
  <c r="K148" i="2"/>
  <c r="K108" i="2"/>
  <c r="K112" i="2"/>
  <c r="K30" i="2"/>
  <c r="K34" i="2"/>
  <c r="K36" i="2"/>
  <c r="K69" i="2"/>
  <c r="K70" i="2"/>
  <c r="K147" i="2"/>
  <c r="K149" i="2"/>
  <c r="K114" i="2"/>
  <c r="K71" i="2"/>
  <c r="D31" i="10"/>
  <c r="D32" i="10"/>
  <c r="D53" i="10"/>
  <c r="D54" i="10"/>
  <c r="D36" i="1"/>
  <c r="D31" i="1"/>
  <c r="D30" i="1"/>
  <c r="D37" i="1"/>
  <c r="D33" i="1"/>
  <c r="D34" i="1"/>
  <c r="D38" i="1"/>
  <c r="D32" i="1"/>
  <c r="D35" i="1"/>
  <c r="D12" i="1"/>
  <c r="D16" i="1"/>
  <c r="D13" i="1"/>
  <c r="D15" i="1"/>
  <c r="D17" i="1"/>
  <c r="D14" i="1"/>
  <c r="D11" i="1"/>
  <c r="D18" i="1"/>
  <c r="D19" i="1"/>
  <c r="D58" i="10"/>
  <c r="D57" i="10"/>
  <c r="D51" i="10"/>
  <c r="D48" i="29"/>
  <c r="D55" i="10"/>
  <c r="D59" i="10"/>
  <c r="D10" i="1"/>
  <c r="D29" i="1"/>
  <c r="D39" i="1"/>
  <c r="D20" i="1"/>
  <c r="D21" i="1"/>
  <c r="D40" i="1"/>
  <c r="D63" i="1"/>
  <c r="D22" i="1"/>
  <c r="D41" i="1"/>
  <c r="D23" i="1"/>
  <c r="D42" i="1"/>
  <c r="J68" i="10"/>
  <c r="J70" i="10"/>
  <c r="H31" i="10"/>
  <c r="I31" i="10"/>
  <c r="F31" i="10"/>
  <c r="G31" i="10"/>
  <c r="E31" i="10"/>
  <c r="E32" i="10"/>
  <c r="F32" i="10"/>
  <c r="G32" i="10"/>
  <c r="E54" i="10"/>
  <c r="E53" i="10"/>
  <c r="F54" i="10"/>
  <c r="E37" i="1"/>
  <c r="E30" i="1"/>
  <c r="E31" i="1"/>
  <c r="E36" i="1"/>
  <c r="E34" i="1"/>
  <c r="E32" i="1"/>
  <c r="E33" i="1"/>
  <c r="E35" i="1"/>
  <c r="E38" i="1"/>
  <c r="E57" i="10"/>
  <c r="E51" i="10"/>
  <c r="E55" i="10"/>
  <c r="H32" i="10"/>
  <c r="E16" i="1"/>
  <c r="E11" i="1"/>
  <c r="E14" i="1"/>
  <c r="E18" i="1"/>
  <c r="E19" i="1"/>
  <c r="E17" i="1"/>
  <c r="E12" i="1"/>
  <c r="E15" i="1"/>
  <c r="E13" i="1"/>
  <c r="F53" i="10"/>
  <c r="F55" i="10"/>
  <c r="E48" i="29"/>
  <c r="E58" i="10"/>
  <c r="G54" i="10"/>
  <c r="F37" i="1"/>
  <c r="F33" i="1"/>
  <c r="F30" i="1"/>
  <c r="F32" i="1"/>
  <c r="F34" i="1"/>
  <c r="F35" i="1"/>
  <c r="F36" i="1"/>
  <c r="F38" i="1"/>
  <c r="F31" i="1"/>
  <c r="E59" i="10"/>
  <c r="E10" i="1"/>
  <c r="E29" i="1"/>
  <c r="F16" i="1"/>
  <c r="F18" i="1"/>
  <c r="F15" i="1"/>
  <c r="F13" i="1"/>
  <c r="F17" i="1"/>
  <c r="F12" i="1"/>
  <c r="F11" i="1"/>
  <c r="F14" i="1"/>
  <c r="F19" i="1"/>
  <c r="G53" i="10"/>
  <c r="G55" i="10"/>
  <c r="F48" i="29"/>
  <c r="F58" i="10"/>
  <c r="G48" i="29"/>
  <c r="F51" i="10"/>
  <c r="F57" i="10"/>
  <c r="J64" i="10"/>
  <c r="I32" i="10"/>
  <c r="G35" i="1"/>
  <c r="G33" i="1"/>
  <c r="G32" i="1"/>
  <c r="G30" i="1"/>
  <c r="G34" i="1"/>
  <c r="G38" i="1"/>
  <c r="G36" i="1"/>
  <c r="G37" i="1"/>
  <c r="G31" i="1"/>
  <c r="G57" i="10"/>
  <c r="G51" i="10"/>
  <c r="G58" i="10"/>
  <c r="G19" i="1"/>
  <c r="G13" i="1"/>
  <c r="G17" i="1"/>
  <c r="G12" i="1"/>
  <c r="G18" i="1"/>
  <c r="G11" i="1"/>
  <c r="G16" i="1"/>
  <c r="G14" i="1"/>
  <c r="G15" i="1"/>
  <c r="H54" i="10"/>
  <c r="F29" i="1"/>
  <c r="F10" i="1"/>
  <c r="F59" i="10"/>
  <c r="H53" i="10"/>
  <c r="H55" i="10"/>
  <c r="E39" i="1"/>
  <c r="E20" i="1"/>
  <c r="H35" i="1"/>
  <c r="H37" i="1"/>
  <c r="H36" i="1"/>
  <c r="H31" i="1"/>
  <c r="H38" i="1"/>
  <c r="H33" i="1"/>
  <c r="H30" i="1"/>
  <c r="H32" i="1"/>
  <c r="H34" i="1"/>
  <c r="G29" i="1"/>
  <c r="G10" i="1"/>
  <c r="F21" i="1"/>
  <c r="F40" i="1"/>
  <c r="G59" i="10"/>
  <c r="I54" i="10"/>
  <c r="H51" i="10"/>
  <c r="H57" i="10"/>
  <c r="F20" i="1"/>
  <c r="H18" i="1"/>
  <c r="H19" i="1"/>
  <c r="H11" i="1"/>
  <c r="H16" i="1"/>
  <c r="H15" i="1"/>
  <c r="H12" i="1"/>
  <c r="H17" i="1"/>
  <c r="H14" i="1"/>
  <c r="H13" i="1"/>
  <c r="H48" i="29"/>
  <c r="H58" i="10"/>
  <c r="I53" i="10"/>
  <c r="F39" i="1"/>
  <c r="I58" i="10"/>
  <c r="G20" i="1"/>
  <c r="I48" i="29"/>
  <c r="H59" i="10"/>
  <c r="I13" i="1"/>
  <c r="I18" i="1"/>
  <c r="I17" i="1"/>
  <c r="I11" i="1"/>
  <c r="I14" i="1"/>
  <c r="I15" i="1"/>
  <c r="I16" i="1"/>
  <c r="I19" i="1"/>
  <c r="I12" i="1"/>
  <c r="G39" i="1"/>
  <c r="E21" i="1"/>
  <c r="I55" i="10"/>
  <c r="H10" i="1"/>
  <c r="H29" i="1"/>
  <c r="I57" i="10"/>
  <c r="I51" i="10"/>
  <c r="I59" i="10"/>
  <c r="H20" i="1"/>
  <c r="E63" i="1"/>
  <c r="I10" i="1"/>
  <c r="I29" i="1"/>
  <c r="H39" i="1"/>
  <c r="E22" i="1"/>
  <c r="E41" i="1"/>
  <c r="I35" i="1"/>
  <c r="I30" i="1"/>
  <c r="I37" i="1"/>
  <c r="I32" i="1"/>
  <c r="I33" i="1"/>
  <c r="I38" i="1"/>
  <c r="I36" i="1"/>
  <c r="I34" i="1"/>
  <c r="I31" i="1"/>
  <c r="F41" i="1"/>
  <c r="F22" i="1"/>
  <c r="F63" i="1"/>
  <c r="E40" i="1"/>
  <c r="E23" i="1"/>
  <c r="F23" i="1"/>
  <c r="I20" i="1"/>
  <c r="H21" i="1"/>
  <c r="E42" i="1"/>
  <c r="F42" i="1"/>
  <c r="I39" i="1"/>
  <c r="H40" i="1"/>
  <c r="G22" i="1"/>
  <c r="G40" i="1"/>
  <c r="G21" i="1"/>
  <c r="H22" i="1"/>
  <c r="H41" i="1"/>
  <c r="H63" i="1"/>
  <c r="G41" i="1"/>
  <c r="H42" i="1"/>
  <c r="G63" i="1"/>
  <c r="H23" i="1"/>
  <c r="G23" i="1"/>
  <c r="G42" i="1"/>
  <c r="I63" i="1"/>
  <c r="I40" i="1"/>
  <c r="I21" i="1"/>
  <c r="I22" i="1"/>
  <c r="I41" i="1"/>
  <c r="I23" i="1"/>
  <c r="I42" i="1"/>
  <c r="M24" i="2"/>
  <c r="J102" i="2"/>
  <c r="L24" i="2"/>
  <c r="J106" i="2"/>
  <c r="M102" i="2"/>
  <c r="L102" i="2"/>
  <c r="M28" i="2"/>
  <c r="J30" i="2"/>
  <c r="L28" i="2"/>
  <c r="J31" i="10"/>
  <c r="M30" i="2"/>
  <c r="L30" i="2"/>
  <c r="J34" i="2"/>
  <c r="J108" i="2"/>
  <c r="J109" i="2"/>
  <c r="M106" i="2"/>
  <c r="L106" i="2"/>
  <c r="L31" i="2"/>
  <c r="M31" i="2"/>
  <c r="J65" i="10"/>
  <c r="J67" i="10"/>
  <c r="J71" i="10"/>
  <c r="J75" i="10"/>
  <c r="K31" i="10"/>
  <c r="J113" i="2"/>
  <c r="L109" i="2"/>
  <c r="M109" i="2"/>
  <c r="M108" i="2"/>
  <c r="J112" i="2"/>
  <c r="L108" i="2"/>
  <c r="J73" i="10"/>
  <c r="J74" i="10"/>
  <c r="J70" i="2"/>
  <c r="M35" i="2"/>
  <c r="L35" i="2"/>
  <c r="J69" i="2"/>
  <c r="L34" i="2"/>
  <c r="M34" i="2"/>
  <c r="J36" i="2"/>
  <c r="L70" i="2"/>
  <c r="M70" i="2"/>
  <c r="L36" i="2"/>
  <c r="M36" i="2"/>
  <c r="J114" i="2"/>
  <c r="J147" i="2"/>
  <c r="L112" i="2"/>
  <c r="M112" i="2"/>
  <c r="J71" i="2"/>
  <c r="L69" i="2"/>
  <c r="M69" i="2"/>
  <c r="J148" i="2"/>
  <c r="M113" i="2"/>
  <c r="L113" i="2"/>
  <c r="M148" i="2"/>
  <c r="L148" i="2"/>
  <c r="J149" i="2"/>
  <c r="M147" i="2"/>
  <c r="L147" i="2"/>
  <c r="J53" i="10"/>
  <c r="M114" i="2"/>
  <c r="L114" i="2"/>
  <c r="J54" i="10"/>
  <c r="M71" i="2"/>
  <c r="L71" i="2"/>
  <c r="J55" i="10"/>
  <c r="L149" i="2"/>
  <c r="M149" i="2"/>
  <c r="J36" i="1"/>
  <c r="J34" i="1"/>
  <c r="J35" i="1"/>
  <c r="J37" i="1"/>
  <c r="J31" i="1"/>
  <c r="J33" i="1"/>
  <c r="J32" i="1"/>
  <c r="J38" i="1"/>
  <c r="M34" i="1"/>
  <c r="M35" i="1"/>
  <c r="M38" i="1"/>
  <c r="M31" i="1"/>
  <c r="M37" i="1"/>
  <c r="M32" i="1"/>
  <c r="M36" i="1"/>
  <c r="M33" i="1"/>
  <c r="M30" i="1"/>
  <c r="J30" i="1"/>
  <c r="K54" i="10"/>
  <c r="J48" i="29"/>
  <c r="K53" i="10"/>
  <c r="J51" i="10"/>
  <c r="J57" i="10"/>
  <c r="J58" i="10"/>
  <c r="K48" i="29"/>
  <c r="J59" i="10"/>
  <c r="K55" i="10"/>
  <c r="K58" i="10"/>
  <c r="K57" i="10"/>
  <c r="K51" i="10"/>
  <c r="K31" i="1"/>
  <c r="K37" i="1"/>
  <c r="K33" i="1"/>
  <c r="K36" i="1"/>
  <c r="K35" i="1"/>
  <c r="K38" i="1"/>
  <c r="K32" i="1"/>
  <c r="K34" i="1"/>
  <c r="K30" i="1"/>
  <c r="J29" i="1"/>
  <c r="M29" i="1"/>
  <c r="K15" i="1"/>
  <c r="K18" i="1"/>
  <c r="K14" i="1"/>
  <c r="K17" i="1"/>
  <c r="K19" i="1"/>
  <c r="K16" i="1"/>
  <c r="K12" i="1"/>
  <c r="K13" i="1"/>
  <c r="K11" i="1"/>
  <c r="K59" i="10"/>
  <c r="J39" i="1"/>
  <c r="M39" i="1"/>
  <c r="K10" i="1"/>
  <c r="K29" i="1"/>
  <c r="K20" i="1"/>
  <c r="J40" i="1"/>
  <c r="K39" i="1"/>
  <c r="M40" i="1"/>
  <c r="M60" i="1"/>
  <c r="M62" i="1"/>
  <c r="J41" i="1"/>
  <c r="M41" i="1"/>
  <c r="J63" i="1"/>
  <c r="K21" i="1"/>
  <c r="K40" i="1"/>
  <c r="J42" i="1"/>
  <c r="N60" i="1"/>
  <c r="M63" i="1"/>
  <c r="M42" i="1"/>
  <c r="N62" i="1"/>
  <c r="K22" i="1"/>
  <c r="K41" i="1"/>
  <c r="K63" i="1"/>
  <c r="N63" i="1"/>
  <c r="K23" i="1"/>
  <c r="K42" i="1"/>
</calcChain>
</file>

<file path=xl/sharedStrings.xml><?xml version="1.0" encoding="utf-8"?>
<sst xmlns="http://schemas.openxmlformats.org/spreadsheetml/2006/main" count="1499" uniqueCount="670">
  <si>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</si>
  <si>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</si>
  <si>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</si>
  <si>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</si>
  <si>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</si>
  <si>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</si>
  <si>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</si>
  <si>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</si>
  <si>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</si>
  <si>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</si>
  <si>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</si>
  <si>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</si>
  <si>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</si>
  <si>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</si>
  <si>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</si>
  <si>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</si>
  <si>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</si>
  <si>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</si>
  <si>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</si>
  <si>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</si>
  <si>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</si>
  <si>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</si>
  <si>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</si>
  <si>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</si>
  <si>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</si>
  <si>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</si>
  <si>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</si>
  <si>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</si>
  <si>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</si>
  <si>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</si>
  <si>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</si>
  <si>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</si>
  <si>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</si>
  <si>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</si>
  <si>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</si>
  <si>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</si>
  <si>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</si>
  <si>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</si>
  <si>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</si>
  <si>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</si>
  <si>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</si>
  <si>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</si>
  <si>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</si>
  <si>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</si>
  <si>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</si>
  <si>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</si>
  <si>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</si>
  <si>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</si>
  <si>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</si>
  <si>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</si>
  <si>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</si>
  <si>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</si>
  <si>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</si>
  <si>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</si>
  <si>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</si>
  <si>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</si>
  <si>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</si>
  <si>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</si>
  <si>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</si>
  <si>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</si>
  <si>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</si>
  <si>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</si>
  <si>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</si>
  <si>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</si>
  <si>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</si>
  <si>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</si>
  <si>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</si>
  <si>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</si>
  <si>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</si>
  <si>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</si>
  <si>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</si>
  <si>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</si>
  <si>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</si>
  <si>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</si>
  <si>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</si>
  <si>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</si>
  <si>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</si>
  <si>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</si>
  <si>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</si>
  <si>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</si>
  <si>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</si>
  <si>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</si>
  <si>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</si>
  <si>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</si>
  <si>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</si>
  <si>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</si>
  <si>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</si>
  <si>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</si>
  <si>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</si>
  <si>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</si>
  <si>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</si>
  <si>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</si>
  <si>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</si>
  <si>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</si>
  <si>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</si>
  <si>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</si>
  <si>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</si>
  <si>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</si>
  <si>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</si>
  <si>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</si>
  <si>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</si>
  <si>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</si>
  <si>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</si>
  <si>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</si>
  <si>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</si>
  <si>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</si>
  <si>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</si>
  <si>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</si>
  <si>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</si>
  <si>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</si>
  <si>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</si>
  <si>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</si>
  <si>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</si>
  <si>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</si>
  <si>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</si>
  <si>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</si>
  <si>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</si>
  <si>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</si>
  <si>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</si>
  <si>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</si>
  <si>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</si>
  <si>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</si>
  <si>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</si>
  <si>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</si>
  <si>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</si>
  <si>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</si>
  <si>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</si>
  <si>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</si>
  <si>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</si>
  <si>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</si>
  <si>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</si>
  <si>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</si>
  <si>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</si>
  <si>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</si>
  <si>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</si>
  <si>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</si>
  <si>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</si>
  <si>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</si>
  <si>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</si>
  <si>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</si>
  <si>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</si>
  <si>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</si>
  <si>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</si>
  <si>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</si>
  <si>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</si>
  <si>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</si>
  <si>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</si>
  <si>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</si>
  <si>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</si>
  <si>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</si>
  <si>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</si>
  <si>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</si>
  <si>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</si>
  <si>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</si>
  <si>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</si>
  <si>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</si>
  <si>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</si>
  <si>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</si>
  <si>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</si>
  <si>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</si>
  <si>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</si>
  <si>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</si>
  <si>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</si>
  <si>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</si>
  <si>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</si>
  <si>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</si>
  <si>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</si>
  <si>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</si>
  <si>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</si>
  <si>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</si>
  <si>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</si>
  <si>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</si>
  <si>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</si>
  <si>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</si>
  <si>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</si>
  <si>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</si>
  <si>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</si>
  <si>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</si>
  <si>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</si>
  <si>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</si>
  <si>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</si>
  <si>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</si>
  <si>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</si>
  <si>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</si>
  <si>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</si>
  <si>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</si>
  <si>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</si>
  <si>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</si>
  <si>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</si>
  <si>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</si>
  <si>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</si>
  <si>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</si>
  <si>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</si>
  <si>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</si>
  <si>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</si>
  <si>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</si>
  <si>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</si>
  <si>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</si>
  <si>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</si>
  <si>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</si>
  <si>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</si>
  <si>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</si>
  <si>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</si>
  <si>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</si>
  <si>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</si>
  <si>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</si>
  <si>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</si>
  <si>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</si>
  <si>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</si>
  <si>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</si>
  <si>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</si>
  <si>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</si>
  <si>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</si>
  <si>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</si>
  <si>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</si>
  <si>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</si>
  <si>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</si>
  <si>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</si>
  <si>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</si>
  <si>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</si>
  <si>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</si>
  <si>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</si>
  <si>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</si>
  <si>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</si>
  <si>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</si>
  <si>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</si>
  <si>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</si>
  <si>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</si>
  <si>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</si>
  <si>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</si>
  <si>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</si>
  <si>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</si>
  <si>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</si>
  <si>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</si>
  <si>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</si>
  <si>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</si>
  <si>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</si>
  <si>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</si>
  <si>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</si>
  <si>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</si>
  <si>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</si>
  <si>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</si>
  <si>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</si>
  <si>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</si>
  <si>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</si>
  <si>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</si>
  <si>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</si>
  <si>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</si>
  <si>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</si>
  <si>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</si>
  <si>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</si>
  <si>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</si>
  <si>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</si>
  <si>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</si>
  <si>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</si>
  <si>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</si>
  <si>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</si>
  <si>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</si>
  <si>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</si>
  <si>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</si>
  <si>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</si>
  <si>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</si>
  <si>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</si>
  <si>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</si>
  <si>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</si>
  <si>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</si>
  <si>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</si>
  <si>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</si>
  <si>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</si>
  <si>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</si>
  <si>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</si>
  <si>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</si>
  <si>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</si>
  <si>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</si>
  <si>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</si>
  <si>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</si>
  <si>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</si>
  <si>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</si>
  <si>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</si>
  <si>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</si>
  <si>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</si>
  <si>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</si>
  <si>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</si>
  <si>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</si>
  <si>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</si>
  <si>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</si>
  <si>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</si>
  <si>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</si>
  <si>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</si>
  <si>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</si>
  <si>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</si>
  <si>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</si>
  <si>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</si>
  <si>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</si>
  <si>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</si>
  <si>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</si>
  <si>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</si>
  <si>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</si>
  <si>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</si>
  <si>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</si>
  <si>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</si>
  <si>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</si>
  <si>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</si>
  <si>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</si>
  <si>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</si>
  <si>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</si>
  <si>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</si>
  <si>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</si>
  <si>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</si>
  <si>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</si>
  <si>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</si>
  <si>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</si>
  <si>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</si>
  <si>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</si>
  <si>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</si>
  <si>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</si>
  <si>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</si>
  <si>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</si>
  <si>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</si>
  <si>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</si>
  <si>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</si>
  <si>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</si>
  <si>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</si>
  <si>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</si>
  <si>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</si>
  <si>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</si>
  <si>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</si>
  <si>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</si>
  <si>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</si>
  <si>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</si>
  <si>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</si>
  <si>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</si>
  <si>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</si>
  <si>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</si>
  <si>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</si>
  <si>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</si>
  <si>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</si>
  <si>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</si>
  <si>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</si>
  <si>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</si>
  <si>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</si>
  <si>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</si>
  <si>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</si>
  <si>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</si>
  <si>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</si>
  <si>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</si>
  <si>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</si>
  <si>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</si>
  <si>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</si>
  <si>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</si>
  <si>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</si>
  <si>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</si>
  <si>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6. Other adjustment (Overwrite)</t>
  </si>
  <si>
    <t>7. Other adjustment (Overwrite)</t>
  </si>
  <si>
    <t>8. Other adjustment (Overwrite)</t>
  </si>
  <si>
    <t>9. Other adjustment (Overwrite)</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</si>
  <si>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</si>
  <si>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</si>
  <si>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</si>
  <si>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</si>
  <si>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</si>
  <si>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</si>
  <si>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</si>
  <si>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</si>
  <si>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</si>
  <si>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</si>
  <si>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</si>
  <si>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</si>
  <si>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</si>
  <si>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</si>
  <si>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</si>
  <si>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</si>
  <si>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</si>
  <si>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</si>
  <si>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</si>
  <si>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</si>
  <si>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</si>
  <si>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</si>
  <si>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</si>
  <si>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</si>
  <si>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</si>
  <si>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</si>
  <si>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</si>
  <si>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</si>
  <si>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</si>
  <si>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</si>
  <si>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</si>
  <si>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</si>
  <si>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</si>
  <si>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</si>
  <si>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</si>
  <si>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</si>
  <si>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</si>
  <si>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</si>
  <si>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</si>
  <si>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</si>
  <si>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</si>
  <si>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</si>
  <si>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</si>
  <si>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</si>
  <si>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</si>
  <si>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</si>
  <si>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</si>
  <si>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</si>
  <si>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</si>
  <si>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</si>
  <si>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</si>
  <si>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</si>
  <si>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</si>
  <si>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</si>
  <si>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</si>
  <si>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</si>
  <si>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</si>
  <si>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</si>
  <si>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</si>
  <si>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</si>
  <si>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</si>
  <si>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</si>
  <si>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</si>
  <si>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</si>
  <si>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</si>
  <si>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</si>
  <si>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</si>
  <si>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</si>
  <si>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</si>
  <si>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</si>
  <si>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</si>
  <si>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</si>
  <si>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</si>
  <si>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</si>
  <si>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</si>
  <si>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</si>
  <si>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</si>
  <si>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</si>
  <si>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</si>
  <si>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</si>
  <si>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</si>
  <si>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</si>
  <si>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</si>
  <si>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</si>
  <si>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</si>
  <si>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</si>
  <si>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</si>
  <si>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</si>
  <si>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</si>
  <si>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</si>
  <si>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</si>
  <si>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</si>
  <si>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</si>
  <si>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</si>
  <si>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</si>
  <si>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</si>
  <si>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</si>
  <si>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</si>
  <si>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</si>
  <si>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</si>
  <si>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</si>
  <si>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</si>
  <si>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</si>
  <si>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</si>
  <si>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</si>
  <si>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</si>
  <si>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</si>
  <si>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</si>
  <si>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</si>
  <si>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</si>
  <si>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</si>
  <si>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</si>
  <si>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</si>
  <si>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</si>
  <si>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</si>
  <si>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</si>
  <si>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</si>
  <si>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</si>
  <si>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</si>
  <si>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</si>
  <si>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</si>
  <si>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</si>
  <si>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</si>
  <si>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</si>
  <si>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</si>
  <si>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</si>
  <si>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</si>
  <si>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</si>
  <si>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</si>
  <si>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</si>
  <si>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</si>
  <si>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</si>
  <si>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</si>
  <si>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</si>
  <si>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</si>
  <si>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</si>
  <si>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</si>
  <si>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</si>
  <si>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</si>
  <si>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</si>
  <si>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</si>
  <si>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</si>
  <si>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</si>
  <si>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</si>
  <si>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</si>
  <si>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</si>
  <si>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</si>
  <si>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</si>
  <si>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</si>
  <si>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</si>
  <si>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</si>
  <si>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</si>
  <si>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</si>
  <si>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</si>
  <si>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</si>
  <si>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</si>
  <si>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</si>
  <si>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</si>
  <si>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</si>
  <si>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</si>
  <si>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</si>
  <si>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</si>
  <si>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</si>
  <si>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</si>
  <si>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</si>
  <si>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</si>
  <si>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</si>
  <si>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</si>
  <si>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</si>
  <si>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</si>
  <si>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</si>
  <si>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</si>
  <si>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</si>
  <si>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</si>
  <si>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</si>
  <si>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</si>
  <si>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</si>
  <si>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</si>
  <si>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</si>
  <si>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</si>
  <si>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</si>
  <si>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</si>
  <si>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</si>
  <si>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</si>
  <si>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</si>
  <si>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</si>
  <si>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</si>
  <si>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</si>
  <si>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</si>
  <si>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</si>
  <si>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</si>
  <si>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</si>
  <si>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</si>
  <si>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</si>
  <si>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</si>
  <si>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</si>
  <si>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</si>
  <si>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</si>
  <si>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</si>
  <si>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</si>
  <si>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</si>
  <si>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</si>
  <si>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</si>
  <si>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</si>
  <si>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</si>
  <si>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</si>
  <si>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</si>
  <si>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</si>
  <si>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</si>
  <si>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</si>
  <si>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</si>
  <si>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</si>
  <si>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</si>
  <si>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</si>
  <si>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</si>
  <si>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</si>
  <si>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</si>
  <si>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</si>
  <si>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</si>
  <si>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</si>
  <si>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</si>
  <si>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Updated the cost of debt figures for 2022 and 2023 to match latest PCFM, M3 New Forecasts RPI for 2021, 2022 and 2023 and Financial Year Average RPI and Year end RPI in cells E24 and F24</t>
  </si>
  <si>
    <t>('R8 - Net Debt'!D54-AVERAGE('R8 - Net Debt'!D8,('R8 - Net Debt'!D10-'R8a - Net Debt input'!T18)))*(Data!C36-1)</t>
  </si>
  <si>
    <t>NGESO</t>
  </si>
  <si>
    <t xml:space="preserve">ESO Reporting and Incentive (ESORI) </t>
  </si>
  <si>
    <t>Updated RPI Index for 2020 and 2021, M3 New Forecasts RPI for 2021, 2022 and 2023</t>
  </si>
  <si>
    <t xml:space="preserve">Updated the cost of debt figures for 2021, 2022 and 2023 </t>
  </si>
  <si>
    <t>Cell D37 - formula has been corrected</t>
  </si>
  <si>
    <t>RFPR Cover</t>
  </si>
  <si>
    <t>Changed NGET(SO) to NGESO in the Drop down list</t>
  </si>
  <si>
    <t xml:space="preserve">Row 196 - NGESO incentive added </t>
  </si>
  <si>
    <t>DPCR4 residual distribution losses incentive (WPD and SSE owned licencees)</t>
  </si>
  <si>
    <t>Items reported as Cost Recoveries in the RRP, but Turnover in the Reg Accounts</t>
  </si>
  <si>
    <t>Items reported as cost recoveries in the Reg Accounts, but Revenue in the Revenue Return</t>
  </si>
  <si>
    <t>NIA and LCN Tier 2 income adjustments</t>
  </si>
  <si>
    <t>DRS1 revenue Outside Price Control</t>
  </si>
  <si>
    <t>Connections Contributions not treated as revenue Inside/Outside Price Control</t>
  </si>
  <si>
    <t>DRS1 revenue Inside Price Control</t>
  </si>
  <si>
    <t>Profit/Loss on Disposal of Fixed assets reported in RRP (not included above)</t>
  </si>
  <si>
    <t>Capitalised depreciation included in Tangible Fixed Asset Additions in Reg Accounts, but not reported in RRP</t>
  </si>
  <si>
    <t>Adjustments to convert from FRS101 basis in Reg Accounts to UK GAAP basis in RRP (ARO and capitalised interest)</t>
  </si>
  <si>
    <t>Capital items in Reg Accounts, but not in RRP</t>
  </si>
  <si>
    <t>Capital items in RRP, but not in Reg Accounts</t>
  </si>
  <si>
    <t>Regulatory Accounts Income treated as contributions and cost recoveries in RRP</t>
  </si>
  <si>
    <t>Cost recoveries treated as operating costs in Regulatory Accounts (and Revenue Return), but analysed as Income in the RIGs</t>
  </si>
  <si>
    <t>Operating cost adjustments in RRP, but not in Reg Accounts</t>
  </si>
  <si>
    <t>Non cash atypical and provision movements included in Reg Accounts, but not in RRP</t>
  </si>
  <si>
    <t>Pension deficit costs reported in RRP, but not in Reg Accounts</t>
  </si>
  <si>
    <t>Pensions prepayment adjustments reported in RRP, but not in Reg Accounts</t>
  </si>
  <si>
    <t>Reporting differences between Reg Accounts and RRP on ongoing pension charges</t>
  </si>
  <si>
    <t>Other pensions adjustments</t>
  </si>
  <si>
    <t>NIA / LCNF capital contributions adjustment</t>
  </si>
  <si>
    <t>Other, including rounding</t>
  </si>
  <si>
    <t>GMP equalisation not in the RRP</t>
  </si>
  <si>
    <t>General transfers between DNOs not in Regs</t>
  </si>
  <si>
    <t>Additional Totex adjustment not in Reg Accounts</t>
  </si>
  <si>
    <t>Non Activity Based costs - Includes Business Rates &amp; Transmission Connection Point Charges incurred</t>
  </si>
  <si>
    <t>Other Non Activity Based costs - Includes Pensions Established Deficit Repair Payments</t>
  </si>
  <si>
    <t>Activity based Costs outside Price Control - Includes connections</t>
  </si>
  <si>
    <t>Other agreed Totex adjustments</t>
  </si>
  <si>
    <t>Pensions prepayment (See Appendices within RFPR commentary documentation)</t>
  </si>
  <si>
    <t>Rail Electrification (See Appendices within RFRS commentary documentation)</t>
  </si>
  <si>
    <t>TIM neutral and Smart meter adjustments to Totex allowance</t>
  </si>
  <si>
    <t>Appendix 2</t>
  </si>
  <si>
    <t>(Discount)/premium on issue</t>
  </si>
  <si>
    <t>Other amounts due to/(from) group companies</t>
  </si>
  <si>
    <t xml:space="preserve">Restricted cash balances - Excluded from the 'Net Debt per Regulatory Definition' per the 2018 RIGs Ofgem consultation and retrospectively removed from 2016 &amp; 2017 </t>
  </si>
  <si>
    <t xml:space="preserve">Year end balances of fair value adjustments on derivatives </t>
  </si>
  <si>
    <t>FRS101 adjustment - ARO</t>
  </si>
  <si>
    <t>Other finance costs</t>
  </si>
  <si>
    <t>IFRS16 Lease Interest Expense</t>
  </si>
  <si>
    <t>Interest capitalised</t>
  </si>
  <si>
    <t>Interest associated to Long term loans (Not for benefit of regulated business or distribution in nature)</t>
  </si>
  <si>
    <t>Formula in cell E37 has been corrected</t>
  </si>
  <si>
    <t xml:space="preserve"> Cell M30 -formula has been removed.</t>
  </si>
  <si>
    <t>Metering equipment and services</t>
  </si>
  <si>
    <t>Directly Remunerated Services (excluding metering)</t>
  </si>
  <si>
    <t>RPI true up</t>
  </si>
  <si>
    <t>DPCR5 legacy revenue adjustment</t>
  </si>
  <si>
    <t>Revenue profiling adjustment</t>
  </si>
  <si>
    <t>Enduring value adjustments</t>
  </si>
  <si>
    <t>Priority Service Register (PSR) fine</t>
  </si>
  <si>
    <t>Remove Rail Electrification EV adj due to not being in Corp Model RAV</t>
  </si>
  <si>
    <t>Revised Opening RAV</t>
  </si>
  <si>
    <t>Net Additions</t>
  </si>
  <si>
    <t>5BD Lag SONIA</t>
  </si>
  <si>
    <t>R5</t>
  </si>
  <si>
    <t>Nominal</t>
  </si>
  <si>
    <t xml:space="preserve">Price base in cell D26 corrected to read "Nominal", rather than 2012/13 prices. </t>
  </si>
  <si>
    <t xml:space="preserve">General </t>
  </si>
  <si>
    <t>In the 2020/21 submission, 2021/22 values were forecast values; these have now been updated in the 2021/22 submission with actual values. Similarly, forecast data for 2022/23 has been updated in the 2021/22 submission to reflect more recent views of forecast performance.</t>
  </si>
  <si>
    <t>May 2022 Publication</t>
  </si>
  <si>
    <t>TIM neutral Green recovery adjustment to Totex allowance</t>
  </si>
  <si>
    <t>R4-Totex</t>
  </si>
  <si>
    <t xml:space="preserve">Following the AIP and finalisation of the 2021 PCFM in November 2021 the 2020/21 TIM neutral and Smart meter allowance adjustments have now been updated. This requires a prior year restatement of RFPR values in Totex allowances in cell I13 and Enduring values adjustment in I24 due to the balance previously reported within I24 now being factored into the allowance in I13. Overall net impact being zero. </t>
  </si>
  <si>
    <t>The 2021 actuals have been updated following final Ofgem approval of Time to Connect Incentives. This has decreased the Output Incentive in 2021 by -£0.019m. 2022 actuals are subject to change until Ofgem confirm our performance KPIs later in 2022.</t>
  </si>
  <si>
    <t>The 2021 actuals have been updated following final Ofgem approval of Interruptions related quality of service performance in October 2021. This has decreased the Output Incentive in 2021 by -£0.205m. 2022 actuals are subject to change until Ofgem confirm our performance KPIs later in 2022.</t>
  </si>
  <si>
    <t>SOLR and bad debt claims not in P&amp;L (20/21); difference in accounting between stats and RRP (21/22)</t>
  </si>
  <si>
    <t xml:space="preserve">Updated cells E26 and F26 following confirmation of Financial Year Average RPI (RPIt) and Year end RPI indices from Stephanie Fernandes at Ofgem on the 21/06/22.
Updated cells I39 to J39 following confirmation of the May 2022 publication associated to the M3 New Forecasts RPI from Stephanie Fernandes at Ofgem on the 21/06/22.  Additionally the associated hyperlink in K39 has been updated accordingly.
Updated cells L63 and L64 to correspond to the 2022/23 cost of debt per the November 2021 AIP PCFM, as confirmed via email by Penny Harandy at Ofgem on 11/07/22. </t>
  </si>
  <si>
    <t xml:space="preserve">2019/20 and 2020/21 SECV award forecasts have been decreased to reflect the 2021/22 award. </t>
  </si>
  <si>
    <t>2021 values have been updated in the R5-Output incentive table, cells I12 and I14, following final Ofgem approval of Interruptions related quality of service performance in October 2020 and Time to Connect Incentive. This has decreased the Output Incentive in 2021 by -£0.2m.</t>
  </si>
  <si>
    <t>2019/20 and 2020/21 values in cells H11 and I11 in table R5-Output incentives table has been updated. 2019/20 and 2020/21 SECV award forecasts now reflect the 2021/22 award. These values flow through to calculations in cell J82 and K82 of table R5.</t>
  </si>
  <si>
    <t>R10</t>
  </si>
  <si>
    <t>Prior year adjustments have been applied with small movements (&lt;0.1m), to reflect the inclusion of data from the most recent CT600 submissions, and the tax allowance per the latest PCFM, as required.</t>
  </si>
  <si>
    <t>(Profit)/Loss on disposal of FA</t>
  </si>
  <si>
    <t>Flexibility correction in capex</t>
  </si>
  <si>
    <t>Customer Contributions reported in Statutory Revenue</t>
  </si>
  <si>
    <t/>
  </si>
  <si>
    <t>Actuals</t>
  </si>
  <si>
    <t>Forecast</t>
  </si>
  <si>
    <t>Cumulative to 2022</t>
  </si>
  <si>
    <t>OK</t>
  </si>
  <si>
    <t>Adjustment to align incentives with latest submitted Revenue Return (remove 19/20 SECV)</t>
  </si>
  <si>
    <t>NOT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</si>
</sst>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1">
    <numFmt numFmtId="43" formatCode="_-* #,##0.00_-;\-* #,##0.00_-;_-* &quot;-&quot;??_-;_-@_-"/>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 numFmtId="352" formatCode="[$-F800]dddd\,\ mmmm\ dd\,\ yyyy"/>
    <numFmt numFmtId="353" formatCode="_-* #,##0.0_-;\-* #,##0.0_-;_-* &quot;-&quot;?_-;_-@_-"/>
  </numFmts>
  <fonts count="263">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
      <u/>
      <sz val="10"/>
      <color theme="1"/>
      <name val="Verdana"/>
      <family val="2"/>
    </font>
  </fonts>
  <fills count="13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44">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808080"/>
      </right>
      <top/>
      <bottom style="medium">
        <color indexed="64"/>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2" fontId="4" fillId="0" borderId="0"/>
    <xf numFmtId="352" fontId="4" fillId="0" borderId="0"/>
    <xf numFmtId="352" fontId="7"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7" fillId="0" borderId="0"/>
    <xf numFmtId="352" fontId="4" fillId="0" borderId="0"/>
    <xf numFmtId="352" fontId="7" fillId="0" borderId="0"/>
    <xf numFmtId="352" fontId="4" fillId="0" borderId="0"/>
    <xf numFmtId="352" fontId="7"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lignment vertical="center"/>
    </xf>
    <xf numFmtId="352" fontId="7" fillId="0" borderId="0"/>
    <xf numFmtId="352" fontId="7" fillId="0" borderId="0"/>
    <xf numFmtId="352" fontId="7" fillId="0" borderId="0"/>
    <xf numFmtId="352" fontId="7" fillId="0" borderId="0"/>
    <xf numFmtId="352" fontId="4" fillId="0" borderId="0">
      <alignment vertical="center"/>
    </xf>
    <xf numFmtId="352" fontId="4" fillId="0" borderId="0">
      <alignment vertical="center"/>
    </xf>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7" fillId="0" borderId="0">
      <alignment vertical="justify"/>
    </xf>
    <xf numFmtId="352" fontId="13" fillId="30" borderId="0" applyNumberFormat="0" applyBorder="0" applyAlignment="0" applyProtection="0"/>
    <xf numFmtId="352" fontId="13" fillId="30"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7" borderId="0" applyNumberFormat="0" applyBorder="0" applyAlignment="0" applyProtection="0"/>
    <xf numFmtId="352" fontId="13" fillId="27" borderId="0" applyNumberFormat="0" applyBorder="0" applyAlignment="0" applyProtection="0"/>
    <xf numFmtId="352" fontId="13" fillId="119" borderId="0" applyNumberFormat="0" applyBorder="0" applyAlignment="0" applyProtection="0"/>
    <xf numFmtId="352" fontId="13" fillId="119" borderId="0" applyNumberFormat="0" applyBorder="0" applyAlignment="0" applyProtection="0"/>
    <xf numFmtId="352" fontId="13" fillId="30" borderId="0" applyNumberFormat="0" applyBorder="0" applyAlignment="0" applyProtection="0"/>
    <xf numFmtId="352" fontId="13" fillId="30"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13" fillId="61" borderId="0" applyNumberFormat="0" applyBorder="0" applyAlignment="0" applyProtection="0"/>
    <xf numFmtId="352" fontId="13" fillId="61"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6" borderId="0" applyNumberFormat="0" applyBorder="0" applyAlignment="0" applyProtection="0"/>
    <xf numFmtId="352" fontId="13" fillId="26" borderId="0" applyNumberFormat="0" applyBorder="0" applyAlignment="0" applyProtection="0"/>
    <xf numFmtId="352" fontId="13" fillId="120" borderId="0" applyNumberFormat="0" applyBorder="0" applyAlignment="0" applyProtection="0"/>
    <xf numFmtId="352" fontId="13" fillId="120" borderId="0" applyNumberFormat="0" applyBorder="0" applyAlignment="0" applyProtection="0"/>
    <xf numFmtId="352" fontId="13" fillId="31" borderId="0" applyNumberFormat="0" applyBorder="0" applyAlignment="0" applyProtection="0"/>
    <xf numFmtId="352" fontId="13" fillId="31"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19" borderId="0" applyNumberFormat="0" applyBorder="0" applyAlignment="0" applyProtection="0"/>
    <xf numFmtId="352" fontId="56" fillId="19" borderId="0" applyNumberFormat="0" applyBorder="0" applyAlignment="0" applyProtection="0"/>
    <xf numFmtId="352" fontId="56" fillId="26" borderId="0" applyNumberFormat="0" applyBorder="0" applyAlignment="0" applyProtection="0"/>
    <xf numFmtId="352" fontId="56" fillId="26" borderId="0" applyNumberFormat="0" applyBorder="0" applyAlignment="0" applyProtection="0"/>
    <xf numFmtId="352" fontId="56" fillId="120" borderId="0" applyNumberFormat="0" applyBorder="0" applyAlignment="0" applyProtection="0"/>
    <xf numFmtId="352" fontId="56" fillId="12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23" borderId="0" applyNumberFormat="0" applyBorder="0" applyAlignment="0" applyProtection="0"/>
    <xf numFmtId="352" fontId="56" fillId="23" borderId="0" applyNumberFormat="0" applyBorder="0" applyAlignment="0" applyProtection="0"/>
    <xf numFmtId="352" fontId="8" fillId="65" borderId="0" applyNumberFormat="0" applyBorder="0" applyAlignment="0" applyProtection="0"/>
    <xf numFmtId="352" fontId="8" fillId="12" borderId="0" applyNumberFormat="0" applyBorder="0" applyAlignment="0" applyProtection="0"/>
    <xf numFmtId="352" fontId="9" fillId="122" borderId="0" applyNumberFormat="0" applyBorder="0" applyAlignment="0" applyProtection="0"/>
    <xf numFmtId="352" fontId="9" fillId="66" borderId="0" applyNumberFormat="0" applyBorder="0" applyAlignment="0" applyProtection="0"/>
    <xf numFmtId="352" fontId="9" fillId="66" borderId="0" applyNumberFormat="0" applyBorder="0" applyAlignment="0" applyProtection="0"/>
    <xf numFmtId="352" fontId="8" fillId="68" borderId="0" applyNumberFormat="0" applyBorder="0" applyAlignment="0" applyProtection="0"/>
    <xf numFmtId="352" fontId="8" fillId="11" borderId="0" applyNumberFormat="0" applyBorder="0" applyAlignment="0" applyProtection="0"/>
    <xf numFmtId="352" fontId="9" fillId="8" borderId="0" applyNumberFormat="0" applyBorder="0" applyAlignment="0" applyProtection="0"/>
    <xf numFmtId="352" fontId="9" fillId="69" borderId="0" applyNumberFormat="0" applyBorder="0" applyAlignment="0" applyProtection="0"/>
    <xf numFmtId="352" fontId="9" fillId="69" borderId="0" applyNumberFormat="0" applyBorder="0" applyAlignment="0" applyProtection="0"/>
    <xf numFmtId="352" fontId="8" fillId="70" borderId="0" applyNumberFormat="0" applyBorder="0" applyAlignment="0" applyProtection="0"/>
    <xf numFmtId="352" fontId="8" fillId="71" borderId="0" applyNumberFormat="0" applyBorder="0" applyAlignment="0" applyProtection="0"/>
    <xf numFmtId="352" fontId="9" fillId="123" borderId="0" applyNumberFormat="0" applyBorder="0" applyAlignment="0" applyProtection="0"/>
    <xf numFmtId="352" fontId="9" fillId="124" borderId="0" applyNumberFormat="0" applyBorder="0" applyAlignment="0" applyProtection="0"/>
    <xf numFmtId="352" fontId="9" fillId="124" borderId="0" applyNumberFormat="0" applyBorder="0" applyAlignment="0" applyProtection="0"/>
    <xf numFmtId="352" fontId="8" fillId="68" borderId="0" applyNumberFormat="0" applyBorder="0" applyAlignment="0" applyProtection="0"/>
    <xf numFmtId="352" fontId="8" fillId="9" borderId="0" applyNumberFormat="0" applyBorder="0" applyAlignment="0" applyProtection="0"/>
    <xf numFmtId="352" fontId="9" fillId="11" borderId="0" applyNumberFormat="0" applyBorder="0" applyAlignment="0" applyProtection="0"/>
    <xf numFmtId="352" fontId="9" fillId="125" borderId="0" applyNumberFormat="0" applyBorder="0" applyAlignment="0" applyProtection="0"/>
    <xf numFmtId="352" fontId="9" fillId="125" borderId="0" applyNumberFormat="0" applyBorder="0" applyAlignment="0" applyProtection="0"/>
    <xf numFmtId="352" fontId="8" fillId="10" borderId="0" applyNumberFormat="0" applyBorder="0" applyAlignment="0" applyProtection="0"/>
    <xf numFmtId="352" fontId="8" fillId="5"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8" fillId="13" borderId="0" applyNumberFormat="0" applyBorder="0" applyAlignment="0" applyProtection="0"/>
    <xf numFmtId="352" fontId="8" fillId="14" borderId="0" applyNumberFormat="0" applyBorder="0" applyAlignment="0" applyProtection="0"/>
    <xf numFmtId="352" fontId="9" fillId="126" borderId="0" applyNumberFormat="0" applyBorder="0" applyAlignment="0" applyProtection="0"/>
    <xf numFmtId="352" fontId="9" fillId="127" borderId="0" applyNumberFormat="0" applyBorder="0" applyAlignment="0" applyProtection="0"/>
    <xf numFmtId="352" fontId="9" fillId="127" borderId="0" applyNumberFormat="0" applyBorder="0" applyAlignment="0" applyProtection="0"/>
    <xf numFmtId="352" fontId="247" fillId="13" borderId="0" applyNumberFormat="0" applyBorder="0" applyAlignment="0" applyProtection="0"/>
    <xf numFmtId="352" fontId="247" fillId="13" borderId="0" applyNumberFormat="0" applyBorder="0" applyAlignment="0" applyProtection="0"/>
    <xf numFmtId="352" fontId="248" fillId="128" borderId="123" applyNumberFormat="0" applyAlignment="0" applyProtection="0"/>
    <xf numFmtId="352" fontId="248" fillId="128" borderId="123" applyNumberFormat="0" applyAlignment="0" applyProtection="0"/>
    <xf numFmtId="352" fontId="85" fillId="125" borderId="19" applyNumberFormat="0" applyAlignment="0" applyProtection="0"/>
    <xf numFmtId="352" fontId="85" fillId="125" borderId="19" applyNumberFormat="0" applyAlignment="0" applyProtection="0"/>
    <xf numFmtId="37" fontId="59" fillId="0" borderId="94">
      <alignment horizontal="center"/>
    </xf>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10" fillId="129" borderId="0" applyNumberFormat="0" applyBorder="0" applyAlignment="0" applyProtection="0"/>
    <xf numFmtId="352" fontId="10" fillId="130" borderId="0" applyNumberFormat="0" applyBorder="0" applyAlignment="0" applyProtection="0"/>
    <xf numFmtId="352" fontId="10" fillId="17" borderId="0" applyNumberFormat="0" applyBorder="0" applyAlignment="0" applyProtection="0"/>
    <xf numFmtId="352" fontId="44" fillId="0" borderId="0" applyFont="0" applyFill="0" applyBorder="0" applyAlignment="0" applyProtection="0"/>
    <xf numFmtId="352" fontId="249" fillId="0" borderId="0" applyNumberFormat="0" applyFill="0" applyBorder="0" applyAlignment="0" applyProtection="0"/>
    <xf numFmtId="352" fontId="249" fillId="0" borderId="0" applyNumberFormat="0" applyFill="0" applyBorder="0" applyAlignment="0" applyProtection="0"/>
    <xf numFmtId="352" fontId="8" fillId="71" borderId="0" applyNumberFormat="0" applyBorder="0" applyAlignment="0" applyProtection="0"/>
    <xf numFmtId="352" fontId="8" fillId="71" borderId="0" applyNumberForma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117" fillId="0" borderId="33" applyNumberFormat="0" applyFill="0" applyAlignment="0" applyProtection="0"/>
    <xf numFmtId="352" fontId="117" fillId="0" borderId="33" applyNumberFormat="0" applyFill="0" applyAlignment="0" applyProtection="0"/>
    <xf numFmtId="352" fontId="120" fillId="0" borderId="124" applyNumberFormat="0" applyFill="0" applyAlignment="0" applyProtection="0"/>
    <xf numFmtId="352" fontId="120" fillId="0" borderId="124" applyNumberFormat="0" applyFill="0" applyAlignment="0" applyProtection="0"/>
    <xf numFmtId="352" fontId="123" fillId="0" borderId="125" applyNumberFormat="0" applyFill="0" applyAlignment="0" applyProtection="0"/>
    <xf numFmtId="352" fontId="123" fillId="0" borderId="125" applyNumberFormat="0" applyFill="0" applyAlignment="0" applyProtection="0"/>
    <xf numFmtId="352" fontId="123" fillId="0" borderId="0" applyNumberFormat="0" applyFill="0" applyBorder="0" applyAlignment="0" applyProtection="0"/>
    <xf numFmtId="352" fontId="123" fillId="0" borderId="0" applyNumberFormat="0" applyFill="0" applyBorder="0" applyAlignment="0" applyProtection="0"/>
    <xf numFmtId="352" fontId="137" fillId="14" borderId="123" applyNumberFormat="0" applyAlignment="0" applyProtection="0"/>
    <xf numFmtId="352" fontId="137" fillId="14" borderId="123" applyNumberFormat="0" applyAlignment="0" applyProtection="0"/>
    <xf numFmtId="352" fontId="140" fillId="34" borderId="0"/>
    <xf numFmtId="352" fontId="113" fillId="0" borderId="126" applyNumberFormat="0" applyFill="0" applyAlignment="0" applyProtection="0"/>
    <xf numFmtId="352" fontId="113" fillId="0" borderId="126" applyNumberFormat="0" applyFill="0" applyAlignment="0" applyProtection="0"/>
    <xf numFmtId="352" fontId="113" fillId="14" borderId="0" applyNumberFormat="0" applyBorder="0" applyAlignment="0" applyProtection="0"/>
    <xf numFmtId="352" fontId="113" fillId="14" borderId="0" applyNumberFormat="0" applyBorder="0" applyAlignment="0" applyProtection="0"/>
    <xf numFmtId="352" fontId="19" fillId="0" borderId="0"/>
    <xf numFmtId="352" fontId="19" fillId="0" borderId="0"/>
    <xf numFmtId="352" fontId="19" fillId="0" borderId="0"/>
    <xf numFmtId="352" fontId="19" fillId="0" borderId="0"/>
    <xf numFmtId="352" fontId="19" fillId="0" borderId="0"/>
    <xf numFmtId="352" fontId="4" fillId="0" borderId="0"/>
    <xf numFmtId="352" fontId="4" fillId="0" borderId="0"/>
    <xf numFmtId="352" fontId="4" fillId="0" borderId="0"/>
    <xf numFmtId="352" fontId="4" fillId="0" borderId="0"/>
    <xf numFmtId="0" fontId="2"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xf numFmtId="352" fontId="8" fillId="0" borderId="0" applyFill="0" applyBorder="0" applyAlignment="0" applyProtection="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2"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23" fillId="0" borderId="0"/>
    <xf numFmtId="352" fontId="1" fillId="0" borderId="0"/>
    <xf numFmtId="352" fontId="4"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1" fillId="0" borderId="0"/>
    <xf numFmtId="352" fontId="1" fillId="0" borderId="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8" fillId="0" borderId="0" applyFill="0" applyBorder="0" applyAlignment="0" applyProtection="0"/>
    <xf numFmtId="352" fontId="19"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7" fillId="0" borderId="0">
      <alignment vertical="top"/>
    </xf>
    <xf numFmtId="352" fontId="101" fillId="0" borderId="0" applyFill="0" applyBorder="0">
      <protection locked="0"/>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2" fontId="192" fillId="0" borderId="0"/>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30"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9" borderId="30">
      <alignment horizontal="right" vertical="center"/>
      <protection locked="0"/>
    </xf>
    <xf numFmtId="352"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3" borderId="53" applyNumberFormat="0">
      <protection locked="0"/>
    </xf>
    <xf numFmtId="352" fontId="4" fillId="33" borderId="30"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52" fontId="48" fillId="109" borderId="30"/>
    <xf numFmtId="4" fontId="254" fillId="33" borderId="123" applyNumberFormat="0" applyProtection="0">
      <alignment horizontal="right" vertical="center"/>
    </xf>
    <xf numFmtId="352" fontId="18" fillId="0" borderId="0" applyNumberFormat="0" applyFill="0" applyBorder="0" applyAlignment="0" applyProtection="0"/>
    <xf numFmtId="352" fontId="4" fillId="0" borderId="0" applyFont="0" applyFill="0" applyBorder="0" applyAlignment="0" applyProtection="0"/>
    <xf numFmtId="37" fontId="59" fillId="0" borderId="131" applyNumberFormat="0"/>
    <xf numFmtId="352" fontId="220" fillId="0" borderId="58" applyNumberFormat="0" applyAlignment="0" applyProtection="0"/>
    <xf numFmtId="352" fontId="18" fillId="0" borderId="0" applyNumberFormat="0" applyFill="0" applyBorder="0" applyAlignment="0" applyProtection="0"/>
    <xf numFmtId="352" fontId="18" fillId="0" borderId="0" applyNumberFormat="0" applyFill="0" applyBorder="0" applyAlignment="0" applyProtection="0"/>
    <xf numFmtId="210" fontId="59" fillId="0" borderId="32" applyFill="0"/>
    <xf numFmtId="352" fontId="10" fillId="0" borderId="132" applyNumberFormat="0" applyFill="0" applyAlignment="0" applyProtection="0"/>
    <xf numFmtId="352" fontId="10" fillId="0" borderId="132" applyNumberFormat="0" applyFill="0" applyAlignment="0" applyProtection="0"/>
    <xf numFmtId="352" fontId="255" fillId="0" borderId="0" applyNumberFormat="0" applyFill="0" applyBorder="0" applyAlignment="0" applyProtection="0"/>
    <xf numFmtId="352" fontId="255" fillId="0" borderId="0" applyNumberFormat="0" applyFill="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210" fontId="59" fillId="0" borderId="32" applyFill="0"/>
    <xf numFmtId="352" fontId="23"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3" fillId="0" borderId="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3" applyNumberFormat="0" applyProtection="0">
      <alignment horizontal="left" vertical="center" indent="1"/>
    </xf>
    <xf numFmtId="210" fontId="59" fillId="0" borderId="32" applyFill="0"/>
    <xf numFmtId="352" fontId="248" fillId="128" borderId="123" applyNumberFormat="0" applyAlignment="0" applyProtection="0"/>
    <xf numFmtId="352" fontId="248" fillId="128" borderId="123" applyNumberForma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164" fontId="2" fillId="0" borderId="0" applyFont="0" applyFill="0" applyBorder="0" applyAlignment="0" applyProtection="0"/>
    <xf numFmtId="352" fontId="48" fillId="30" borderId="128" applyNumberFormat="0" applyProtection="0">
      <alignment horizontal="left" vertical="top" indent="1"/>
    </xf>
    <xf numFmtId="164" fontId="1" fillId="0" borderId="0" applyFont="0" applyFill="0" applyBorder="0" applyAlignment="0" applyProtection="0"/>
    <xf numFmtId="352" fontId="88" fillId="31" borderId="130" applyBorder="0"/>
    <xf numFmtId="4" fontId="48" fillId="24" borderId="123" applyNumberFormat="0" applyProtection="0">
      <alignment horizontal="right" vertical="center"/>
    </xf>
    <xf numFmtId="352"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2" fontId="48" fillId="61" borderId="123" applyNumberFormat="0" applyProtection="0">
      <alignment horizontal="left" vertical="center" indent="1"/>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34" borderId="128" applyNumberFormat="0" applyProtection="0">
      <alignment vertical="center"/>
    </xf>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210" fontId="59" fillId="0" borderId="32" applyFill="0"/>
    <xf numFmtId="352" fontId="48" fillId="83" borderId="123" applyNumberFormat="0" applyProtection="0">
      <alignment horizontal="left" vertical="center" indent="1"/>
    </xf>
    <xf numFmtId="4" fontId="48" fillId="23" borderId="123" applyNumberFormat="0" applyProtection="0">
      <alignment horizontal="right" vertical="center"/>
    </xf>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164" fontId="8" fillId="0" borderId="0" applyFont="0" applyFill="0" applyBorder="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2"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2" fontId="48" fillId="30" borderId="128" applyNumberFormat="0" applyProtection="0">
      <alignment horizontal="left" vertical="top" indent="1"/>
    </xf>
    <xf numFmtId="352" fontId="252"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7" borderId="123" applyNumberFormat="0" applyProtection="0">
      <alignment horizontal="right" vertical="center"/>
    </xf>
    <xf numFmtId="352" fontId="48" fillId="19" borderId="128" applyNumberFormat="0" applyProtection="0">
      <alignment horizontal="left" vertical="top" indent="1"/>
    </xf>
    <xf numFmtId="164" fontId="7" fillId="0" borderId="0" applyFont="0" applyFill="0" applyBorder="0" applyAlignment="0" applyProtection="0"/>
    <xf numFmtId="352" fontId="48" fillId="19"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48" fillId="32" borderId="128" applyNumberFormat="0" applyProtection="0">
      <alignment horizontal="left" vertical="top" indent="1"/>
    </xf>
    <xf numFmtId="352" fontId="10" fillId="0" borderId="132" applyNumberFormat="0" applyFill="0" applyAlignment="0" applyProtection="0"/>
    <xf numFmtId="352" fontId="10" fillId="0" borderId="132" applyNumberFormat="0" applyFill="0" applyAlignment="0" applyProtection="0"/>
    <xf numFmtId="4" fontId="48" fillId="28" borderId="123" applyNumberFormat="0" applyProtection="0">
      <alignment horizontal="right" vertical="center"/>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251" fillId="18" borderId="128" applyNumberFormat="0" applyProtection="0">
      <alignment horizontal="left" vertical="top" indent="1"/>
    </xf>
    <xf numFmtId="352"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4" fontId="48" fillId="25"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2" fontId="179" fillId="128" borderId="127" applyNumberFormat="0" applyAlignment="0" applyProtection="0"/>
    <xf numFmtId="352" fontId="48" fillId="61" borderId="123" applyNumberFormat="0" applyProtection="0">
      <alignment horizontal="left" vertical="center" indent="1"/>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2" fontId="137" fillId="14" borderId="123" applyNumberFormat="0" applyAlignment="0" applyProtection="0"/>
    <xf numFmtId="352" fontId="48" fillId="61"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2" fontId="48" fillId="32" borderId="123" applyNumberFormat="0" applyProtection="0">
      <alignment horizontal="left" vertical="center" indent="1"/>
    </xf>
    <xf numFmtId="352" fontId="48" fillId="13" borderId="123" applyNumberFormat="0" applyFont="0" applyAlignment="0" applyProtection="0"/>
    <xf numFmtId="352" fontId="88" fillId="31" borderId="130" applyBorder="0"/>
    <xf numFmtId="352" fontId="10" fillId="0" borderId="132" applyNumberFormat="0" applyFill="0" applyAlignment="0" applyProtection="0"/>
    <xf numFmtId="164" fontId="7" fillId="0" borderId="0" applyFont="0" applyFill="0" applyBorder="0" applyAlignment="0" applyProtection="0"/>
    <xf numFmtId="352" fontId="248" fillId="128" borderId="123" applyNumberFormat="0" applyAlignment="0" applyProtection="0"/>
    <xf numFmtId="4" fontId="48" fillId="24" borderId="123" applyNumberFormat="0" applyProtection="0">
      <alignment horizontal="right" vertical="center"/>
    </xf>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252" fillId="19"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4" fontId="250" fillId="45" borderId="123" applyNumberFormat="0" applyProtection="0">
      <alignment vertical="center"/>
    </xf>
    <xf numFmtId="352" fontId="48" fillId="83" borderId="123" applyNumberFormat="0" applyProtection="0">
      <alignment horizontal="left" vertical="center" indent="1"/>
    </xf>
    <xf numFmtId="37" fontId="59" fillId="0" borderId="131" applyNumberFormat="0"/>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2"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2"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3" applyNumberFormat="0" applyProtection="0">
      <alignment horizontal="left" vertical="center"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2" fontId="4" fillId="19" borderId="128" applyNumberFormat="0" applyProtection="0">
      <alignment horizontal="left" vertical="top" indent="1"/>
    </xf>
    <xf numFmtId="352" fontId="137" fillId="14" borderId="123" applyNumberFormat="0" applyAlignment="0" applyProtection="0"/>
    <xf numFmtId="352" fontId="10" fillId="0" borderId="132" applyNumberFormat="0" applyFill="0" applyAlignment="0" applyProtection="0"/>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179" fillId="128" borderId="127" applyNumberFormat="0" applyAlignment="0" applyProtection="0"/>
    <xf numFmtId="4" fontId="252" fillId="34" borderId="128" applyNumberFormat="0" applyProtection="0">
      <alignment vertical="center"/>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352"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2" fontId="48" fillId="13" borderId="123" applyNumberFormat="0" applyFont="0" applyAlignment="0" applyProtection="0"/>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3" borderId="123" applyNumberFormat="0" applyFont="0" applyAlignment="0" applyProtection="0"/>
    <xf numFmtId="4" fontId="48" fillId="24" borderId="123" applyNumberFormat="0" applyProtection="0">
      <alignment horizontal="right" vertical="center"/>
    </xf>
    <xf numFmtId="352" fontId="48" fillId="32" borderId="128" applyNumberFormat="0" applyProtection="0">
      <alignment horizontal="left" vertical="top"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248" fillId="128" borderId="123" applyNumberFormat="0" applyAlignment="0" applyProtection="0"/>
    <xf numFmtId="4" fontId="252" fillId="61" borderId="128" applyNumberFormat="0" applyProtection="0">
      <alignment horizontal="left" vertical="center" indent="1"/>
    </xf>
    <xf numFmtId="352" fontId="10" fillId="0" borderId="132" applyNumberFormat="0" applyFill="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248" fillId="128" borderId="123" applyNumberFormat="0" applyAlignment="0" applyProtection="0"/>
    <xf numFmtId="4" fontId="254" fillId="33" borderId="123" applyNumberFormat="0" applyProtection="0">
      <alignment horizontal="right" vertical="center"/>
    </xf>
    <xf numFmtId="352" fontId="88" fillId="31" borderId="130" applyBorder="0"/>
    <xf numFmtId="352" fontId="48" fillId="13" borderId="123" applyNumberFormat="0" applyFont="0" applyAlignment="0" applyProtection="0"/>
    <xf numFmtId="4" fontId="48" fillId="64" borderId="123" applyNumberFormat="0" applyProtection="0">
      <alignment horizontal="left" vertical="center"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3" borderId="123" applyNumberFormat="0" applyFont="0" applyAlignment="0" applyProtection="0"/>
    <xf numFmtId="352" fontId="179" fillId="128" borderId="127" applyNumberFormat="0" applyAlignment="0" applyProtection="0"/>
    <xf numFmtId="4" fontId="48" fillId="20" borderId="123" applyNumberFormat="0" applyProtection="0">
      <alignment horizontal="right" vertical="center"/>
    </xf>
    <xf numFmtId="352" fontId="48" fillId="31" borderId="128" applyNumberFormat="0" applyProtection="0">
      <alignment horizontal="left" vertical="top" indent="1"/>
    </xf>
    <xf numFmtId="352" fontId="88" fillId="31" borderId="130" applyBorder="0"/>
    <xf numFmtId="4" fontId="48" fillId="28"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48" fillId="26" borderId="123" applyNumberFormat="0" applyProtection="0">
      <alignment horizontal="right" vertical="center"/>
    </xf>
    <xf numFmtId="352" fontId="48" fillId="32" borderId="128" applyNumberFormat="0" applyProtection="0">
      <alignment horizontal="left" vertical="top" indent="1"/>
    </xf>
    <xf numFmtId="352" fontId="4" fillId="32" borderId="128" applyNumberFormat="0" applyProtection="0">
      <alignment horizontal="left" vertical="center" indent="1"/>
    </xf>
    <xf numFmtId="4" fontId="48" fillId="0" borderId="123" applyNumberFormat="0" applyProtection="0">
      <alignment horizontal="right" vertical="center"/>
    </xf>
    <xf numFmtId="352" fontId="48" fillId="19" borderId="128" applyNumberFormat="0" applyProtection="0">
      <alignment horizontal="left" vertical="top" indent="1"/>
    </xf>
    <xf numFmtId="352" fontId="248" fillId="128" borderId="123" applyNumberFormat="0" applyAlignment="0" applyProtection="0"/>
    <xf numFmtId="352"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4" fillId="33"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352" fontId="248" fillId="128" borderId="123" applyNumberFormat="0" applyAlignment="0" applyProtection="0"/>
    <xf numFmtId="352" fontId="252" fillId="34" borderId="128" applyNumberFormat="0" applyProtection="0">
      <alignment horizontal="left" vertical="top" indent="1"/>
    </xf>
    <xf numFmtId="352" fontId="4" fillId="30" borderId="128" applyNumberFormat="0" applyProtection="0">
      <alignment horizontal="left" vertical="center" indent="1"/>
    </xf>
    <xf numFmtId="4" fontId="254" fillId="33" borderId="123" applyNumberFormat="0" applyProtection="0">
      <alignment horizontal="right" vertical="center"/>
    </xf>
    <xf numFmtId="352" fontId="48" fillId="30" borderId="123" applyNumberFormat="0" applyProtection="0">
      <alignment horizontal="left" vertical="center" indent="1"/>
    </xf>
    <xf numFmtId="352" fontId="48" fillId="83" borderId="123" applyNumberFormat="0" applyProtection="0">
      <alignment horizontal="left" vertical="center" indent="1"/>
    </xf>
    <xf numFmtId="4" fontId="48" fillId="20" borderId="123" applyNumberFormat="0" applyProtection="0">
      <alignment horizontal="right" vertical="center"/>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13" borderId="123" applyNumberFormat="0" applyFont="0" applyAlignment="0" applyProtection="0"/>
    <xf numFmtId="4" fontId="48" fillId="23" borderId="123" applyNumberFormat="0" applyProtection="0">
      <alignment horizontal="right" vertical="center"/>
    </xf>
    <xf numFmtId="352" fontId="48" fillId="32" borderId="123" applyNumberFormat="0" applyProtection="0">
      <alignment horizontal="left" vertical="center" indent="1"/>
    </xf>
    <xf numFmtId="352" fontId="48" fillId="30" borderId="128" applyNumberFormat="0" applyProtection="0">
      <alignment horizontal="left" vertical="top" indent="1"/>
    </xf>
    <xf numFmtId="4" fontId="48" fillId="19" borderId="123" applyNumberFormat="0" applyProtection="0">
      <alignment horizontal="right" vertical="center"/>
    </xf>
    <xf numFmtId="352" fontId="252" fillId="34"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248" fillId="128" borderId="123" applyNumberFormat="0" applyAlignment="0" applyProtection="0"/>
    <xf numFmtId="352" fontId="48" fillId="31" borderId="128" applyNumberFormat="0" applyProtection="0">
      <alignment horizontal="left" vertical="top" indent="1"/>
    </xf>
    <xf numFmtId="352"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2" fontId="48" fillId="13" borderId="123" applyNumberFormat="0" applyFont="0" applyAlignment="0" applyProtection="0"/>
    <xf numFmtId="352" fontId="48" fillId="31" borderId="128" applyNumberFormat="0" applyProtection="0">
      <alignment horizontal="left" vertical="top" indent="1"/>
    </xf>
    <xf numFmtId="4" fontId="48" fillId="20" borderId="123" applyNumberFormat="0" applyProtection="0">
      <alignment horizontal="right" vertical="center"/>
    </xf>
    <xf numFmtId="352" fontId="137" fillId="14" borderId="123" applyNumberFormat="0" applyAlignment="0" applyProtection="0"/>
    <xf numFmtId="4" fontId="250" fillId="50" borderId="123" applyNumberFormat="0" applyProtection="0">
      <alignment horizontal="right" vertical="center"/>
    </xf>
    <xf numFmtId="352" fontId="48" fillId="31" borderId="128" applyNumberFormat="0" applyProtection="0">
      <alignment horizontal="left" vertical="top" indent="1"/>
    </xf>
    <xf numFmtId="4" fontId="253" fillId="35" borderId="129"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30" borderId="129" applyNumberFormat="0" applyProtection="0">
      <alignment horizontal="left" vertical="center" indent="1"/>
    </xf>
    <xf numFmtId="352" fontId="252" fillId="34" borderId="128" applyNumberFormat="0" applyProtection="0">
      <alignment horizontal="left" vertical="top" indent="1"/>
    </xf>
    <xf numFmtId="352"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2" fontId="10" fillId="0" borderId="132" applyNumberFormat="0" applyFill="0" applyAlignment="0" applyProtection="0"/>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23" borderId="123" applyNumberFormat="0" applyProtection="0">
      <alignment horizontal="right" vertical="center"/>
    </xf>
    <xf numFmtId="352" fontId="48" fillId="83"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 fillId="30" borderId="128" applyNumberFormat="0" applyProtection="0">
      <alignment horizontal="left" vertical="center" indent="1"/>
    </xf>
    <xf numFmtId="352" fontId="248" fillId="128" borderId="123" applyNumberFormat="0" applyAlignment="0" applyProtection="0"/>
    <xf numFmtId="352" fontId="48" fillId="30" borderId="123" applyNumberFormat="0" applyProtection="0">
      <alignment horizontal="left" vertical="center" indent="1"/>
    </xf>
    <xf numFmtId="352" fontId="48" fillId="32" borderId="128" applyNumberFormat="0" applyProtection="0">
      <alignment horizontal="left" vertical="top" indent="1"/>
    </xf>
    <xf numFmtId="37" fontId="59" fillId="0" borderId="131" applyNumberFormat="0"/>
    <xf numFmtId="352"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2" fontId="48" fillId="13" borderId="123" applyNumberFormat="0" applyFont="0" applyAlignment="0" applyProtection="0"/>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center" indent="1"/>
    </xf>
    <xf numFmtId="352" fontId="48" fillId="19" borderId="128" applyNumberFormat="0" applyProtection="0">
      <alignment horizontal="left" vertical="top" indent="1"/>
    </xf>
    <xf numFmtId="352" fontId="248" fillId="128" borderId="123" applyNumberFormat="0" applyAlignment="0" applyProtection="0"/>
    <xf numFmtId="4" fontId="48" fillId="24" borderId="123" applyNumberFormat="0" applyProtection="0">
      <alignment horizontal="right" vertical="center"/>
    </xf>
    <xf numFmtId="210" fontId="59" fillId="0" borderId="32" applyFill="0"/>
    <xf numFmtId="352" fontId="48" fillId="13" borderId="123" applyNumberFormat="0" applyFont="0" applyAlignment="0" applyProtection="0"/>
    <xf numFmtId="352" fontId="252" fillId="34" borderId="128" applyNumberFormat="0" applyProtection="0">
      <alignment horizontal="left" vertical="top" indent="1"/>
    </xf>
    <xf numFmtId="4" fontId="252" fillId="34" borderId="128" applyNumberFormat="0" applyProtection="0">
      <alignment vertical="center"/>
    </xf>
    <xf numFmtId="352" fontId="48" fillId="13" borderId="123" applyNumberFormat="0" applyFont="0" applyAlignment="0" applyProtection="0"/>
    <xf numFmtId="352" fontId="48" fillId="13" borderId="123" applyNumberFormat="0" applyFont="0" applyAlignment="0" applyProtection="0"/>
    <xf numFmtId="352"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137" fillId="14" borderId="123" applyNumberFormat="0" applyAlignment="0" applyProtection="0"/>
    <xf numFmtId="37" fontId="59" fillId="0" borderId="131" applyNumberFormat="0"/>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29" borderId="129" applyNumberFormat="0" applyProtection="0">
      <alignment horizontal="left" vertical="center" indent="1"/>
    </xf>
    <xf numFmtId="352"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2" fontId="48" fillId="30" borderId="128" applyNumberFormat="0" applyProtection="0">
      <alignment horizontal="left" vertical="top" indent="1"/>
    </xf>
    <xf numFmtId="4" fontId="252" fillId="61" borderId="128" applyNumberFormat="0" applyProtection="0">
      <alignment horizontal="left" vertical="center" indent="1"/>
    </xf>
    <xf numFmtId="352" fontId="4" fillId="30" borderId="128" applyNumberFormat="0" applyProtection="0">
      <alignment horizontal="left" vertical="center" indent="1"/>
    </xf>
    <xf numFmtId="4" fontId="48" fillId="64" borderId="123" applyNumberFormat="0" applyProtection="0">
      <alignment horizontal="left" vertical="center" indent="1"/>
    </xf>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210" fontId="59" fillId="0" borderId="32" applyFill="0"/>
    <xf numFmtId="352" fontId="48" fillId="32" borderId="128" applyNumberFormat="0" applyProtection="0">
      <alignment horizontal="left" vertical="top" indent="1"/>
    </xf>
    <xf numFmtId="4" fontId="48" fillId="19"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179" fillId="128" borderId="127" applyNumberFormat="0" applyAlignment="0" applyProtection="0"/>
    <xf numFmtId="352" fontId="48" fillId="61" borderId="123"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27" borderId="123" applyNumberFormat="0" applyProtection="0">
      <alignment horizontal="right" vertical="center"/>
    </xf>
    <xf numFmtId="352" fontId="251" fillId="18" borderId="128" applyNumberFormat="0" applyProtection="0">
      <alignment horizontal="left" vertical="top"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10" fillId="0" borderId="132" applyNumberFormat="0" applyFill="0" applyAlignment="0" applyProtection="0"/>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210" fontId="59" fillId="0" borderId="32" applyFill="0"/>
    <xf numFmtId="352"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 fillId="32" borderId="128" applyNumberFormat="0" applyProtection="0">
      <alignment horizontal="left" vertical="top" indent="1"/>
    </xf>
    <xf numFmtId="352" fontId="137" fillId="14" borderId="123" applyNumberFormat="0" applyAlignment="0" applyProtection="0"/>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4" fontId="48" fillId="131" borderId="123" applyNumberFormat="0" applyProtection="0">
      <alignment horizontal="right" vertical="center"/>
    </xf>
    <xf numFmtId="352" fontId="48" fillId="30" borderId="128" applyNumberFormat="0" applyProtection="0">
      <alignment horizontal="left" vertical="top" indent="1"/>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48" fillId="0" borderId="123" applyNumberFormat="0" applyProtection="0">
      <alignment horizontal="right" vertical="center"/>
    </xf>
    <xf numFmtId="352" fontId="4" fillId="32" borderId="128" applyNumberFormat="0" applyProtection="0">
      <alignment horizontal="left" vertical="top" indent="1"/>
    </xf>
    <xf numFmtId="37" fontId="59" fillId="0" borderId="131" applyNumberFormat="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2" fontId="248" fillId="128" borderId="123" applyNumberFormat="0" applyAlignment="0" applyProtection="0"/>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0" borderId="123" applyNumberFormat="0" applyProtection="0">
      <alignment horizontal="right" vertical="center"/>
    </xf>
    <xf numFmtId="352"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2" fontId="48" fillId="30" borderId="128" applyNumberFormat="0" applyProtection="0">
      <alignment horizontal="left" vertical="top" indent="1"/>
    </xf>
    <xf numFmtId="352" fontId="48" fillId="31"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4" fontId="48" fillId="64" borderId="123" applyNumberFormat="0" applyProtection="0">
      <alignment horizontal="left" vertical="center" indent="1"/>
    </xf>
    <xf numFmtId="352" fontId="48" fillId="30" borderId="128" applyNumberFormat="0" applyProtection="0">
      <alignment horizontal="left" vertical="top" indent="1"/>
    </xf>
    <xf numFmtId="352" fontId="48" fillId="19"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164" fontId="7" fillId="0" borderId="0" applyFont="0" applyFill="0" applyBorder="0" applyAlignment="0" applyProtection="0"/>
    <xf numFmtId="352"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 fillId="31" borderId="128" applyNumberFormat="0" applyProtection="0">
      <alignment horizontal="left" vertical="top" indent="1"/>
    </xf>
    <xf numFmtId="352" fontId="48" fillId="32" borderId="128" applyNumberFormat="0" applyProtection="0">
      <alignment horizontal="left" vertical="top" indent="1"/>
    </xf>
    <xf numFmtId="352" fontId="48" fillId="32" borderId="123"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2"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2" fontId="48" fillId="19" borderId="128" applyNumberFormat="0" applyProtection="0">
      <alignment horizontal="left" vertical="top" indent="1"/>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2" fontId="48" fillId="13" borderId="123" applyNumberFormat="0" applyFont="0" applyAlignment="0" applyProtection="0"/>
    <xf numFmtId="352" fontId="248" fillId="128" borderId="123" applyNumberFormat="0" applyAlignment="0" applyProtection="0"/>
    <xf numFmtId="4" fontId="48" fillId="131" borderId="123" applyNumberFormat="0" applyProtection="0">
      <alignment horizontal="right" vertical="center"/>
    </xf>
    <xf numFmtId="352" fontId="48" fillId="13" borderId="123" applyNumberFormat="0" applyFont="0" applyAlignment="0" applyProtection="0"/>
    <xf numFmtId="352"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10" fillId="0" borderId="132" applyNumberFormat="0" applyFill="0" applyAlignment="0" applyProtection="0"/>
    <xf numFmtId="352" fontId="48" fillId="32" borderId="128" applyNumberFormat="0" applyProtection="0">
      <alignment horizontal="left" vertical="top" indent="1"/>
    </xf>
    <xf numFmtId="352" fontId="248" fillId="128" borderId="123" applyNumberFormat="0" applyAlignment="0" applyProtection="0"/>
    <xf numFmtId="4" fontId="48" fillId="0" borderId="123" applyNumberFormat="0" applyProtection="0">
      <alignment horizontal="right" vertical="center"/>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 fillId="31" borderId="128" applyNumberFormat="0" applyProtection="0">
      <alignment horizontal="left" vertical="top" indent="1"/>
    </xf>
    <xf numFmtId="4" fontId="48" fillId="28" borderId="123" applyNumberFormat="0" applyProtection="0">
      <alignment horizontal="right" vertical="center"/>
    </xf>
    <xf numFmtId="352" fontId="251" fillId="18" borderId="128" applyNumberFormat="0" applyProtection="0">
      <alignment horizontal="left" vertical="top" indent="1"/>
    </xf>
    <xf numFmtId="352" fontId="88" fillId="31" borderId="130" applyBorder="0"/>
    <xf numFmtId="352" fontId="48" fillId="32" borderId="123" applyNumberFormat="0" applyProtection="0">
      <alignment horizontal="left" vertical="center" indent="1"/>
    </xf>
    <xf numFmtId="352" fontId="137" fillId="14" borderId="123" applyNumberFormat="0" applyAlignment="0" applyProtection="0"/>
    <xf numFmtId="4" fontId="252" fillId="61" borderId="128" applyNumberFormat="0" applyProtection="0">
      <alignment horizontal="left" vertical="center" indent="1"/>
    </xf>
    <xf numFmtId="352" fontId="48" fillId="13" borderId="123" applyNumberFormat="0" applyFont="0" applyAlignment="0" applyProtection="0"/>
    <xf numFmtId="352"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10" fillId="0" borderId="132" applyNumberFormat="0" applyFill="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252" fillId="34" borderId="128" applyNumberFormat="0" applyProtection="0">
      <alignment horizontal="left" vertical="top" indent="1"/>
    </xf>
    <xf numFmtId="352" fontId="48" fillId="32" borderId="128" applyNumberFormat="0" applyProtection="0">
      <alignment horizontal="left" vertical="top" indent="1"/>
    </xf>
    <xf numFmtId="352" fontId="252" fillId="19" borderId="128" applyNumberFormat="0" applyProtection="0">
      <alignment horizontal="left" vertical="top" indent="1"/>
    </xf>
    <xf numFmtId="352" fontId="88" fillId="31" borderId="130" applyBorder="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2" fontId="4" fillId="31" borderId="128" applyNumberFormat="0" applyProtection="0">
      <alignment horizontal="left" vertical="center" indent="1"/>
    </xf>
    <xf numFmtId="352" fontId="48" fillId="32"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4" fontId="48" fillId="18" borderId="123" applyNumberFormat="0" applyProtection="0">
      <alignment vertical="center"/>
    </xf>
    <xf numFmtId="352" fontId="4" fillId="31" borderId="128" applyNumberFormat="0" applyProtection="0">
      <alignment horizontal="left" vertical="center" indent="1"/>
    </xf>
    <xf numFmtId="352" fontId="48" fillId="30"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25" borderId="123" applyNumberFormat="0" applyProtection="0">
      <alignment horizontal="right" vertical="center"/>
    </xf>
    <xf numFmtId="352"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0" fillId="50" borderId="123" applyNumberFormat="0" applyProtection="0">
      <alignment horizontal="right" vertical="center"/>
    </xf>
    <xf numFmtId="352" fontId="10" fillId="0" borderId="132" applyNumberFormat="0" applyFill="0" applyAlignment="0" applyProtection="0"/>
    <xf numFmtId="4" fontId="252" fillId="34" borderId="128" applyNumberFormat="0" applyProtection="0">
      <alignment vertical="center"/>
    </xf>
    <xf numFmtId="352" fontId="48" fillId="30" borderId="128" applyNumberFormat="0" applyProtection="0">
      <alignment horizontal="left" vertical="top" indent="1"/>
    </xf>
    <xf numFmtId="352" fontId="88" fillId="31" borderId="130" applyBorder="0"/>
    <xf numFmtId="4" fontId="48" fillId="0" borderId="123" applyNumberFormat="0" applyProtection="0">
      <alignment horizontal="right" vertical="center"/>
    </xf>
    <xf numFmtId="352" fontId="48" fillId="30" borderId="128" applyNumberFormat="0" applyProtection="0">
      <alignment horizontal="left" vertical="top" indent="1"/>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352" fontId="137" fillId="14" borderId="123" applyNumberFormat="0" applyAlignment="0" applyProtection="0"/>
    <xf numFmtId="352" fontId="48" fillId="32" borderId="128" applyNumberFormat="0" applyProtection="0">
      <alignment horizontal="left" vertical="top" indent="1"/>
    </xf>
    <xf numFmtId="352" fontId="137" fillId="14" borderId="123" applyNumberFormat="0" applyAlignment="0" applyProtection="0"/>
    <xf numFmtId="352" fontId="48" fillId="83" borderId="123" applyNumberFormat="0" applyProtection="0">
      <alignment horizontal="left" vertical="center"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88" fillId="31" borderId="130" applyBorder="0"/>
    <xf numFmtId="4" fontId="48" fillId="22" borderId="129" applyNumberFormat="0" applyProtection="0">
      <alignment horizontal="right" vertical="center"/>
    </xf>
    <xf numFmtId="352" fontId="48" fillId="30" borderId="128" applyNumberFormat="0" applyProtection="0">
      <alignment horizontal="left" vertical="top" indent="1"/>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250" fillId="50"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2" fontId="48" fillId="19" borderId="128" applyNumberFormat="0" applyProtection="0">
      <alignment horizontal="left" vertical="top"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 fillId="32" borderId="128"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4" fontId="250" fillId="50" borderId="123" applyNumberFormat="0" applyProtection="0">
      <alignment horizontal="right" vertical="center"/>
    </xf>
    <xf numFmtId="352" fontId="4" fillId="30" borderId="128" applyNumberFormat="0" applyProtection="0">
      <alignment horizontal="left" vertical="top" indent="1"/>
    </xf>
    <xf numFmtId="352"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2" fontId="10" fillId="0" borderId="132" applyNumberFormat="0" applyFill="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252" fillId="34" borderId="128" applyNumberFormat="0" applyProtection="0">
      <alignment horizontal="left" vertical="top" indent="1"/>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2"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13" borderId="123" applyNumberFormat="0" applyFont="0" applyAlignment="0" applyProtection="0"/>
    <xf numFmtId="210" fontId="59" fillId="0" borderId="32" applyFill="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0" borderId="128" applyNumberFormat="0" applyProtection="0">
      <alignment horizontal="left" vertical="top" indent="1"/>
    </xf>
    <xf numFmtId="4" fontId="4" fillId="31" borderId="129" applyNumberFormat="0" applyProtection="0">
      <alignment horizontal="left" vertical="center" indent="1"/>
    </xf>
    <xf numFmtId="352" fontId="4" fillId="31" borderId="128" applyNumberFormat="0" applyProtection="0">
      <alignment horizontal="left" vertical="top" indent="1"/>
    </xf>
    <xf numFmtId="4" fontId="48" fillId="22" borderId="129" applyNumberFormat="0" applyProtection="0">
      <alignment horizontal="right" vertical="center"/>
    </xf>
    <xf numFmtId="352" fontId="48" fillId="61" borderId="123" applyNumberFormat="0" applyProtection="0">
      <alignment horizontal="left" vertical="center" indent="1"/>
    </xf>
    <xf numFmtId="4" fontId="48" fillId="45"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251" fillId="18" borderId="128" applyNumberFormat="0" applyProtection="0">
      <alignment horizontal="left" vertical="top" indent="1"/>
    </xf>
    <xf numFmtId="352" fontId="48" fillId="13" borderId="123" applyNumberFormat="0" applyFont="0" applyAlignment="0" applyProtection="0"/>
    <xf numFmtId="352"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2" fontId="248" fillId="128" borderId="123" applyNumberFormat="0" applyAlignment="0" applyProtection="0"/>
    <xf numFmtId="4" fontId="250" fillId="50" borderId="123" applyNumberFormat="0" applyProtection="0">
      <alignment horizontal="right" vertical="center"/>
    </xf>
    <xf numFmtId="352" fontId="137" fillId="14" borderId="123" applyNumberFormat="0" applyAlignment="0" applyProtection="0"/>
    <xf numFmtId="164" fontId="7" fillId="0" borderId="0" applyFont="0" applyFill="0" applyBorder="0" applyAlignment="0" applyProtection="0"/>
    <xf numFmtId="352" fontId="248" fillId="128" borderId="123" applyNumberFormat="0" applyAlignment="0" applyProtection="0"/>
    <xf numFmtId="4" fontId="48" fillId="45" borderId="123" applyNumberFormat="0" applyProtection="0">
      <alignment horizontal="left" vertical="center" indent="1"/>
    </xf>
    <xf numFmtId="352"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1033">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349"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173" fontId="0" fillId="42" borderId="67" xfId="0" applyNumberFormat="1" applyFill="1" applyBorder="1" applyAlignment="1">
      <alignment horizontal="left" vertical="center" wrapText="1" indent="1"/>
    </xf>
    <xf numFmtId="0" fontId="0" fillId="3" borderId="0" xfId="0" applyFont="1" applyFill="1" applyAlignment="1">
      <alignment horizontal="left" vertical="top" indent="1"/>
    </xf>
    <xf numFmtId="172" fontId="0" fillId="0" borderId="0" xfId="0" applyNumberFormat="1" applyAlignment="1">
      <alignment horizontal="left" vertical="top"/>
    </xf>
    <xf numFmtId="353" fontId="0" fillId="0" borderId="0" xfId="0" applyNumberFormat="1" applyAlignment="1">
      <alignment horizontal="left" vertical="top"/>
    </xf>
    <xf numFmtId="14" fontId="5" fillId="3" borderId="135" xfId="2" applyNumberFormat="1" applyFont="1" applyFill="1" applyBorder="1"/>
    <xf numFmtId="172" fontId="5" fillId="3" borderId="135" xfId="2" applyNumberFormat="1" applyFont="1" applyFill="1" applyBorder="1"/>
    <xf numFmtId="9" fontId="0" fillId="0" borderId="105" xfId="0" applyNumberFormat="1" applyBorder="1" applyAlignment="1">
      <alignment horizontal="center"/>
    </xf>
    <xf numFmtId="351" fontId="24" fillId="0" borderId="0" xfId="0" applyNumberFormat="1" applyFont="1"/>
    <xf numFmtId="0" fontId="262" fillId="0" borderId="0" xfId="0" applyFont="1" applyAlignment="1">
      <alignment horizontal="left" vertical="top"/>
    </xf>
    <xf numFmtId="0" fontId="0" fillId="0" borderId="137" xfId="0" applyBorder="1"/>
    <xf numFmtId="0" fontId="0" fillId="0" borderId="21" xfId="0" applyBorder="1"/>
    <xf numFmtId="10" fontId="5" fillId="38" borderId="68" xfId="77" applyNumberFormat="1" applyFont="1" applyFill="1" applyBorder="1" applyProtection="1"/>
    <xf numFmtId="10" fontId="5" fillId="38" borderId="74" xfId="77" applyNumberFormat="1" applyFont="1" applyFill="1" applyBorder="1" applyProtection="1"/>
    <xf numFmtId="10" fontId="6" fillId="38" borderId="65" xfId="77" applyNumberFormat="1" applyFont="1" applyFill="1" applyBorder="1" applyProtection="1"/>
    <xf numFmtId="0" fontId="3" fillId="0" borderId="136" xfId="0" applyFont="1" applyBorder="1" applyAlignment="1" applyProtection="1">
      <alignment horizontal="center" vertical="center"/>
      <protection locked="0"/>
    </xf>
    <xf numFmtId="172" fontId="24" fillId="0" borderId="137" xfId="1" applyNumberFormat="1" applyFont="1" applyBorder="1" applyAlignment="1" applyProtection="1">
      <alignment horizontal="center" vertical="center"/>
      <protection locked="0"/>
    </xf>
    <xf numFmtId="0" fontId="24" fillId="0" borderId="137" xfId="0" applyFont="1" applyBorder="1" applyAlignment="1" applyProtection="1">
      <alignment horizontal="left" vertical="center"/>
      <protection locked="0"/>
    </xf>
    <xf numFmtId="0" fontId="0" fillId="0" borderId="137" xfId="0" applyBorder="1" applyAlignment="1">
      <alignment horizontal="left" indent="1"/>
    </xf>
    <xf numFmtId="0" fontId="0" fillId="0" borderId="138" xfId="0" applyBorder="1"/>
    <xf numFmtId="0" fontId="3" fillId="0" borderId="139" xfId="0" applyFont="1" applyBorder="1" applyAlignment="1" applyProtection="1">
      <alignment horizontal="center" vertical="center"/>
      <protection locked="0"/>
    </xf>
    <xf numFmtId="172" fontId="0" fillId="0" borderId="0" xfId="1" applyNumberFormat="1" applyFont="1" applyBorder="1"/>
    <xf numFmtId="0" fontId="0" fillId="0" borderId="140" xfId="0" applyBorder="1"/>
    <xf numFmtId="0" fontId="0" fillId="0" borderId="139" xfId="0" applyBorder="1"/>
    <xf numFmtId="172" fontId="3" fillId="0" borderId="0" xfId="1" applyNumberFormat="1" applyFont="1" applyBorder="1"/>
    <xf numFmtId="0" fontId="3" fillId="0" borderId="0" xfId="0" applyFont="1" applyBorder="1"/>
    <xf numFmtId="0" fontId="0" fillId="0" borderId="141" xfId="0" applyBorder="1"/>
    <xf numFmtId="0" fontId="0" fillId="0" borderId="21" xfId="0" applyBorder="1" applyAlignment="1">
      <alignment horizontal="left" indent="1"/>
    </xf>
    <xf numFmtId="0" fontId="0" fillId="0" borderId="142" xfId="0" applyBorder="1"/>
    <xf numFmtId="0" fontId="5" fillId="0" borderId="30" xfId="7" applyFont="1" applyBorder="1" applyAlignment="1">
      <alignment horizontal="left" indent="1"/>
    </xf>
    <xf numFmtId="175" fontId="5" fillId="36" borderId="30" xfId="75" applyNumberFormat="1" applyFont="1" applyFill="1" applyBorder="1" applyAlignment="1" applyProtection="1">
      <alignment vertical="center"/>
    </xf>
    <xf numFmtId="164" fontId="0" fillId="0" borderId="0" xfId="0" applyNumberFormat="1" applyAlignment="1">
      <alignment horizontal="left" vertical="top"/>
    </xf>
    <xf numFmtId="0" fontId="5" fillId="42" borderId="68" xfId="0" applyFont="1" applyFill="1" applyBorder="1" applyAlignment="1">
      <alignment horizontal="left" vertical="top" wrapText="1"/>
    </xf>
    <xf numFmtId="178" fontId="0" fillId="0" borderId="0" xfId="0" applyNumberFormat="1"/>
    <xf numFmtId="10" fontId="2" fillId="3" borderId="143" xfId="0" applyNumberFormat="1" applyFont="1" applyFill="1" applyBorder="1" applyAlignment="1">
      <alignment horizontal="right" vertical="center"/>
    </xf>
    <xf numFmtId="10" fontId="2" fillId="3" borderId="142" xfId="0" applyNumberFormat="1" applyFont="1" applyFill="1" applyBorder="1" applyAlignment="1">
      <alignment horizontal="right" vertical="center"/>
    </xf>
    <xf numFmtId="165" fontId="5" fillId="3" borderId="65" xfId="2" applyNumberFormat="1" applyFont="1" applyFill="1" applyBorder="1" applyAlignment="1">
      <alignment vertical="center"/>
    </xf>
    <xf numFmtId="43" fontId="0" fillId="0" borderId="0" xfId="0" applyNumberFormat="1" applyFill="1" applyAlignment="1">
      <alignment horizontal="center" vertical="top"/>
    </xf>
    <xf numFmtId="0" fontId="0" fillId="3" borderId="0" xfId="0" applyFont="1" applyFill="1" applyAlignment="1">
      <alignment horizontal="left" vertical="top" indent="1"/>
    </xf>
    <xf numFmtId="0" fontId="0" fillId="0" borderId="68" xfId="0" quotePrefix="1" applyFill="1" applyBorder="1" applyAlignment="1">
      <alignment horizontal="left" vertical="top" wrapText="1" indent="1"/>
    </xf>
    <xf numFmtId="0" fontId="0" fillId="42" borderId="68"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0" xfId="0" applyFont="1" applyAlignment="1">
      <alignment horizontal="justify" vertical="center"/>
    </xf>
    <xf numFmtId="0" fontId="5" fillId="3" borderId="30" xfId="2" applyNumberFormat="1" applyFont="1" applyFill="1" applyBorder="1" applyAlignment="1">
      <alignment horizontal="center" vertical="center"/>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2"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3" borderId="0" xfId="0" applyFont="1" applyFill="1" applyAlignment="1">
      <alignment horizontal="left" vertical="top" wrapText="1"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51685">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 3" xfId="48245"/>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14" xfId="48244"/>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2 9" xfId="48248"/>
    <cellStyle name="% 2 2 3" xfId="404"/>
    <cellStyle name="% 2 2 3 2" xfId="405"/>
    <cellStyle name="% 2 2 4" xfId="48247"/>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48" xfId="4824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79" xfId="48249"/>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2 2" xfId="48251"/>
    <cellStyle name="% 4 3" xfId="668"/>
    <cellStyle name="% 4 3 2" xfId="48252"/>
    <cellStyle name="% 4 4" xfId="669"/>
    <cellStyle name="% 4 4 2" xfId="48253"/>
    <cellStyle name="% 4 5" xfId="670"/>
    <cellStyle name="% 4 5 2" xfId="48254"/>
    <cellStyle name="% 4 6" xfId="671"/>
    <cellStyle name="% 4 6 2" xfId="48255"/>
    <cellStyle name="% 4 7" xfId="672"/>
    <cellStyle name="% 4 7 2" xfId="48256"/>
    <cellStyle name="% 4 8" xfId="673"/>
    <cellStyle name="% 4 8 2" xfId="48257"/>
    <cellStyle name="% 4 9" xfId="48250"/>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2 3" xfId="48259"/>
    <cellStyle name="%_3.3 Tax 3" xfId="798"/>
    <cellStyle name="%_3.3 Tax 4" xfId="4825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P10+ GTO Capex Split CN 2" xfId="48260"/>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GTO Non Operational Capex Roll-over submission (FINAL with property) 2" xfId="48261"/>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MG Workings 2" xfId="48262"/>
    <cellStyle name="%_NGG TPCR4 Rollover FBPQ (Capex)" xfId="842"/>
    <cellStyle name="%_Non formula" xfId="843"/>
    <cellStyle name="%_Opex Consolidation v0.4" xfId="844"/>
    <cellStyle name="%_Opex Input" xfId="48263"/>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 5" xfId="48264"/>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 2" xfId="48265"/>
    <cellStyle name="%_VR NGET Opex tables_1.5 Opex Reconciliation NG" xfId="910"/>
    <cellStyle name="%_VR Pensions Opex tables" xfId="911"/>
    <cellStyle name="%_VR Pensions Opex tables 2" xfId="48266"/>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323 - 5yr opex BPQ (Final) 9" xfId="48267"/>
    <cellStyle name="_0708 GSO Capex RRP (detail)" xfId="927"/>
    <cellStyle name="_0708 GSO Capex RRP (detail) 2" xfId="48269"/>
    <cellStyle name="_0708 GSO Capex RRP (detail) 2 2" xfId="48270"/>
    <cellStyle name="_0708 GSO Capex RRP (detail) 2 3" xfId="48271"/>
    <cellStyle name="_0708 GSO Capex RRP (detail) 2 4" xfId="48272"/>
    <cellStyle name="_0708 GSO Capex RRP (detail) 2 5" xfId="48273"/>
    <cellStyle name="_0708 GSO Capex RRP (detail) 2 6" xfId="48274"/>
    <cellStyle name="_0708 GSO Capex RRP (detail) 2 7" xfId="48275"/>
    <cellStyle name="_0708 GSO Capex RRP (detail) 2 8" xfId="48276"/>
    <cellStyle name="_0708 GSO Capex RRP (detail) 3" xfId="48268"/>
    <cellStyle name="_0708 GSO Capex RRP (detail)_Opex Input" xfId="4827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 9" xfId="48278"/>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ook4 2" xfId="48280"/>
    <cellStyle name="_Book4 2 2" xfId="48281"/>
    <cellStyle name="_Book4 2 3" xfId="48282"/>
    <cellStyle name="_Book4 2 4" xfId="48283"/>
    <cellStyle name="_Book4 2 5" xfId="48284"/>
    <cellStyle name="_Book4 2 6" xfId="48285"/>
    <cellStyle name="_Book4 2 7" xfId="48286"/>
    <cellStyle name="_Book4 2 8" xfId="48287"/>
    <cellStyle name="_Book4 3" xfId="48279"/>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 GTO Capex Split CN 2" xfId="48288"/>
    <cellStyle name="_BP10+post TIC 1 Jun" xfId="998"/>
    <cellStyle name="_BP10+post TIC 1 Jun 2" xfId="48290"/>
    <cellStyle name="_BP10+post TIC 1 Jun 2 2" xfId="48291"/>
    <cellStyle name="_BP10+post TIC 1 Jun 2 3" xfId="48292"/>
    <cellStyle name="_BP10+post TIC 1 Jun 2 4" xfId="48293"/>
    <cellStyle name="_BP10+post TIC 1 Jun 2 5" xfId="48294"/>
    <cellStyle name="_BP10+post TIC 1 Jun 2 6" xfId="48295"/>
    <cellStyle name="_BP10+post TIC 1 Jun 2 7" xfId="48296"/>
    <cellStyle name="_BP10+post TIC 1 Jun 2 8" xfId="48297"/>
    <cellStyle name="_BP10+post TIC 1 Jun 3" xfId="48289"/>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 9" xfId="48298"/>
    <cellStyle name="_Capital Plan - IS UK_0910 GSO Capex RRP - Final (Detail) v2 220710" xfId="1013"/>
    <cellStyle name="_Capital Plan - IS UK_0910 GSO Capex RRP - Final (Detail) v2 220710 2" xfId="48300"/>
    <cellStyle name="_Capital Plan - IS UK_0910 GSO Capex RRP - Final (Detail) v2 220710 2 2" xfId="48301"/>
    <cellStyle name="_Capital Plan - IS UK_0910 GSO Capex RRP - Final (Detail) v2 220710 2 3" xfId="48302"/>
    <cellStyle name="_Capital Plan - IS UK_0910 GSO Capex RRP - Final (Detail) v2 220710 2 4" xfId="48303"/>
    <cellStyle name="_Capital Plan - IS UK_0910 GSO Capex RRP - Final (Detail) v2 220710 2 5" xfId="48304"/>
    <cellStyle name="_Capital Plan - IS UK_0910 GSO Capex RRP - Final (Detail) v2 220710 2 6" xfId="48305"/>
    <cellStyle name="_Capital Plan - IS UK_0910 GSO Capex RRP - Final (Detail) v2 220710 2 7" xfId="48306"/>
    <cellStyle name="_Capital Plan - IS UK_0910 GSO Capex RRP - Final (Detail) v2 220710 2 8" xfId="48307"/>
    <cellStyle name="_Capital Plan - IS UK_0910 GSO Capex RRP - Final (Detail) v2 220710 3" xfId="48299"/>
    <cellStyle name="_Capital Plan - IS UK_0910 GSO Capex RRP - Final (Detail) v2 220710_Opex Input" xfId="48308"/>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Jun-10 2" xfId="48310"/>
    <cellStyle name="_Gas TO major Projects Forecast Jun-10 2 2" xfId="48311"/>
    <cellStyle name="_Gas TO major Projects Forecast Jun-10 2 3" xfId="48312"/>
    <cellStyle name="_Gas TO major Projects Forecast Jun-10 2 4" xfId="48313"/>
    <cellStyle name="_Gas TO major Projects Forecast Jun-10 2 5" xfId="48314"/>
    <cellStyle name="_Gas TO major Projects Forecast Jun-10 2 6" xfId="48315"/>
    <cellStyle name="_Gas TO major Projects Forecast Jun-10 2 7" xfId="48316"/>
    <cellStyle name="_Gas TO major Projects Forecast Jun-10 2 8" xfId="48317"/>
    <cellStyle name="_Gas TO major Projects Forecast Jun-10 3" xfId="48309"/>
    <cellStyle name="_Gas TO major Projects Forecast May-10 BP10+ v5" xfId="1071"/>
    <cellStyle name="_Gas TO major Projects Forecast May-10 BP10+ v5 2" xfId="48319"/>
    <cellStyle name="_Gas TO major Projects Forecast May-10 BP10+ v5 2 2" xfId="48320"/>
    <cellStyle name="_Gas TO major Projects Forecast May-10 BP10+ v5 2 3" xfId="48321"/>
    <cellStyle name="_Gas TO major Projects Forecast May-10 BP10+ v5 2 4" xfId="48322"/>
    <cellStyle name="_Gas TO major Projects Forecast May-10 BP10+ v5 2 5" xfId="48323"/>
    <cellStyle name="_Gas TO major Projects Forecast May-10 BP10+ v5 2 6" xfId="48324"/>
    <cellStyle name="_Gas TO major Projects Forecast May-10 BP10+ v5 2 7" xfId="48325"/>
    <cellStyle name="_Gas TO major Projects Forecast May-10 BP10+ v5 2 8" xfId="48326"/>
    <cellStyle name="_Gas TO major Projects Forecast May-10 BP10+ v5 3" xfId="48318"/>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GTO Non Operational Capex Roll-over submission (FINAL with property) 2" xfId="4832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est scoring_UKGDx_20070924_Pilot (DV) 9" xfId="48328"/>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1 2" xfId="48329"/>
    <cellStyle name="=C:\WINNT\SYSTEM32\COMMAND.COM 12" xfId="1232"/>
    <cellStyle name="=C:\WINNT\SYSTEM32\COMMAND.COM 12 2" xfId="1233"/>
    <cellStyle name="=C:\WINNT\SYSTEM32\COMMAND.COM 12 3" xfId="48330"/>
    <cellStyle name="=C:\WINNT\SYSTEM32\COMMAND.COM 13" xfId="1234"/>
    <cellStyle name="=C:\WINNT\SYSTEM32\COMMAND.COM 13 2" xfId="48331"/>
    <cellStyle name="=C:\WINNT\SYSTEM32\COMMAND.COM 14" xfId="1235"/>
    <cellStyle name="=C:\WINNT\SYSTEM32\COMMAND.COM 14 2" xfId="48332"/>
    <cellStyle name="=C:\WINNT\SYSTEM32\COMMAND.COM 15" xfId="1236"/>
    <cellStyle name="=C:\WINNT\SYSTEM32\COMMAND.COM 15 2" xfId="48333"/>
    <cellStyle name="=C:\WINNT\SYSTEM32\COMMAND.COM 16" xfId="1237"/>
    <cellStyle name="=C:\WINNT\SYSTEM32\COMMAND.COM 16 2" xfId="48334"/>
    <cellStyle name="=C:\WINNT\SYSTEM32\COMMAND.COM 17" xfId="1238"/>
    <cellStyle name="=C:\WINNT\SYSTEM32\COMMAND.COM 17 2" xfId="48335"/>
    <cellStyle name="=C:\WINNT\SYSTEM32\COMMAND.COM 18" xfId="1239"/>
    <cellStyle name="=C:\WINNT\SYSTEM32\COMMAND.COM 18 2" xfId="48336"/>
    <cellStyle name="=C:\WINNT\SYSTEM32\COMMAND.COM 19" xfId="1240"/>
    <cellStyle name="=C:\WINNT\SYSTEM32\COMMAND.COM 19 2" xfId="48337"/>
    <cellStyle name="=C:\WINNT\SYSTEM32\COMMAND.COM 2" xfId="1241"/>
    <cellStyle name="=C:\WINNT\SYSTEM32\COMMAND.COM 2 10" xfId="49399"/>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 2 2" xfId="48340"/>
    <cellStyle name="=C:\WINNT\SYSTEM32\COMMAND.COM 2 2 2 3" xfId="48341"/>
    <cellStyle name="=C:\WINNT\SYSTEM32\COMMAND.COM 2 2 2 4" xfId="48339"/>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 2" xfId="48342"/>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49" xfId="48338"/>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3 2" xfId="48343"/>
    <cellStyle name="=C:\WINNT\SYSTEM32\COMMAND.COM 2 4" xfId="1292"/>
    <cellStyle name="=C:\WINNT\SYSTEM32\COMMAND.COM 2 4 2" xfId="49381"/>
    <cellStyle name="=C:\WINNT\SYSTEM32\COMMAND.COM 2 5" xfId="1293"/>
    <cellStyle name="=C:\WINNT\SYSTEM32\COMMAND.COM 2 5 2" xfId="49396"/>
    <cellStyle name="=C:\WINNT\SYSTEM32\COMMAND.COM 2 6" xfId="1294"/>
    <cellStyle name="=C:\WINNT\SYSTEM32\COMMAND.COM 2 6 2" xfId="49382"/>
    <cellStyle name="=C:\WINNT\SYSTEM32\COMMAND.COM 2 7" xfId="1295"/>
    <cellStyle name="=C:\WINNT\SYSTEM32\COMMAND.COM 2 7 2" xfId="49385"/>
    <cellStyle name="=C:\WINNT\SYSTEM32\COMMAND.COM 2 8" xfId="1296"/>
    <cellStyle name="=C:\WINNT\SYSTEM32\COMMAND.COM 2 8 2" xfId="49383"/>
    <cellStyle name="=C:\WINNT\SYSTEM32\COMMAND.COM 2 9" xfId="1297"/>
    <cellStyle name="=C:\WINNT\SYSTEM32\COMMAND.COM 2 9 2" xfId="49384"/>
    <cellStyle name="=C:\WINNT\SYSTEM32\COMMAND.COM 2_Opex Input" xfId="48344"/>
    <cellStyle name="=C:\WINNT\SYSTEM32\COMMAND.COM 20" xfId="1298"/>
    <cellStyle name="=C:\WINNT\SYSTEM32\COMMAND.COM 20 2" xfId="48345"/>
    <cellStyle name="=C:\WINNT\SYSTEM32\COMMAND.COM 21" xfId="1299"/>
    <cellStyle name="=C:\WINNT\SYSTEM32\COMMAND.COM 21 2" xfId="48346"/>
    <cellStyle name="=C:\WINNT\SYSTEM32\COMMAND.COM 22" xfId="1300"/>
    <cellStyle name="=C:\WINNT\SYSTEM32\COMMAND.COM 22 2" xfId="48347"/>
    <cellStyle name="=C:\WINNT\SYSTEM32\COMMAND.COM 23" xfId="1301"/>
    <cellStyle name="=C:\WINNT\SYSTEM32\COMMAND.COM 23 2" xfId="48349"/>
    <cellStyle name="=C:\WINNT\SYSTEM32\COMMAND.COM 23 3" xfId="48348"/>
    <cellStyle name="=C:\WINNT\SYSTEM32\COMMAND.COM 24" xfId="1302"/>
    <cellStyle name="=C:\WINNT\SYSTEM32\COMMAND.COM 24 2" xfId="48350"/>
    <cellStyle name="=C:\WINNT\SYSTEM32\COMMAND.COM 25" xfId="1303"/>
    <cellStyle name="=C:\WINNT\SYSTEM32\COMMAND.COM 25 2" xfId="48352"/>
    <cellStyle name="=C:\WINNT\SYSTEM32\COMMAND.COM 25 3" xfId="48353"/>
    <cellStyle name="=C:\WINNT\SYSTEM32\COMMAND.COM 25 4" xfId="48351"/>
    <cellStyle name="=C:\WINNT\SYSTEM32\COMMAND.COM 26" xfId="1304"/>
    <cellStyle name="=C:\WINNT\SYSTEM32\COMMAND.COM 26 2" xfId="48354"/>
    <cellStyle name="=C:\WINNT\SYSTEM32\COMMAND.COM 27" xfId="1305"/>
    <cellStyle name="=C:\WINNT\SYSTEM32\COMMAND.COM 27 2" xfId="48355"/>
    <cellStyle name="=C:\WINNT\SYSTEM32\COMMAND.COM 28" xfId="1306"/>
    <cellStyle name="=C:\WINNT\SYSTEM32\COMMAND.COM 28 2" xfId="48356"/>
    <cellStyle name="=C:\WINNT\SYSTEM32\COMMAND.COM 29" xfId="1307"/>
    <cellStyle name="=C:\WINNT\SYSTEM32\COMMAND.COM 29 2" xfId="4835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0 2" xfId="48358"/>
    <cellStyle name="=C:\WINNT\SYSTEM32\COMMAND.COM 31" xfId="1316"/>
    <cellStyle name="=C:\WINNT\SYSTEM32\COMMAND.COM 31 2" xfId="48359"/>
    <cellStyle name="=C:\WINNT\SYSTEM32\COMMAND.COM 32" xfId="1317"/>
    <cellStyle name="=C:\WINNT\SYSTEM32\COMMAND.COM 32 2" xfId="48360"/>
    <cellStyle name="=C:\WINNT\SYSTEM32\COMMAND.COM 33" xfId="1318"/>
    <cellStyle name="=C:\WINNT\SYSTEM32\COMMAND.COM 33 2" xfId="48361"/>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 2" xfId="48363"/>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 2" xfId="48364"/>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48" xfId="48362"/>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23" xfId="48365"/>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 4" xfId="48366"/>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7 5" xfId="48367"/>
    <cellStyle name="=C:\WINNT\SYSTEM32\COMMAND.COM 8" xfId="1581"/>
    <cellStyle name="=C:\WINNT\SYSTEM32\COMMAND.COM 8 2" xfId="48368"/>
    <cellStyle name="=C:\WINNT\SYSTEM32\COMMAND.COM 9" xfId="1582"/>
    <cellStyle name="=C:\WINNT\SYSTEM32\COMMAND.COM 9 2" xfId="48369"/>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48" xfId="48370"/>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2 8" xfId="48371"/>
    <cellStyle name="20% - Accent1 3" xfId="1669"/>
    <cellStyle name="20% - Accent1 3 2" xfId="1670"/>
    <cellStyle name="20% - Accent1 3 3" xfId="1671"/>
    <cellStyle name="20% - Accent1 3 4" xfId="48372"/>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2 8" xfId="48373"/>
    <cellStyle name="20% - Accent2 3" xfId="1699"/>
    <cellStyle name="20% - Accent2 3 2" xfId="1700"/>
    <cellStyle name="20% - Accent2 3 3" xfId="1701"/>
    <cellStyle name="20% - Accent2 3 4" xfId="48374"/>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2 8" xfId="48375"/>
    <cellStyle name="20% - Accent3 3" xfId="1729"/>
    <cellStyle name="20% - Accent3 3 2" xfId="1730"/>
    <cellStyle name="20% - Accent3 3 3" xfId="1731"/>
    <cellStyle name="20% - Accent3 3 4" xfId="48376"/>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2 8" xfId="48377"/>
    <cellStyle name="20% - Accent4 3" xfId="1759"/>
    <cellStyle name="20% - Accent4 3 2" xfId="1760"/>
    <cellStyle name="20% - Accent4 3 3" xfId="1761"/>
    <cellStyle name="20% - Accent4 3 4" xfId="48378"/>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2 8" xfId="48379"/>
    <cellStyle name="20% - Accent5 3" xfId="1789"/>
    <cellStyle name="20% - Accent5 3 2" xfId="1790"/>
    <cellStyle name="20% - Accent5 3 3" xfId="1791"/>
    <cellStyle name="20% - Accent5 3 4" xfId="48380"/>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2 8" xfId="48381"/>
    <cellStyle name="20% - Accent6 3" xfId="1819"/>
    <cellStyle name="20% - Accent6 3 2" xfId="1820"/>
    <cellStyle name="20% - Accent6 3 3" xfId="1821"/>
    <cellStyle name="20% - Accent6 3 4" xfId="48382"/>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2 8" xfId="48383"/>
    <cellStyle name="40% - Accent1 3" xfId="1855"/>
    <cellStyle name="40% - Accent1 3 2" xfId="1856"/>
    <cellStyle name="40% - Accent1 3 3" xfId="1857"/>
    <cellStyle name="40% - Accent1 3 4" xfId="48384"/>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2 8" xfId="48385"/>
    <cellStyle name="40% - Accent2 3" xfId="1885"/>
    <cellStyle name="40% - Accent2 3 2" xfId="1886"/>
    <cellStyle name="40% - Accent2 3 3" xfId="1887"/>
    <cellStyle name="40% - Accent2 3 4" xfId="48386"/>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2 8" xfId="48387"/>
    <cellStyle name="40% - Accent3 3" xfId="1915"/>
    <cellStyle name="40% - Accent3 3 2" xfId="1916"/>
    <cellStyle name="40% - Accent3 3 3" xfId="1917"/>
    <cellStyle name="40% - Accent3 3 4" xfId="48388"/>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2 8" xfId="48389"/>
    <cellStyle name="40% - Accent4 3" xfId="1945"/>
    <cellStyle name="40% - Accent4 3 2" xfId="1946"/>
    <cellStyle name="40% - Accent4 3 3" xfId="1947"/>
    <cellStyle name="40% - Accent4 3 4" xfId="48390"/>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2 8" xfId="48391"/>
    <cellStyle name="40% - Accent5 3" xfId="1975"/>
    <cellStyle name="40% - Accent5 3 2" xfId="1976"/>
    <cellStyle name="40% - Accent5 3 3" xfId="1977"/>
    <cellStyle name="40% - Accent5 3 4" xfId="48392"/>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2 8" xfId="48393"/>
    <cellStyle name="40% - Accent6 3" xfId="2005"/>
    <cellStyle name="40% - Accent6 3 2" xfId="2006"/>
    <cellStyle name="40% - Accent6 3 3" xfId="2007"/>
    <cellStyle name="40% - Accent6 3 4" xfId="48394"/>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2 8" xfId="48395"/>
    <cellStyle name="60% - Accent1 3" xfId="2035"/>
    <cellStyle name="60% - Accent1 3 2" xfId="2036"/>
    <cellStyle name="60% - Accent1 3 3" xfId="2037"/>
    <cellStyle name="60% - Accent1 3 4" xfId="48396"/>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2 8" xfId="48397"/>
    <cellStyle name="60% - Accent2 3" xfId="2065"/>
    <cellStyle name="60% - Accent2 3 2" xfId="2066"/>
    <cellStyle name="60% - Accent2 3 3" xfId="2067"/>
    <cellStyle name="60% - Accent2 3 4" xfId="48398"/>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2 8" xfId="48399"/>
    <cellStyle name="60% - Accent3 3" xfId="2095"/>
    <cellStyle name="60% - Accent3 3 2" xfId="2096"/>
    <cellStyle name="60% - Accent3 3 3" xfId="2097"/>
    <cellStyle name="60% - Accent3 3 4" xfId="48400"/>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2 8" xfId="48401"/>
    <cellStyle name="60% - Accent4 3" xfId="2125"/>
    <cellStyle name="60% - Accent4 3 2" xfId="2126"/>
    <cellStyle name="60% - Accent4 3 3" xfId="2127"/>
    <cellStyle name="60% - Accent4 3 4" xfId="48402"/>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2 8" xfId="48403"/>
    <cellStyle name="60% - Accent5 3" xfId="2155"/>
    <cellStyle name="60% - Accent5 3 2" xfId="2156"/>
    <cellStyle name="60% - Accent5 3 3" xfId="2157"/>
    <cellStyle name="60% - Accent5 3 4" xfId="48404"/>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2 8" xfId="48405"/>
    <cellStyle name="60% - Accent6 3" xfId="2185"/>
    <cellStyle name="60% - Accent6 3 2" xfId="2186"/>
    <cellStyle name="60% - Accent6 3 3" xfId="2187"/>
    <cellStyle name="60% - Accent6 3 4" xfId="48406"/>
    <cellStyle name="60% - Accent6 4" xfId="2188"/>
    <cellStyle name="60% - Accent6 5" xfId="2189"/>
    <cellStyle name="60% - Accent6 6" xfId="2190"/>
    <cellStyle name="60% - Accent6 7" xfId="2191"/>
    <cellStyle name="aaa" xfId="2192"/>
    <cellStyle name="Accent1 - 20%" xfId="11"/>
    <cellStyle name="Accent1 - 20% 2" xfId="2193"/>
    <cellStyle name="Accent1 - 20% 3" xfId="48407"/>
    <cellStyle name="Accent1 - 40%" xfId="12"/>
    <cellStyle name="Accent1 - 40% 2" xfId="2194"/>
    <cellStyle name="Accent1 - 40% 3" xfId="48408"/>
    <cellStyle name="Accent1 - 60%" xfId="13"/>
    <cellStyle name="Accent1 - 60% 2" xfId="48409"/>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2 8" xfId="48410"/>
    <cellStyle name="Accent1 3" xfId="2218"/>
    <cellStyle name="Accent1 3 2" xfId="2219"/>
    <cellStyle name="Accent1 3 3" xfId="2220"/>
    <cellStyle name="Accent1 3 4" xfId="48411"/>
    <cellStyle name="Accent1 4" xfId="2221"/>
    <cellStyle name="Accent1 5" xfId="2222"/>
    <cellStyle name="Accent1 6" xfId="2223"/>
    <cellStyle name="Accent1 7" xfId="2224"/>
    <cellStyle name="Accent2 - 20%" xfId="14"/>
    <cellStyle name="Accent2 - 20% 2" xfId="2225"/>
    <cellStyle name="Accent2 - 20% 3" xfId="48412"/>
    <cellStyle name="Accent2 - 40%" xfId="15"/>
    <cellStyle name="Accent2 - 40% 2" xfId="2226"/>
    <cellStyle name="Accent2 - 40% 3" xfId="48413"/>
    <cellStyle name="Accent2 - 60%" xfId="16"/>
    <cellStyle name="Accent2 - 60% 2" xfId="48414"/>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2 8" xfId="48415"/>
    <cellStyle name="Accent2 3" xfId="2250"/>
    <cellStyle name="Accent2 3 2" xfId="2251"/>
    <cellStyle name="Accent2 3 3" xfId="2252"/>
    <cellStyle name="Accent2 3 4" xfId="48416"/>
    <cellStyle name="Accent2 4" xfId="2253"/>
    <cellStyle name="Accent2 5" xfId="2254"/>
    <cellStyle name="Accent2 6" xfId="2255"/>
    <cellStyle name="Accent2 7" xfId="2256"/>
    <cellStyle name="Accent3 - 20%" xfId="17"/>
    <cellStyle name="Accent3 - 20% 2" xfId="2257"/>
    <cellStyle name="Accent3 - 20% 3" xfId="48417"/>
    <cellStyle name="Accent3 - 40%" xfId="18"/>
    <cellStyle name="Accent3 - 40% 2" xfId="2258"/>
    <cellStyle name="Accent3 - 40% 3" xfId="48418"/>
    <cellStyle name="Accent3 - 60%" xfId="19"/>
    <cellStyle name="Accent3 - 60% 2" xfId="484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2 8" xfId="48420"/>
    <cellStyle name="Accent3 3" xfId="2282"/>
    <cellStyle name="Accent3 3 2" xfId="2283"/>
    <cellStyle name="Accent3 3 3" xfId="2284"/>
    <cellStyle name="Accent3 3 4" xfId="48421"/>
    <cellStyle name="Accent3 4" xfId="2285"/>
    <cellStyle name="Accent3 5" xfId="2286"/>
    <cellStyle name="Accent3 6" xfId="2287"/>
    <cellStyle name="Accent3 7" xfId="2288"/>
    <cellStyle name="Accent4 - 20%" xfId="20"/>
    <cellStyle name="Accent4 - 20% 2" xfId="2289"/>
    <cellStyle name="Accent4 - 20% 3" xfId="48422"/>
    <cellStyle name="Accent4 - 40%" xfId="21"/>
    <cellStyle name="Accent4 - 40% 2" xfId="2290"/>
    <cellStyle name="Accent4 - 40% 3" xfId="48423"/>
    <cellStyle name="Accent4 - 60%" xfId="22"/>
    <cellStyle name="Accent4 - 60% 2" xfId="48424"/>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2 8" xfId="48425"/>
    <cellStyle name="Accent4 3" xfId="2314"/>
    <cellStyle name="Accent4 3 2" xfId="2315"/>
    <cellStyle name="Accent4 3 3" xfId="2316"/>
    <cellStyle name="Accent4 3 4" xfId="48426"/>
    <cellStyle name="Accent4 4" xfId="2317"/>
    <cellStyle name="Accent4 5" xfId="2318"/>
    <cellStyle name="Accent4 6" xfId="2319"/>
    <cellStyle name="Accent4 7" xfId="2320"/>
    <cellStyle name="Accent5 - 20%" xfId="23"/>
    <cellStyle name="Accent5 - 20% 2" xfId="2321"/>
    <cellStyle name="Accent5 - 20% 3" xfId="48427"/>
    <cellStyle name="Accent5 - 40%" xfId="24"/>
    <cellStyle name="Accent5 - 40% 2" xfId="2322"/>
    <cellStyle name="Accent5 - 40% 3" xfId="48428"/>
    <cellStyle name="Accent5 - 60%" xfId="25"/>
    <cellStyle name="Accent5 - 60% 2" xfId="48429"/>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2 8" xfId="48430"/>
    <cellStyle name="Accent5 3" xfId="2346"/>
    <cellStyle name="Accent5 3 2" xfId="2347"/>
    <cellStyle name="Accent5 3 3" xfId="2348"/>
    <cellStyle name="Accent5 3 4" xfId="48431"/>
    <cellStyle name="Accent5 4" xfId="2349"/>
    <cellStyle name="Accent5 5" xfId="2350"/>
    <cellStyle name="Accent5 6" xfId="2351"/>
    <cellStyle name="Accent5 7" xfId="2352"/>
    <cellStyle name="Accent6 - 20%" xfId="26"/>
    <cellStyle name="Accent6 - 20% 2" xfId="2353"/>
    <cellStyle name="Accent6 - 20% 3" xfId="48432"/>
    <cellStyle name="Accent6 - 40%" xfId="27"/>
    <cellStyle name="Accent6 - 40% 2" xfId="2354"/>
    <cellStyle name="Accent6 - 40% 3" xfId="48433"/>
    <cellStyle name="Accent6 - 60%" xfId="28"/>
    <cellStyle name="Accent6 - 60% 2" xfId="48434"/>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2 8" xfId="48435"/>
    <cellStyle name="Accent6 3" xfId="2378"/>
    <cellStyle name="Accent6 3 2" xfId="2379"/>
    <cellStyle name="Accent6 3 3" xfId="2380"/>
    <cellStyle name="Accent6 3 4" xfId="48436"/>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64" xfId="48437"/>
    <cellStyle name="Bad 2 7" xfId="2470"/>
    <cellStyle name="Bad 2 8" xfId="2471"/>
    <cellStyle name="Bad 2 9" xfId="2472"/>
    <cellStyle name="Bad 3" xfId="2473"/>
    <cellStyle name="Bad 3 10" xfId="2474"/>
    <cellStyle name="Bad 3 11" xfId="2475"/>
    <cellStyle name="Bad 3 12" xfId="2476"/>
    <cellStyle name="Bad 3 13" xfId="2477"/>
    <cellStyle name="Bad 3 14" xfId="48438"/>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2 2" xfId="50203"/>
    <cellStyle name="Calculation 2 2 2 3" xfId="2590"/>
    <cellStyle name="Calculation 2 2 2 3 2" xfId="51420"/>
    <cellStyle name="Calculation 2 2 2 4" xfId="49794"/>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 4" xfId="50572"/>
    <cellStyle name="Calculation 2 2 30" xfId="2604"/>
    <cellStyle name="Calculation 2 2 31" xfId="2605"/>
    <cellStyle name="Calculation 2 2 32" xfId="2606"/>
    <cellStyle name="Calculation 2 2 33" xfId="49466"/>
    <cellStyle name="Calculation 2 2 4" xfId="2607"/>
    <cellStyle name="Calculation 2 2 4 2" xfId="51349"/>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2 2" xfId="50089"/>
    <cellStyle name="Calculation 2 3 2 3" xfId="2636"/>
    <cellStyle name="Calculation 2 3 2 3 2" xfId="51599"/>
    <cellStyle name="Calculation 2 3 2 4" xfId="49921"/>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 4" xfId="50446"/>
    <cellStyle name="Calculation 2 3 30" xfId="2650"/>
    <cellStyle name="Calculation 2 3 31" xfId="2651"/>
    <cellStyle name="Calculation 2 3 32" xfId="2652"/>
    <cellStyle name="Calculation 2 3 33" xfId="49593"/>
    <cellStyle name="Calculation 2 3 4" xfId="2653"/>
    <cellStyle name="Calculation 2 3 4 2" xfId="51499"/>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37" xfId="48439"/>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2 2" xfId="50996"/>
    <cellStyle name="Calculation 2 4 2 3" xfId="2679"/>
    <cellStyle name="Calculation 2 4 2 3 2" xfId="51132"/>
    <cellStyle name="Calculation 2 4 2 4" xfId="49951"/>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 4" xfId="50057"/>
    <cellStyle name="Calculation 2 4 30" xfId="2693"/>
    <cellStyle name="Calculation 2 4 31" xfId="2694"/>
    <cellStyle name="Calculation 2 4 32" xfId="2695"/>
    <cellStyle name="Calculation 2 4 33" xfId="49623"/>
    <cellStyle name="Calculation 2 4 4" xfId="2696"/>
    <cellStyle name="Calculation 2 4 4 2" xfId="50897"/>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 4" xfId="50860"/>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 4" xfId="51371"/>
    <cellStyle name="Calculation 2 5 30" xfId="2729"/>
    <cellStyle name="Calculation 2 5 31" xfId="2730"/>
    <cellStyle name="Calculation 2 5 32" xfId="2731"/>
    <cellStyle name="Calculation 2 5 33" xfId="49629"/>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2 6" xfId="51011"/>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3 4" xfId="51407"/>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6 8" xfId="49966"/>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7 4" xfId="5089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8 4" xfId="50790"/>
    <cellStyle name="Calculation 2 9" xfId="2779"/>
    <cellStyle name="Calculation 2 9 2" xfId="2780"/>
    <cellStyle name="Calculation 2 9 3" xfId="51673"/>
    <cellStyle name="Calculation 3" xfId="2781"/>
    <cellStyle name="Calculation 3 10" xfId="48440"/>
    <cellStyle name="Calculation 3 2" xfId="2782"/>
    <cellStyle name="Calculation 3 2 2" xfId="2783"/>
    <cellStyle name="Calculation 3 2 2 2" xfId="50202"/>
    <cellStyle name="Calculation 3 2 2 3" xfId="51391"/>
    <cellStyle name="Calculation 3 2 2 4" xfId="49795"/>
    <cellStyle name="Calculation 3 2 3" xfId="50571"/>
    <cellStyle name="Calculation 3 2 4" xfId="51648"/>
    <cellStyle name="Calculation 3 2 5" xfId="49467"/>
    <cellStyle name="Calculation 3 3" xfId="2784"/>
    <cellStyle name="Calculation 3 3 2" xfId="2785"/>
    <cellStyle name="Calculation 3 3 2 2" xfId="50827"/>
    <cellStyle name="Calculation 3 3 2 3" xfId="51153"/>
    <cellStyle name="Calculation 3 3 2 4" xfId="49920"/>
    <cellStyle name="Calculation 3 3 3" xfId="50447"/>
    <cellStyle name="Calculation 3 3 4" xfId="51242"/>
    <cellStyle name="Calculation 3 3 5" xfId="49592"/>
    <cellStyle name="Calculation 3 4" xfId="2786"/>
    <cellStyle name="Calculation 3 4 2" xfId="49950"/>
    <cellStyle name="Calculation 3 4 2 2" xfId="50995"/>
    <cellStyle name="Calculation 3 4 2 3" xfId="50933"/>
    <cellStyle name="Calculation 3 4 3" xfId="50058"/>
    <cellStyle name="Calculation 3 4 4" xfId="50960"/>
    <cellStyle name="Calculation 3 4 5" xfId="49622"/>
    <cellStyle name="Calculation 3 5" xfId="49630"/>
    <cellStyle name="Calculation 3 5 2" xfId="50927"/>
    <cellStyle name="Calculation 3 5 3" xfId="51661"/>
    <cellStyle name="Calculation 3 6" xfId="50043"/>
    <cellStyle name="Calculation 3 6 2" xfId="51087"/>
    <cellStyle name="Calculation 3 6 3" xfId="51297"/>
    <cellStyle name="Calculation 3 7" xfId="50917"/>
    <cellStyle name="Calculation 3 8" xfId="50866"/>
    <cellStyle name="Calculation 3 9" xfId="51677"/>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2 8" xfId="48441"/>
    <cellStyle name="Check Cell 3" xfId="2819"/>
    <cellStyle name="Check Cell 3 2" xfId="2820"/>
    <cellStyle name="Check Cell 3 3" xfId="2821"/>
    <cellStyle name="Check Cell 3 4" xfId="48442"/>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 Underlined 2" xfId="48443"/>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1] 2" xfId="48445"/>
    <cellStyle name="Comma [1] 2 2" xfId="48446"/>
    <cellStyle name="Comma [1] 2 3" xfId="48447"/>
    <cellStyle name="Comma [1] 2 4" xfId="48448"/>
    <cellStyle name="Comma [1] 2 5" xfId="48449"/>
    <cellStyle name="Comma [1] 2 6" xfId="48450"/>
    <cellStyle name="Comma [1] 2 7" xfId="48451"/>
    <cellStyle name="Comma [1] 2 8" xfId="48452"/>
    <cellStyle name="Comma [1] 3" xfId="48444"/>
    <cellStyle name="Comma [2]" xfId="2851"/>
    <cellStyle name="Comma [3]" xfId="2852"/>
    <cellStyle name="Comma 0" xfId="2853"/>
    <cellStyle name="Comma 0*" xfId="2854"/>
    <cellStyle name="Comma 0_Model_Sep_2_02" xfId="2855"/>
    <cellStyle name="Comma 10" xfId="2856"/>
    <cellStyle name="Comma 10 2" xfId="50283"/>
    <cellStyle name="Comma 10 3" xfId="48453"/>
    <cellStyle name="Comma 11" xfId="2857"/>
    <cellStyle name="Comma 11 2" xfId="50061"/>
    <cellStyle name="Comma 11 3" xfId="48240"/>
    <cellStyle name="Comma 12" xfId="2858"/>
    <cellStyle name="Comma 12 2" xfId="50284"/>
    <cellStyle name="Comma 12 3" xfId="48454"/>
    <cellStyle name="Comma 13" xfId="2859"/>
    <cellStyle name="Comma 13 2" xfId="50285"/>
    <cellStyle name="Comma 13 3" xfId="48455"/>
    <cellStyle name="Comma 14" xfId="2860"/>
    <cellStyle name="Comma 14 2" xfId="50822"/>
    <cellStyle name="Comma 15" xfId="2861"/>
    <cellStyle name="Comma 15 2" xfId="50647"/>
    <cellStyle name="Comma 16" xfId="51138"/>
    <cellStyle name="Comma 17" xfId="2862"/>
    <cellStyle name="Comma 17 2" xfId="50789"/>
    <cellStyle name="Comma 18" xfId="2863"/>
    <cellStyle name="Comma 18 2" xfId="51207"/>
    <cellStyle name="Comma 19" xfId="51671"/>
    <cellStyle name="Comma 2" xfId="2"/>
    <cellStyle name="Comma 2 10" xfId="2864"/>
    <cellStyle name="Comma 2 10 10" xfId="2865"/>
    <cellStyle name="Comma 2 10 11" xfId="2866"/>
    <cellStyle name="Comma 2 10 12" xfId="2867"/>
    <cellStyle name="Comma 2 10 13" xfId="48457"/>
    <cellStyle name="Comma 2 10 2" xfId="2868"/>
    <cellStyle name="Comma 2 10 2 2" xfId="2869"/>
    <cellStyle name="Comma 2 10 2 3" xfId="2870"/>
    <cellStyle name="Comma 2 10 2 4" xfId="50287"/>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 2" xfId="50288"/>
    <cellStyle name="Comma 2 11 3" xfId="48458"/>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 2" xfId="50289"/>
    <cellStyle name="Comma 2 12 3" xfId="48459"/>
    <cellStyle name="Comma 2 120" xfId="2903"/>
    <cellStyle name="Comma 2 121" xfId="2904"/>
    <cellStyle name="Comma 2 122" xfId="2905"/>
    <cellStyle name="Comma 2 123" xfId="2906"/>
    <cellStyle name="Comma 2 124" xfId="2907"/>
    <cellStyle name="Comma 2 125" xfId="2908"/>
    <cellStyle name="Comma 2 126" xfId="2909"/>
    <cellStyle name="Comma 2 127" xfId="48456"/>
    <cellStyle name="Comma 2 13" xfId="2910"/>
    <cellStyle name="Comma 2 13 2" xfId="50290"/>
    <cellStyle name="Comma 2 13 3" xfId="48460"/>
    <cellStyle name="Comma 2 14" xfId="2911"/>
    <cellStyle name="Comma 2 14 2" xfId="50291"/>
    <cellStyle name="Comma 2 14 3" xfId="48461"/>
    <cellStyle name="Comma 2 15" xfId="2912"/>
    <cellStyle name="Comma 2 15 2" xfId="50292"/>
    <cellStyle name="Comma 2 15 3" xfId="48462"/>
    <cellStyle name="Comma 2 16" xfId="2913"/>
    <cellStyle name="Comma 2 16 2" xfId="50293"/>
    <cellStyle name="Comma 2 16 3" xfId="48463"/>
    <cellStyle name="Comma 2 17" xfId="2914"/>
    <cellStyle name="Comma 2 17 2" xfId="50294"/>
    <cellStyle name="Comma 2 17 3" xfId="48464"/>
    <cellStyle name="Comma 2 18" xfId="2915"/>
    <cellStyle name="Comma 2 18 2" xfId="50295"/>
    <cellStyle name="Comma 2 18 3" xfId="48465"/>
    <cellStyle name="Comma 2 19" xfId="2916"/>
    <cellStyle name="Comma 2 19 2" xfId="50296"/>
    <cellStyle name="Comma 2 19 3" xfId="48466"/>
    <cellStyle name="Comma 2 2" xfId="6"/>
    <cellStyle name="Comma 2 2 10" xfId="2917"/>
    <cellStyle name="Comma 2 2 10 2" xfId="50298"/>
    <cellStyle name="Comma 2 2 10 3" xfId="48468"/>
    <cellStyle name="Comma 2 2 11" xfId="2918"/>
    <cellStyle name="Comma 2 2 11 2" xfId="50299"/>
    <cellStyle name="Comma 2 2 11 3" xfId="48469"/>
    <cellStyle name="Comma 2 2 12" xfId="2919"/>
    <cellStyle name="Comma 2 2 12 2" xfId="50300"/>
    <cellStyle name="Comma 2 2 12 3" xfId="48470"/>
    <cellStyle name="Comma 2 2 13" xfId="2920"/>
    <cellStyle name="Comma 2 2 13 2" xfId="50301"/>
    <cellStyle name="Comma 2 2 13 3" xfId="48471"/>
    <cellStyle name="Comma 2 2 14" xfId="2921"/>
    <cellStyle name="Comma 2 2 14 2" xfId="50302"/>
    <cellStyle name="Comma 2 2 14 3" xfId="48472"/>
    <cellStyle name="Comma 2 2 15" xfId="2922"/>
    <cellStyle name="Comma 2 2 15 2" xfId="50303"/>
    <cellStyle name="Comma 2 2 15 3" xfId="48473"/>
    <cellStyle name="Comma 2 2 16" xfId="2923"/>
    <cellStyle name="Comma 2 2 16 2" xfId="50304"/>
    <cellStyle name="Comma 2 2 16 3" xfId="48474"/>
    <cellStyle name="Comma 2 2 17" xfId="2924"/>
    <cellStyle name="Comma 2 2 17 2" xfId="50305"/>
    <cellStyle name="Comma 2 2 17 3" xfId="48475"/>
    <cellStyle name="Comma 2 2 18" xfId="2925"/>
    <cellStyle name="Comma 2 2 18 2" xfId="50306"/>
    <cellStyle name="Comma 2 2 18 3" xfId="48476"/>
    <cellStyle name="Comma 2 2 19" xfId="2926"/>
    <cellStyle name="Comma 2 2 19 2" xfId="50307"/>
    <cellStyle name="Comma 2 2 19 3" xfId="48477"/>
    <cellStyle name="Comma 2 2 2" xfId="2927"/>
    <cellStyle name="Comma 2 2 2 10" xfId="2928"/>
    <cellStyle name="Comma 2 2 2 10 2" xfId="48479"/>
    <cellStyle name="Comma 2 2 2 11" xfId="2929"/>
    <cellStyle name="Comma 2 2 2 11 2" xfId="48480"/>
    <cellStyle name="Comma 2 2 2 12" xfId="2930"/>
    <cellStyle name="Comma 2 2 2 12 2" xfId="48481"/>
    <cellStyle name="Comma 2 2 2 13" xfId="2931"/>
    <cellStyle name="Comma 2 2 2 13 2" xfId="48482"/>
    <cellStyle name="Comma 2 2 2 14" xfId="2932"/>
    <cellStyle name="Comma 2 2 2 14 2" xfId="48483"/>
    <cellStyle name="Comma 2 2 2 15" xfId="2933"/>
    <cellStyle name="Comma 2 2 2 15 2" xfId="48484"/>
    <cellStyle name="Comma 2 2 2 16" xfId="48485"/>
    <cellStyle name="Comma 2 2 2 17" xfId="48486"/>
    <cellStyle name="Comma 2 2 2 18" xfId="48487"/>
    <cellStyle name="Comma 2 2 2 19" xfId="50308"/>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15" xfId="48488"/>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8 2" xfId="50319"/>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2 4" xfId="50327"/>
    <cellStyle name="Comma 2 2 2 2 4 3" xfId="3021"/>
    <cellStyle name="Comma 2 2 2 2 4 4" xfId="48489"/>
    <cellStyle name="Comma 2 2 2 2 5" xfId="3022"/>
    <cellStyle name="Comma 2 2 2 2 5 2" xfId="3023"/>
    <cellStyle name="Comma 2 2 2 2 5 2 2" xfId="3024"/>
    <cellStyle name="Comma 2 2 2 2 5 2 3" xfId="50328"/>
    <cellStyle name="Comma 2 2 2 2 5 3" xfId="48490"/>
    <cellStyle name="Comma 2 2 2 2 6" xfId="3025"/>
    <cellStyle name="Comma 2 2 2 2 6 2" xfId="50329"/>
    <cellStyle name="Comma 2 2 2 2 6 3" xfId="48491"/>
    <cellStyle name="Comma 2 2 2 2 7" xfId="3026"/>
    <cellStyle name="Comma 2 2 2 2 7 2" xfId="3027"/>
    <cellStyle name="Comma 2 2 2 2 7 2 2" xfId="50330"/>
    <cellStyle name="Comma 2 2 2 2 7 3" xfId="48492"/>
    <cellStyle name="Comma 2 2 2 2 8" xfId="48493"/>
    <cellStyle name="Comma 2 2 2 2 8 2" xfId="50331"/>
    <cellStyle name="Comma 2 2 2 20" xfId="48478"/>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5 2 2 2" xfId="50335"/>
    <cellStyle name="Comma 2 2 2 5 2 3" xfId="48494"/>
    <cellStyle name="Comma 2 2 2 5 3" xfId="48495"/>
    <cellStyle name="Comma 2 2 2 5 3 2" xfId="50336"/>
    <cellStyle name="Comma 2 2 2 5 4" xfId="48496"/>
    <cellStyle name="Comma 2 2 2 5 4 2" xfId="50337"/>
    <cellStyle name="Comma 2 2 2 5 5" xfId="48497"/>
    <cellStyle name="Comma 2 2 2 5 5 2" xfId="50338"/>
    <cellStyle name="Comma 2 2 2 5 6" xfId="48498"/>
    <cellStyle name="Comma 2 2 2 5 6 2" xfId="50339"/>
    <cellStyle name="Comma 2 2 2 5 7" xfId="48499"/>
    <cellStyle name="Comma 2 2 2 5 7 2" xfId="50340"/>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 9 2" xfId="48500"/>
    <cellStyle name="Comma 2 2 20" xfId="3055"/>
    <cellStyle name="Comma 2 2 20 2" xfId="50297"/>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14" xfId="48501"/>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 10" xfId="48502"/>
    <cellStyle name="Comma 2 2 4 2" xfId="48503"/>
    <cellStyle name="Comma 2 2 4 2 2" xfId="48504"/>
    <cellStyle name="Comma 2 2 4 2 2 2" xfId="50348"/>
    <cellStyle name="Comma 2 2 4 2 3" xfId="48505"/>
    <cellStyle name="Comma 2 2 4 2 3 2" xfId="50349"/>
    <cellStyle name="Comma 2 2 4 2 4" xfId="48506"/>
    <cellStyle name="Comma 2 2 4 2 4 2" xfId="50350"/>
    <cellStyle name="Comma 2 2 4 2 5" xfId="48507"/>
    <cellStyle name="Comma 2 2 4 2 5 2" xfId="50351"/>
    <cellStyle name="Comma 2 2 4 2 6" xfId="48508"/>
    <cellStyle name="Comma 2 2 4 2 6 2" xfId="50352"/>
    <cellStyle name="Comma 2 2 4 2 7" xfId="48509"/>
    <cellStyle name="Comma 2 2 4 2 7 2" xfId="50353"/>
    <cellStyle name="Comma 2 2 4 2 8" xfId="50347"/>
    <cellStyle name="Comma 2 2 4 3" xfId="48510"/>
    <cellStyle name="Comma 2 2 4 3 2" xfId="50354"/>
    <cellStyle name="Comma 2 2 4 4" xfId="48511"/>
    <cellStyle name="Comma 2 2 4 4 2" xfId="50355"/>
    <cellStyle name="Comma 2 2 4 5" xfId="48512"/>
    <cellStyle name="Comma 2 2 4 5 2" xfId="50356"/>
    <cellStyle name="Comma 2 2 4 6" xfId="48513"/>
    <cellStyle name="Comma 2 2 4 6 2" xfId="50357"/>
    <cellStyle name="Comma 2 2 4 7" xfId="48514"/>
    <cellStyle name="Comma 2 2 4 7 2" xfId="50358"/>
    <cellStyle name="Comma 2 2 4 8" xfId="48515"/>
    <cellStyle name="Comma 2 2 4 8 2" xfId="50359"/>
    <cellStyle name="Comma 2 2 4 9" xfId="50346"/>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 2" xfId="50360"/>
    <cellStyle name="Comma 2 2 5 3" xfId="48516"/>
    <cellStyle name="Comma 2 2 50" xfId="3123"/>
    <cellStyle name="Comma 2 2 50 2" xfId="3124"/>
    <cellStyle name="Comma 2 2 50 2 2" xfId="3125"/>
    <cellStyle name="Comma 2 2 51" xfId="3126"/>
    <cellStyle name="Comma 2 2 52" xfId="3127"/>
    <cellStyle name="Comma 2 2 52 2" xfId="3128"/>
    <cellStyle name="Comma 2 2 53" xfId="48467"/>
    <cellStyle name="Comma 2 2 6" xfId="3129"/>
    <cellStyle name="Comma 2 2 6 2" xfId="48518"/>
    <cellStyle name="Comma 2 2 6 2 2" xfId="50362"/>
    <cellStyle name="Comma 2 2 6 3" xfId="48519"/>
    <cellStyle name="Comma 2 2 6 3 2" xfId="50363"/>
    <cellStyle name="Comma 2 2 6 4" xfId="48520"/>
    <cellStyle name="Comma 2 2 6 4 2" xfId="50364"/>
    <cellStyle name="Comma 2 2 6 5" xfId="48521"/>
    <cellStyle name="Comma 2 2 6 5 2" xfId="50365"/>
    <cellStyle name="Comma 2 2 6 6" xfId="48522"/>
    <cellStyle name="Comma 2 2 6 6 2" xfId="50366"/>
    <cellStyle name="Comma 2 2 6 7" xfId="48523"/>
    <cellStyle name="Comma 2 2 6 7 2" xfId="50367"/>
    <cellStyle name="Comma 2 2 6 8" xfId="50361"/>
    <cellStyle name="Comma 2 2 6 9" xfId="48517"/>
    <cellStyle name="Comma 2 2 7" xfId="3130"/>
    <cellStyle name="Comma 2 2 7 2" xfId="50368"/>
    <cellStyle name="Comma 2 2 7 3" xfId="48524"/>
    <cellStyle name="Comma 2 2 8" xfId="3131"/>
    <cellStyle name="Comma 2 2 8 2" xfId="50369"/>
    <cellStyle name="Comma 2 2 8 3" xfId="48525"/>
    <cellStyle name="Comma 2 2 9" xfId="3132"/>
    <cellStyle name="Comma 2 2 9 2" xfId="50370"/>
    <cellStyle name="Comma 2 2 9 3" xfId="48526"/>
    <cellStyle name="Comma 2 2_3.1.2 DB Pension Detail" xfId="3133"/>
    <cellStyle name="Comma 2 20" xfId="3134"/>
    <cellStyle name="Comma 2 20 2" xfId="50372"/>
    <cellStyle name="Comma 2 20 3" xfId="48527"/>
    <cellStyle name="Comma 2 21" xfId="3135"/>
    <cellStyle name="Comma 2 21 2" xfId="50848"/>
    <cellStyle name="Comma 2 21 3" xfId="49398"/>
    <cellStyle name="Comma 2 22" xfId="3136"/>
    <cellStyle name="Comma 2 22 2" xfId="5028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16" xfId="48530"/>
    <cellStyle name="Comma 2 3 2 2 2" xfId="3163"/>
    <cellStyle name="Comma 2 3 2 2 2 2" xfId="50375"/>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 3" xfId="50374"/>
    <cellStyle name="Comma 2 3 2 4" xfId="48529"/>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14" xfId="48531"/>
    <cellStyle name="Comma 2 3 3 2" xfId="3189"/>
    <cellStyle name="Comma 2 3 3 2 2" xfId="50376"/>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 2" xfId="50373"/>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49" xfId="48528"/>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18" xfId="50377"/>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79" xfId="48532"/>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 2" xfId="50378"/>
    <cellStyle name="Comma 2 5 3" xfId="48533"/>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 2" xfId="50379"/>
    <cellStyle name="Comma 2 6 3" xfId="48534"/>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 2" xfId="50380"/>
    <cellStyle name="Comma 2 7 3" xfId="48535"/>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 2" xfId="50381"/>
    <cellStyle name="Comma 2 8 3" xfId="48536"/>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 2" xfId="50382"/>
    <cellStyle name="Comma 2 9 3" xfId="48537"/>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20" xfId="50775"/>
    <cellStyle name="Comma 21" xfId="51682"/>
    <cellStyle name="Comma 22" xfId="51337"/>
    <cellStyle name="Comma 23" xfId="51676"/>
    <cellStyle name="Comma 24" xfId="50769"/>
    <cellStyle name="Comma 25" xfId="51672"/>
    <cellStyle name="Comma 26" xfId="51209"/>
    <cellStyle name="Comma 27" xfId="50931"/>
    <cellStyle name="Comma 28" xfId="49373"/>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27" xfId="48538"/>
    <cellStyle name="Comma 3 13" xfId="3458"/>
    <cellStyle name="Comma 3 13 2" xfId="50828"/>
    <cellStyle name="Comma 3 13 3" xfId="49374"/>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15" xfId="48540"/>
    <cellStyle name="Comma 3 2 2 2" xfId="3472"/>
    <cellStyle name="Comma 3 2 2 2 2" xfId="50385"/>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3 2 2" xfId="50386"/>
    <cellStyle name="Comma 3 2 3 3" xfId="48541"/>
    <cellStyle name="Comma 3 2 4" xfId="3482"/>
    <cellStyle name="Comma 3 2 4 2" xfId="50384"/>
    <cellStyle name="Comma 3 2 5" xfId="3483"/>
    <cellStyle name="Comma 3 2 6" xfId="48539"/>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2 2 2" xfId="50829"/>
    <cellStyle name="Comma 3 3 2 3" xfId="49375"/>
    <cellStyle name="Comma 3 3 3" xfId="3498"/>
    <cellStyle name="Comma 3 3 3 2" xfId="50387"/>
    <cellStyle name="Comma 3 3 4" xfId="3499"/>
    <cellStyle name="Comma 3 3 5" xfId="48542"/>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 2" xfId="50383"/>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10" xfId="50388"/>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79" xfId="48543"/>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18" xfId="50389"/>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79" xfId="48544"/>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14" xfId="50063"/>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24" xfId="4824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14" xfId="48545"/>
    <cellStyle name="Comma 7 2" xfId="4126"/>
    <cellStyle name="Comma 7 2 2" xfId="50390"/>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8 2" xfId="48547"/>
    <cellStyle name="Comma 8 2 2" xfId="50392"/>
    <cellStyle name="Comma 8 3" xfId="48548"/>
    <cellStyle name="Comma 8 3 2" xfId="50393"/>
    <cellStyle name="Comma 8 4" xfId="50391"/>
    <cellStyle name="Comma 8 5" xfId="48546"/>
    <cellStyle name="Comma 9" xfId="4135"/>
    <cellStyle name="Comma 9 2" xfId="50394"/>
    <cellStyle name="Comma 9 3" xfId="48549"/>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1 2" xfId="48550"/>
    <cellStyle name="Emphasis 2" xfId="30"/>
    <cellStyle name="Emphasis 2 2" xfId="48551"/>
    <cellStyle name="Emphasis 3" xfId="31"/>
    <cellStyle name="Emphasis 3 2" xfId="48552"/>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4" xfId="48553"/>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2 8" xfId="48554"/>
    <cellStyle name="Explanatory Text 3" xfId="4274"/>
    <cellStyle name="Explanatory Text 3 2" xfId="4275"/>
    <cellStyle name="Explanatory Text 3 3" xfId="4276"/>
    <cellStyle name="Explanatory Text 3 4" xfId="48555"/>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2 8" xfId="48556"/>
    <cellStyle name="Good 3" xfId="4357"/>
    <cellStyle name="Good 3 2" xfId="4358"/>
    <cellStyle name="Good 3 3" xfId="4359"/>
    <cellStyle name="Good 3 4" xfId="48557"/>
    <cellStyle name="Good 4" xfId="4360"/>
    <cellStyle name="Good 5" xfId="4361"/>
    <cellStyle name="Good 6" xfId="4362"/>
    <cellStyle name="Good 7" xfId="4363"/>
    <cellStyle name="gray text cells" xfId="4364"/>
    <cellStyle name="Grey" xfId="4365"/>
    <cellStyle name="GreyOrWhite" xfId="4366"/>
    <cellStyle name="GreyOrWhite 2" xfId="48559"/>
    <cellStyle name="GreyOrWhite 2 2" xfId="48560"/>
    <cellStyle name="GreyOrWhite 2 3" xfId="48561"/>
    <cellStyle name="GreyOrWhite 2 4" xfId="48562"/>
    <cellStyle name="GreyOrWhite 2 5" xfId="48563"/>
    <cellStyle name="GreyOrWhite 2 6" xfId="48564"/>
    <cellStyle name="GreyOrWhite 2 7" xfId="48565"/>
    <cellStyle name="GreyOrWhite 2 8" xfId="48566"/>
    <cellStyle name="GreyOrWhite 3" xfId="48558"/>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2 8" xfId="48567"/>
    <cellStyle name="Heading 1 3" xfId="4396"/>
    <cellStyle name="Heading 1 3 2" xfId="4397"/>
    <cellStyle name="Heading 1 3 3" xfId="4398"/>
    <cellStyle name="Heading 1 3 4" xfId="4856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2 8" xfId="48569"/>
    <cellStyle name="Heading 2 3" xfId="4426"/>
    <cellStyle name="Heading 2 3 2" xfId="4427"/>
    <cellStyle name="Heading 2 3 3" xfId="4428"/>
    <cellStyle name="Heading 2 3 4" xfId="48570"/>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2 8" xfId="48571"/>
    <cellStyle name="Heading 3 3" xfId="4456"/>
    <cellStyle name="Heading 3 3 2" xfId="4457"/>
    <cellStyle name="Heading 3 3 3" xfId="4458"/>
    <cellStyle name="Heading 3 3 4" xfId="48572"/>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2 8" xfId="48573"/>
    <cellStyle name="Heading 4 3" xfId="4486"/>
    <cellStyle name="Heading 4 3 2" xfId="4487"/>
    <cellStyle name="Heading 4 3 3" xfId="4488"/>
    <cellStyle name="Heading 4 3 4" xfId="48574"/>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2 2" xfId="50201"/>
    <cellStyle name="Input 2 2 2 3" xfId="4589"/>
    <cellStyle name="Input 2 2 2 3 2" xfId="51667"/>
    <cellStyle name="Input 2 2 2 4" xfId="49796"/>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 4" xfId="50570"/>
    <cellStyle name="Input 2 2 30" xfId="4603"/>
    <cellStyle name="Input 2 2 31" xfId="4604"/>
    <cellStyle name="Input 2 2 32" xfId="4605"/>
    <cellStyle name="Input 2 2 33" xfId="49468"/>
    <cellStyle name="Input 2 2 4" xfId="4606"/>
    <cellStyle name="Input 2 2 4 2" xfId="50872"/>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2 2" xfId="50196"/>
    <cellStyle name="Input 2 3 2 3" xfId="4635"/>
    <cellStyle name="Input 2 3 2 3 2" xfId="51168"/>
    <cellStyle name="Input 2 3 2 4" xfId="49801"/>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 4" xfId="50565"/>
    <cellStyle name="Input 2 3 30" xfId="4649"/>
    <cellStyle name="Input 2 3 31" xfId="4650"/>
    <cellStyle name="Input 2 3 32" xfId="4651"/>
    <cellStyle name="Input 2 3 33" xfId="49473"/>
    <cellStyle name="Input 2 3 4" xfId="4652"/>
    <cellStyle name="Input 2 3 4 2" xfId="51350"/>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37" xfId="48575"/>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2 2" xfId="50199"/>
    <cellStyle name="Input 2 4 2 3" xfId="4678"/>
    <cellStyle name="Input 2 4 2 3 2" xfId="51523"/>
    <cellStyle name="Input 2 4 2 4" xfId="4979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 4" xfId="50568"/>
    <cellStyle name="Input 2 4 30" xfId="4692"/>
    <cellStyle name="Input 2 4 31" xfId="4693"/>
    <cellStyle name="Input 2 4 32" xfId="4694"/>
    <cellStyle name="Input 2 4 33" xfId="49470"/>
    <cellStyle name="Input 2 4 4" xfId="4695"/>
    <cellStyle name="Input 2 4 4 2" xfId="51489"/>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 4" xfId="50861"/>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 4" xfId="50968"/>
    <cellStyle name="Input 2 5 30" xfId="4728"/>
    <cellStyle name="Input 2 5 31" xfId="4729"/>
    <cellStyle name="Input 2 5 32" xfId="4730"/>
    <cellStyle name="Input 2 5 33" xfId="49631"/>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2 6" xfId="51086"/>
    <cellStyle name="Input 2 6 3" xfId="4749"/>
    <cellStyle name="Input 2 6 3 2" xfId="4750"/>
    <cellStyle name="Input 2 6 3 2 2" xfId="4751"/>
    <cellStyle name="Input 2 6 3 2 2 2" xfId="4752"/>
    <cellStyle name="Input 2 6 3 2 3" xfId="4753"/>
    <cellStyle name="Input 2 6 3 3" xfId="4754"/>
    <cellStyle name="Input 2 6 3 4" xfId="51130"/>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6 8" xfId="50042"/>
    <cellStyle name="Input 2 7" xfId="4764"/>
    <cellStyle name="Input 2 7 2" xfId="4765"/>
    <cellStyle name="Input 2 7 2 2" xfId="4766"/>
    <cellStyle name="Input 2 7 2 2 2" xfId="4767"/>
    <cellStyle name="Input 2 7 2 2 3" xfId="4768"/>
    <cellStyle name="Input 2 7 2 3" xfId="4769"/>
    <cellStyle name="Input 2 7 3" xfId="4770"/>
    <cellStyle name="Input 2 7 4" xfId="50918"/>
    <cellStyle name="Input 2 8" xfId="4771"/>
    <cellStyle name="Input 2 8 2" xfId="4772"/>
    <cellStyle name="Input 2 8 2 2" xfId="4773"/>
    <cellStyle name="Input 2 8 2 2 2" xfId="4774"/>
    <cellStyle name="Input 2 8 2 2 3" xfId="4775"/>
    <cellStyle name="Input 2 8 2 3" xfId="4776"/>
    <cellStyle name="Input 2 8 3" xfId="4777"/>
    <cellStyle name="Input 2 8 4" xfId="50773"/>
    <cellStyle name="Input 2 9" xfId="4778"/>
    <cellStyle name="Input 2 9 2" xfId="4779"/>
    <cellStyle name="Input 2 9 3" xfId="51675"/>
    <cellStyle name="Input 3" xfId="4780"/>
    <cellStyle name="Input 3 10" xfId="48576"/>
    <cellStyle name="Input 3 2" xfId="4781"/>
    <cellStyle name="Input 3 2 2" xfId="4782"/>
    <cellStyle name="Input 3 2 2 2" xfId="50200"/>
    <cellStyle name="Input 3 2 2 3" xfId="51265"/>
    <cellStyle name="Input 3 2 2 4" xfId="49797"/>
    <cellStyle name="Input 3 2 3" xfId="50569"/>
    <cellStyle name="Input 3 2 4" xfId="51232"/>
    <cellStyle name="Input 3 2 5" xfId="49469"/>
    <cellStyle name="Input 3 3" xfId="4783"/>
    <cellStyle name="Input 3 3 2" xfId="4784"/>
    <cellStyle name="Input 3 3 2 2" xfId="50197"/>
    <cellStyle name="Input 3 3 2 3" xfId="51521"/>
    <cellStyle name="Input 3 3 2 4" xfId="49800"/>
    <cellStyle name="Input 3 3 3" xfId="50566"/>
    <cellStyle name="Input 3 3 4" xfId="51456"/>
    <cellStyle name="Input 3 3 5" xfId="49472"/>
    <cellStyle name="Input 3 4" xfId="4785"/>
    <cellStyle name="Input 3 4 2" xfId="49799"/>
    <cellStyle name="Input 3 4 2 2" xfId="50198"/>
    <cellStyle name="Input 3 4 2 3" xfId="51263"/>
    <cellStyle name="Input 3 4 3" xfId="50567"/>
    <cellStyle name="Input 3 4 4" xfId="51198"/>
    <cellStyle name="Input 3 4 5" xfId="49471"/>
    <cellStyle name="Input 3 5" xfId="49632"/>
    <cellStyle name="Input 3 5 2" xfId="50924"/>
    <cellStyle name="Input 3 5 3" xfId="51176"/>
    <cellStyle name="Input 3 6" xfId="50041"/>
    <cellStyle name="Input 3 6 2" xfId="51085"/>
    <cellStyle name="Input 3 6 3" xfId="51417"/>
    <cellStyle name="Input 3 7" xfId="50851"/>
    <cellStyle name="Input 3 8" xfId="50770"/>
    <cellStyle name="Input 3 9" xfId="51679"/>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Data 2" xfId="48577"/>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evel 4" xfId="48238"/>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2 8" xfId="48578"/>
    <cellStyle name="Linked Cell 3" xfId="4838"/>
    <cellStyle name="Linked Cell 3 2" xfId="4839"/>
    <cellStyle name="Linked Cell 3 3" xfId="4840"/>
    <cellStyle name="Linked Cell 3 4" xfId="48579"/>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2 8" xfId="48580"/>
    <cellStyle name="Neutral 3" xfId="4914"/>
    <cellStyle name="Neutral 3 2" xfId="4915"/>
    <cellStyle name="Neutral 3 3" xfId="4916"/>
    <cellStyle name="Neutral 3 4" xfId="48581"/>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26" xfId="4858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28" xfId="48582"/>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27" xfId="4858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27" xfId="4858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26" xfId="48586"/>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72" xfId="48587"/>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71" xfId="48588"/>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71" xfId="48589"/>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71" xfId="48590"/>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79" xfId="48592"/>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 2" xfId="48593"/>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 2" xfId="48594"/>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 2" xfId="48595"/>
    <cellStyle name="Normal 2 130" xfId="7097"/>
    <cellStyle name="Normal 2 131" xfId="48591"/>
    <cellStyle name="Normal 2 14" xfId="7098"/>
    <cellStyle name="Normal 2 14 2" xfId="48596"/>
    <cellStyle name="Normal 2 15" xfId="7099"/>
    <cellStyle name="Normal 2 15 2" xfId="48597"/>
    <cellStyle name="Normal 2 16" xfId="7100"/>
    <cellStyle name="Normal 2 16 2" xfId="48598"/>
    <cellStyle name="Normal 2 17" xfId="7101"/>
    <cellStyle name="Normal 2 17 2" xfId="48599"/>
    <cellStyle name="Normal 2 18" xfId="7102"/>
    <cellStyle name="Normal 2 18 2" xfId="48600"/>
    <cellStyle name="Normal 2 19" xfId="7103"/>
    <cellStyle name="Normal 2 19 2" xfId="48601"/>
    <cellStyle name="Normal 2 2" xfId="4"/>
    <cellStyle name="Normal 2 2 10" xfId="7104"/>
    <cellStyle name="Normal 2 2 10 10" xfId="7105"/>
    <cellStyle name="Normal 2 2 10 2" xfId="48603"/>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 2" xfId="48605"/>
    <cellStyle name="Normal 2 2 11 2 2" xfId="48606"/>
    <cellStyle name="Normal 2 2 11 2 3" xfId="48607"/>
    <cellStyle name="Normal 2 2 11 2 4" xfId="48608"/>
    <cellStyle name="Normal 2 2 11 2 5" xfId="48609"/>
    <cellStyle name="Normal 2 2 11 2 6" xfId="48610"/>
    <cellStyle name="Normal 2 2 11 2 7" xfId="48611"/>
    <cellStyle name="Normal 2 2 11 3" xfId="48612"/>
    <cellStyle name="Normal 2 2 11 4" xfId="48613"/>
    <cellStyle name="Normal 2 2 11 5" xfId="48614"/>
    <cellStyle name="Normal 2 2 11 6" xfId="48615"/>
    <cellStyle name="Normal 2 2 11 7" xfId="48616"/>
    <cellStyle name="Normal 2 2 11 8" xfId="48617"/>
    <cellStyle name="Normal 2 2 11 9" xfId="48604"/>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 2" xfId="48618"/>
    <cellStyle name="Normal 2 2 120" xfId="7128"/>
    <cellStyle name="Normal 2 2 121" xfId="7129"/>
    <cellStyle name="Normal 2 2 122" xfId="7130"/>
    <cellStyle name="Normal 2 2 123" xfId="7131"/>
    <cellStyle name="Normal 2 2 124" xfId="48602"/>
    <cellStyle name="Normal 2 2 13" xfId="7132"/>
    <cellStyle name="Normal 2 2 13 2" xfId="48620"/>
    <cellStyle name="Normal 2 2 13 3" xfId="48621"/>
    <cellStyle name="Normal 2 2 13 4" xfId="48622"/>
    <cellStyle name="Normal 2 2 13 5" xfId="48623"/>
    <cellStyle name="Normal 2 2 13 6" xfId="48624"/>
    <cellStyle name="Normal 2 2 13 7" xfId="48625"/>
    <cellStyle name="Normal 2 2 13 8" xfId="48619"/>
    <cellStyle name="Normal 2 2 14" xfId="7133"/>
    <cellStyle name="Normal 2 2 14 2" xfId="48626"/>
    <cellStyle name="Normal 2 2 15" xfId="7134"/>
    <cellStyle name="Normal 2 2 15 2" xfId="48627"/>
    <cellStyle name="Normal 2 2 16" xfId="7135"/>
    <cellStyle name="Normal 2 2 16 2" xfId="48628"/>
    <cellStyle name="Normal 2 2 17" xfId="7136"/>
    <cellStyle name="Normal 2 2 17 2" xfId="48629"/>
    <cellStyle name="Normal 2 2 18" xfId="7137"/>
    <cellStyle name="Normal 2 2 18 2" xfId="48630"/>
    <cellStyle name="Normal 2 2 19" xfId="7138"/>
    <cellStyle name="Normal 2 2 19 2" xfId="48631"/>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18" xfId="48633"/>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1 2" xfId="48635"/>
    <cellStyle name="Normal 2 2 2 11 2 2" xfId="48636"/>
    <cellStyle name="Normal 2 2 2 11 2 3" xfId="48637"/>
    <cellStyle name="Normal 2 2 2 11 2 4" xfId="48638"/>
    <cellStyle name="Normal 2 2 2 11 2 5" xfId="48639"/>
    <cellStyle name="Normal 2 2 2 11 2 6" xfId="48640"/>
    <cellStyle name="Normal 2 2 2 11 2 7" xfId="48641"/>
    <cellStyle name="Normal 2 2 2 11 3" xfId="48642"/>
    <cellStyle name="Normal 2 2 2 11 4" xfId="48643"/>
    <cellStyle name="Normal 2 2 2 11 5" xfId="48644"/>
    <cellStyle name="Normal 2 2 2 11 6" xfId="48645"/>
    <cellStyle name="Normal 2 2 2 11 7" xfId="48646"/>
    <cellStyle name="Normal 2 2 2 11 8" xfId="48647"/>
    <cellStyle name="Normal 2 2 2 11 9" xfId="48634"/>
    <cellStyle name="Normal 2 2 2 12" xfId="7158"/>
    <cellStyle name="Normal 2 2 2 12 2" xfId="48648"/>
    <cellStyle name="Normal 2 2 2 13" xfId="7159"/>
    <cellStyle name="Normal 2 2 2 13 2" xfId="48650"/>
    <cellStyle name="Normal 2 2 2 13 3" xfId="48651"/>
    <cellStyle name="Normal 2 2 2 13 4" xfId="48652"/>
    <cellStyle name="Normal 2 2 2 13 5" xfId="48653"/>
    <cellStyle name="Normal 2 2 2 13 6" xfId="48654"/>
    <cellStyle name="Normal 2 2 2 13 7" xfId="48655"/>
    <cellStyle name="Normal 2 2 2 13 8" xfId="48649"/>
    <cellStyle name="Normal 2 2 2 14" xfId="7160"/>
    <cellStyle name="Normal 2 2 2 14 2" xfId="48656"/>
    <cellStyle name="Normal 2 2 2 15" xfId="7161"/>
    <cellStyle name="Normal 2 2 2 15 2" xfId="48657"/>
    <cellStyle name="Normal 2 2 2 16" xfId="7162"/>
    <cellStyle name="Normal 2 2 2 16 2" xfId="48658"/>
    <cellStyle name="Normal 2 2 2 17" xfId="7163"/>
    <cellStyle name="Normal 2 2 2 17 2" xfId="48659"/>
    <cellStyle name="Normal 2 2 2 18" xfId="7164"/>
    <cellStyle name="Normal 2 2 2 18 2" xfId="48660"/>
    <cellStyle name="Normal 2 2 2 19" xfId="7165"/>
    <cellStyle name="Normal 2 2 2 19 2" xfId="48661"/>
    <cellStyle name="Normal 2 2 2 2" xfId="7166"/>
    <cellStyle name="Normal 2 2 2 2 10" xfId="7167"/>
    <cellStyle name="Normal 2 2 2 2 10 2" xfId="48663"/>
    <cellStyle name="Normal 2 2 2 2 11" xfId="7168"/>
    <cellStyle name="Normal 2 2 2 2 11 2" xfId="48665"/>
    <cellStyle name="Normal 2 2 2 2 11 3" xfId="48666"/>
    <cellStyle name="Normal 2 2 2 2 11 4" xfId="48667"/>
    <cellStyle name="Normal 2 2 2 2 11 5" xfId="48668"/>
    <cellStyle name="Normal 2 2 2 2 11 6" xfId="48669"/>
    <cellStyle name="Normal 2 2 2 2 11 7" xfId="48670"/>
    <cellStyle name="Normal 2 2 2 2 11 8" xfId="48664"/>
    <cellStyle name="Normal 2 2 2 2 12" xfId="7169"/>
    <cellStyle name="Normal 2 2 2 2 12 2" xfId="48671"/>
    <cellStyle name="Normal 2 2 2 2 13" xfId="7170"/>
    <cellStyle name="Normal 2 2 2 2 13 2" xfId="48672"/>
    <cellStyle name="Normal 2 2 2 2 14" xfId="7171"/>
    <cellStyle name="Normal 2 2 2 2 14 2" xfId="48673"/>
    <cellStyle name="Normal 2 2 2 2 15" xfId="7172"/>
    <cellStyle name="Normal 2 2 2 2 15 2" xfId="48674"/>
    <cellStyle name="Normal 2 2 2 2 16" xfId="7173"/>
    <cellStyle name="Normal 2 2 2 2 16 2" xfId="48675"/>
    <cellStyle name="Normal 2 2 2 2 17" xfId="7174"/>
    <cellStyle name="Normal 2 2 2 2 17 2" xfId="48676"/>
    <cellStyle name="Normal 2 2 2 2 18" xfId="7175"/>
    <cellStyle name="Normal 2 2 2 2 18 2" xfId="48677"/>
    <cellStyle name="Normal 2 2 2 2 19" xfId="7176"/>
    <cellStyle name="Normal 2 2 2 2 19 2" xfId="48678"/>
    <cellStyle name="Normal 2 2 2 2 2" xfId="7177"/>
    <cellStyle name="Normal 2 2 2 2 2 10" xfId="7178"/>
    <cellStyle name="Normal 2 2 2 2 2 10 2" xfId="48680"/>
    <cellStyle name="Normal 2 2 2 2 2 11" xfId="7179"/>
    <cellStyle name="Normal 2 2 2 2 2 11 2" xfId="48682"/>
    <cellStyle name="Normal 2 2 2 2 2 11 3" xfId="48683"/>
    <cellStyle name="Normal 2 2 2 2 2 11 4" xfId="48684"/>
    <cellStyle name="Normal 2 2 2 2 2 11 5" xfId="48685"/>
    <cellStyle name="Normal 2 2 2 2 2 11 6" xfId="48686"/>
    <cellStyle name="Normal 2 2 2 2 2 11 7" xfId="48687"/>
    <cellStyle name="Normal 2 2 2 2 2 11 8" xfId="48681"/>
    <cellStyle name="Normal 2 2 2 2 2 12" xfId="7180"/>
    <cellStyle name="Normal 2 2 2 2 2 12 2" xfId="48688"/>
    <cellStyle name="Normal 2 2 2 2 2 13" xfId="7181"/>
    <cellStyle name="Normal 2 2 2 2 2 13 2" xfId="48689"/>
    <cellStyle name="Normal 2 2 2 2 2 14" xfId="7182"/>
    <cellStyle name="Normal 2 2 2 2 2 14 2" xfId="48690"/>
    <cellStyle name="Normal 2 2 2 2 2 15" xfId="7183"/>
    <cellStyle name="Normal 2 2 2 2 2 15 2" xfId="48691"/>
    <cellStyle name="Normal 2 2 2 2 2 16" xfId="7184"/>
    <cellStyle name="Normal 2 2 2 2 2 16 2" xfId="48692"/>
    <cellStyle name="Normal 2 2 2 2 2 17" xfId="7185"/>
    <cellStyle name="Normal 2 2 2 2 2 17 2" xfId="48693"/>
    <cellStyle name="Normal 2 2 2 2 2 18" xfId="7186"/>
    <cellStyle name="Normal 2 2 2 2 2 18 2" xfId="48694"/>
    <cellStyle name="Normal 2 2 2 2 2 19" xfId="7187"/>
    <cellStyle name="Normal 2 2 2 2 2 19 2" xfId="48695"/>
    <cellStyle name="Normal 2 2 2 2 2 2" xfId="7188"/>
    <cellStyle name="Normal 2 2 2 2 2 2 10" xfId="7189"/>
    <cellStyle name="Normal 2 2 2 2 2 2 10 2" xfId="48698"/>
    <cellStyle name="Normal 2 2 2 2 2 2 10 3" xfId="48699"/>
    <cellStyle name="Normal 2 2 2 2 2 2 10 4" xfId="48700"/>
    <cellStyle name="Normal 2 2 2 2 2 2 10 5" xfId="48701"/>
    <cellStyle name="Normal 2 2 2 2 2 2 10 6" xfId="48702"/>
    <cellStyle name="Normal 2 2 2 2 2 2 10 7" xfId="48703"/>
    <cellStyle name="Normal 2 2 2 2 2 2 10 8" xfId="48697"/>
    <cellStyle name="Normal 2 2 2 2 2 2 11" xfId="7190"/>
    <cellStyle name="Normal 2 2 2 2 2 2 11 2" xfId="48704"/>
    <cellStyle name="Normal 2 2 2 2 2 2 12" xfId="7191"/>
    <cellStyle name="Normal 2 2 2 2 2 2 12 2" xfId="48705"/>
    <cellStyle name="Normal 2 2 2 2 2 2 13" xfId="7192"/>
    <cellStyle name="Normal 2 2 2 2 2 2 13 2" xfId="48706"/>
    <cellStyle name="Normal 2 2 2 2 2 2 14" xfId="7193"/>
    <cellStyle name="Normal 2 2 2 2 2 2 14 2" xfId="48707"/>
    <cellStyle name="Normal 2 2 2 2 2 2 15" xfId="7194"/>
    <cellStyle name="Normal 2 2 2 2 2 2 15 2" xfId="48708"/>
    <cellStyle name="Normal 2 2 2 2 2 2 16" xfId="7195"/>
    <cellStyle name="Normal 2 2 2 2 2 2 16 2" xfId="48709"/>
    <cellStyle name="Normal 2 2 2 2 2 2 17" xfId="7196"/>
    <cellStyle name="Normal 2 2 2 2 2 2 17 2" xfId="48710"/>
    <cellStyle name="Normal 2 2 2 2 2 2 18" xfId="7197"/>
    <cellStyle name="Normal 2 2 2 2 2 2 18 2" xfId="48711"/>
    <cellStyle name="Normal 2 2 2 2 2 2 19" xfId="7198"/>
    <cellStyle name="Normal 2 2 2 2 2 2 19 2" xfId="48712"/>
    <cellStyle name="Normal 2 2 2 2 2 2 2" xfId="7199"/>
    <cellStyle name="Normal 2 2 2 2 2 2 2 10" xfId="7200"/>
    <cellStyle name="Normal 2 2 2 2 2 2 2 10 2" xfId="48715"/>
    <cellStyle name="Normal 2 2 2 2 2 2 2 10 3" xfId="48716"/>
    <cellStyle name="Normal 2 2 2 2 2 2 2 10 4" xfId="48717"/>
    <cellStyle name="Normal 2 2 2 2 2 2 2 10 5" xfId="48718"/>
    <cellStyle name="Normal 2 2 2 2 2 2 2 10 6" xfId="48719"/>
    <cellStyle name="Normal 2 2 2 2 2 2 2 10 7" xfId="48720"/>
    <cellStyle name="Normal 2 2 2 2 2 2 2 10 8" xfId="48714"/>
    <cellStyle name="Normal 2 2 2 2 2 2 2 11" xfId="7201"/>
    <cellStyle name="Normal 2 2 2 2 2 2 2 11 2" xfId="48721"/>
    <cellStyle name="Normal 2 2 2 2 2 2 2 12" xfId="7202"/>
    <cellStyle name="Normal 2 2 2 2 2 2 2 12 2" xfId="48722"/>
    <cellStyle name="Normal 2 2 2 2 2 2 2 13" xfId="7203"/>
    <cellStyle name="Normal 2 2 2 2 2 2 2 13 2" xfId="48723"/>
    <cellStyle name="Normal 2 2 2 2 2 2 2 14" xfId="7204"/>
    <cellStyle name="Normal 2 2 2 2 2 2 2 14 2" xfId="48724"/>
    <cellStyle name="Normal 2 2 2 2 2 2 2 15" xfId="7205"/>
    <cellStyle name="Normal 2 2 2 2 2 2 2 15 2" xfId="48725"/>
    <cellStyle name="Normal 2 2 2 2 2 2 2 16" xfId="7206"/>
    <cellStyle name="Normal 2 2 2 2 2 2 2 16 2" xfId="48726"/>
    <cellStyle name="Normal 2 2 2 2 2 2 2 17" xfId="7207"/>
    <cellStyle name="Normal 2 2 2 2 2 2 2 17 2" xfId="48727"/>
    <cellStyle name="Normal 2 2 2 2 2 2 2 18" xfId="7208"/>
    <cellStyle name="Normal 2 2 2 2 2 2 2 18 2" xfId="48728"/>
    <cellStyle name="Normal 2 2 2 2 2 2 2 19" xfId="7209"/>
    <cellStyle name="Normal 2 2 2 2 2 2 2 19 2" xfId="48729"/>
    <cellStyle name="Normal 2 2 2 2 2 2 2 2" xfId="7210"/>
    <cellStyle name="Normal 2 2 2 2 2 2 2 2 10" xfId="7211"/>
    <cellStyle name="Normal 2 2 2 2 2 2 2 2 10 2" xfId="48731"/>
    <cellStyle name="Normal 2 2 2 2 2 2 2 2 11" xfId="7212"/>
    <cellStyle name="Normal 2 2 2 2 2 2 2 2 11 2" xfId="48732"/>
    <cellStyle name="Normal 2 2 2 2 2 2 2 2 12" xfId="7213"/>
    <cellStyle name="Normal 2 2 2 2 2 2 2 2 12 2" xfId="48733"/>
    <cellStyle name="Normal 2 2 2 2 2 2 2 2 13" xfId="7214"/>
    <cellStyle name="Normal 2 2 2 2 2 2 2 2 13 2" xfId="48734"/>
    <cellStyle name="Normal 2 2 2 2 2 2 2 2 14" xfId="7215"/>
    <cellStyle name="Normal 2 2 2 2 2 2 2 2 14 2" xfId="48735"/>
    <cellStyle name="Normal 2 2 2 2 2 2 2 2 15" xfId="7216"/>
    <cellStyle name="Normal 2 2 2 2 2 2 2 2 15 2" xfId="48736"/>
    <cellStyle name="Normal 2 2 2 2 2 2 2 2 16" xfId="7217"/>
    <cellStyle name="Normal 2 2 2 2 2 2 2 2 16 2" xfId="48737"/>
    <cellStyle name="Normal 2 2 2 2 2 2 2 2 17" xfId="7218"/>
    <cellStyle name="Normal 2 2 2 2 2 2 2 2 17 2" xfId="48738"/>
    <cellStyle name="Normal 2 2 2 2 2 2 2 2 18" xfId="7219"/>
    <cellStyle name="Normal 2 2 2 2 2 2 2 2 18 2" xfId="48739"/>
    <cellStyle name="Normal 2 2 2 2 2 2 2 2 19" xfId="7220"/>
    <cellStyle name="Normal 2 2 2 2 2 2 2 2 19 2" xfId="48740"/>
    <cellStyle name="Normal 2 2 2 2 2 2 2 2 2" xfId="7221"/>
    <cellStyle name="Normal 2 2 2 2 2 2 2 2 2 10" xfId="7222"/>
    <cellStyle name="Normal 2 2 2 2 2 2 2 2 2 10 2" xfId="48742"/>
    <cellStyle name="Normal 2 2 2 2 2 2 2 2 2 11" xfId="7223"/>
    <cellStyle name="Normal 2 2 2 2 2 2 2 2 2 11 2" xfId="48743"/>
    <cellStyle name="Normal 2 2 2 2 2 2 2 2 2 12" xfId="7224"/>
    <cellStyle name="Normal 2 2 2 2 2 2 2 2 2 12 2" xfId="48744"/>
    <cellStyle name="Normal 2 2 2 2 2 2 2 2 2 13" xfId="7225"/>
    <cellStyle name="Normal 2 2 2 2 2 2 2 2 2 13 2" xfId="48745"/>
    <cellStyle name="Normal 2 2 2 2 2 2 2 2 2 14" xfId="7226"/>
    <cellStyle name="Normal 2 2 2 2 2 2 2 2 2 14 2" xfId="48746"/>
    <cellStyle name="Normal 2 2 2 2 2 2 2 2 2 15" xfId="7227"/>
    <cellStyle name="Normal 2 2 2 2 2 2 2 2 2 15 2" xfId="48747"/>
    <cellStyle name="Normal 2 2 2 2 2 2 2 2 2 16" xfId="7228"/>
    <cellStyle name="Normal 2 2 2 2 2 2 2 2 2 16 2" xfId="48748"/>
    <cellStyle name="Normal 2 2 2 2 2 2 2 2 2 17" xfId="7229"/>
    <cellStyle name="Normal 2 2 2 2 2 2 2 2 2 17 2" xfId="48749"/>
    <cellStyle name="Normal 2 2 2 2 2 2 2 2 2 18" xfId="7230"/>
    <cellStyle name="Normal 2 2 2 2 2 2 2 2 2 18 2" xfId="48750"/>
    <cellStyle name="Normal 2 2 2 2 2 2 2 2 2 19" xfId="48751"/>
    <cellStyle name="Normal 2 2 2 2 2 2 2 2 2 2" xfId="7231"/>
    <cellStyle name="Normal 2 2 2 2 2 2 2 2 2 2 10" xfId="48753"/>
    <cellStyle name="Normal 2 2 2 2 2 2 2 2 2 2 11" xfId="48754"/>
    <cellStyle name="Normal 2 2 2 2 2 2 2 2 2 2 12" xfId="48755"/>
    <cellStyle name="Normal 2 2 2 2 2 2 2 2 2 2 13" xfId="48756"/>
    <cellStyle name="Normal 2 2 2 2 2 2 2 2 2 2 14" xfId="48757"/>
    <cellStyle name="Normal 2 2 2 2 2 2 2 2 2 2 15" xfId="48758"/>
    <cellStyle name="Normal 2 2 2 2 2 2 2 2 2 2 16" xfId="48759"/>
    <cellStyle name="Normal 2 2 2 2 2 2 2 2 2 2 17" xfId="48760"/>
    <cellStyle name="Normal 2 2 2 2 2 2 2 2 2 2 18" xfId="48761"/>
    <cellStyle name="Normal 2 2 2 2 2 2 2 2 2 2 19" xfId="48752"/>
    <cellStyle name="Normal 2 2 2 2 2 2 2 2 2 2 2" xfId="48762"/>
    <cellStyle name="Normal 2 2 2 2 2 2 2 2 2 2 2 2" xfId="48763"/>
    <cellStyle name="Normal 2 2 2 2 2 2 2 2 2 2 2 2 2" xfId="48764"/>
    <cellStyle name="Normal 2 2 2 2 2 2 2 2 2 2 2 2 3" xfId="48765"/>
    <cellStyle name="Normal 2 2 2 2 2 2 2 2 2 2 2 2 4" xfId="48766"/>
    <cellStyle name="Normal 2 2 2 2 2 2 2 2 2 2 2 2 5" xfId="48767"/>
    <cellStyle name="Normal 2 2 2 2 2 2 2 2 2 2 2 2 6" xfId="48768"/>
    <cellStyle name="Normal 2 2 2 2 2 2 2 2 2 2 2 2 7" xfId="48769"/>
    <cellStyle name="Normal 2 2 2 2 2 2 2 2 2 2 2 3" xfId="48770"/>
    <cellStyle name="Normal 2 2 2 2 2 2 2 2 2 2 2 4" xfId="48771"/>
    <cellStyle name="Normal 2 2 2 2 2 2 2 2 2 2 2 5" xfId="48772"/>
    <cellStyle name="Normal 2 2 2 2 2 2 2 2 2 2 2 6" xfId="48773"/>
    <cellStyle name="Normal 2 2 2 2 2 2 2 2 2 2 2 7" xfId="48774"/>
    <cellStyle name="Normal 2 2 2 2 2 2 2 2 2 2 2 8" xfId="48775"/>
    <cellStyle name="Normal 2 2 2 2 2 2 2 2 2 2 3" xfId="48776"/>
    <cellStyle name="Normal 2 2 2 2 2 2 2 2 2 2 4" xfId="48777"/>
    <cellStyle name="Normal 2 2 2 2 2 2 2 2 2 2 5" xfId="48778"/>
    <cellStyle name="Normal 2 2 2 2 2 2 2 2 2 2 5 2" xfId="48779"/>
    <cellStyle name="Normal 2 2 2 2 2 2 2 2 2 2 5 3" xfId="48780"/>
    <cellStyle name="Normal 2 2 2 2 2 2 2 2 2 2 5 4" xfId="48781"/>
    <cellStyle name="Normal 2 2 2 2 2 2 2 2 2 2 5 5" xfId="48782"/>
    <cellStyle name="Normal 2 2 2 2 2 2 2 2 2 2 5 6" xfId="48783"/>
    <cellStyle name="Normal 2 2 2 2 2 2 2 2 2 2 5 7" xfId="48784"/>
    <cellStyle name="Normal 2 2 2 2 2 2 2 2 2 2 6" xfId="48785"/>
    <cellStyle name="Normal 2 2 2 2 2 2 2 2 2 2 7" xfId="48786"/>
    <cellStyle name="Normal 2 2 2 2 2 2 2 2 2 2 8" xfId="48787"/>
    <cellStyle name="Normal 2 2 2 2 2 2 2 2 2 2 9" xfId="48788"/>
    <cellStyle name="Normal 2 2 2 2 2 2 2 2 2 20" xfId="48741"/>
    <cellStyle name="Normal 2 2 2 2 2 2 2 2 2 3" xfId="7232"/>
    <cellStyle name="Normal 2 2 2 2 2 2 2 2 2 3 2" xfId="48789"/>
    <cellStyle name="Normal 2 2 2 2 2 2 2 2 2 4" xfId="7233"/>
    <cellStyle name="Normal 2 2 2 2 2 2 2 2 2 4 2" xfId="48791"/>
    <cellStyle name="Normal 2 2 2 2 2 2 2 2 2 4 2 2" xfId="48792"/>
    <cellStyle name="Normal 2 2 2 2 2 2 2 2 2 4 2 3" xfId="48793"/>
    <cellStyle name="Normal 2 2 2 2 2 2 2 2 2 4 2 4" xfId="48794"/>
    <cellStyle name="Normal 2 2 2 2 2 2 2 2 2 4 2 5" xfId="48795"/>
    <cellStyle name="Normal 2 2 2 2 2 2 2 2 2 4 2 6" xfId="48796"/>
    <cellStyle name="Normal 2 2 2 2 2 2 2 2 2 4 2 7" xfId="48797"/>
    <cellStyle name="Normal 2 2 2 2 2 2 2 2 2 4 3" xfId="48798"/>
    <cellStyle name="Normal 2 2 2 2 2 2 2 2 2 4 4" xfId="48799"/>
    <cellStyle name="Normal 2 2 2 2 2 2 2 2 2 4 5" xfId="48800"/>
    <cellStyle name="Normal 2 2 2 2 2 2 2 2 2 4 6" xfId="48801"/>
    <cellStyle name="Normal 2 2 2 2 2 2 2 2 2 4 7" xfId="48802"/>
    <cellStyle name="Normal 2 2 2 2 2 2 2 2 2 4 8" xfId="48803"/>
    <cellStyle name="Normal 2 2 2 2 2 2 2 2 2 4 9" xfId="48790"/>
    <cellStyle name="Normal 2 2 2 2 2 2 2 2 2 5" xfId="7234"/>
    <cellStyle name="Normal 2 2 2 2 2 2 2 2 2 5 2" xfId="48804"/>
    <cellStyle name="Normal 2 2 2 2 2 2 2 2 2 6" xfId="7235"/>
    <cellStyle name="Normal 2 2 2 2 2 2 2 2 2 6 2" xfId="48806"/>
    <cellStyle name="Normal 2 2 2 2 2 2 2 2 2 6 3" xfId="48807"/>
    <cellStyle name="Normal 2 2 2 2 2 2 2 2 2 6 4" xfId="48808"/>
    <cellStyle name="Normal 2 2 2 2 2 2 2 2 2 6 5" xfId="48809"/>
    <cellStyle name="Normal 2 2 2 2 2 2 2 2 2 6 6" xfId="48810"/>
    <cellStyle name="Normal 2 2 2 2 2 2 2 2 2 6 7" xfId="48811"/>
    <cellStyle name="Normal 2 2 2 2 2 2 2 2 2 6 8" xfId="48805"/>
    <cellStyle name="Normal 2 2 2 2 2 2 2 2 2 7" xfId="7236"/>
    <cellStyle name="Normal 2 2 2 2 2 2 2 2 2 7 2" xfId="48812"/>
    <cellStyle name="Normal 2 2 2 2 2 2 2 2 2 8" xfId="7237"/>
    <cellStyle name="Normal 2 2 2 2 2 2 2 2 2 8 2" xfId="48813"/>
    <cellStyle name="Normal 2 2 2 2 2 2 2 2 2 9" xfId="7238"/>
    <cellStyle name="Normal 2 2 2 2 2 2 2 2 2 9 2" xfId="48814"/>
    <cellStyle name="Normal 2 2 2 2 2 2 2 2 2_Opex Input" xfId="48815"/>
    <cellStyle name="Normal 2 2 2 2 2 2 2 2 20" xfId="48816"/>
    <cellStyle name="Normal 2 2 2 2 2 2 2 2 21" xfId="48730"/>
    <cellStyle name="Normal 2 2 2 2 2 2 2 2 3" xfId="7239"/>
    <cellStyle name="Normal 2 2 2 2 2 2 2 2 3 2" xfId="48817"/>
    <cellStyle name="Normal 2 2 2 2 2 2 2 2 4" xfId="7240"/>
    <cellStyle name="Normal 2 2 2 2 2 2 2 2 4 2" xfId="48818"/>
    <cellStyle name="Normal 2 2 2 2 2 2 2 2 5" xfId="7241"/>
    <cellStyle name="Normal 2 2 2 2 2 2 2 2 5 2" xfId="48820"/>
    <cellStyle name="Normal 2 2 2 2 2 2 2 2 5 2 2" xfId="48821"/>
    <cellStyle name="Normal 2 2 2 2 2 2 2 2 5 2 3" xfId="48822"/>
    <cellStyle name="Normal 2 2 2 2 2 2 2 2 5 2 4" xfId="48823"/>
    <cellStyle name="Normal 2 2 2 2 2 2 2 2 5 2 5" xfId="48824"/>
    <cellStyle name="Normal 2 2 2 2 2 2 2 2 5 2 6" xfId="48825"/>
    <cellStyle name="Normal 2 2 2 2 2 2 2 2 5 2 7" xfId="48826"/>
    <cellStyle name="Normal 2 2 2 2 2 2 2 2 5 3" xfId="48827"/>
    <cellStyle name="Normal 2 2 2 2 2 2 2 2 5 4" xfId="48828"/>
    <cellStyle name="Normal 2 2 2 2 2 2 2 2 5 5" xfId="48829"/>
    <cellStyle name="Normal 2 2 2 2 2 2 2 2 5 6" xfId="48830"/>
    <cellStyle name="Normal 2 2 2 2 2 2 2 2 5 7" xfId="48831"/>
    <cellStyle name="Normal 2 2 2 2 2 2 2 2 5 8" xfId="48832"/>
    <cellStyle name="Normal 2 2 2 2 2 2 2 2 5 9" xfId="48819"/>
    <cellStyle name="Normal 2 2 2 2 2 2 2 2 6" xfId="7242"/>
    <cellStyle name="Normal 2 2 2 2 2 2 2 2 6 2" xfId="48833"/>
    <cellStyle name="Normal 2 2 2 2 2 2 2 2 7" xfId="7243"/>
    <cellStyle name="Normal 2 2 2 2 2 2 2 2 7 2" xfId="48835"/>
    <cellStyle name="Normal 2 2 2 2 2 2 2 2 7 3" xfId="48836"/>
    <cellStyle name="Normal 2 2 2 2 2 2 2 2 7 4" xfId="48837"/>
    <cellStyle name="Normal 2 2 2 2 2 2 2 2 7 5" xfId="48838"/>
    <cellStyle name="Normal 2 2 2 2 2 2 2 2 7 6" xfId="48839"/>
    <cellStyle name="Normal 2 2 2 2 2 2 2 2 7 7" xfId="48840"/>
    <cellStyle name="Normal 2 2 2 2 2 2 2 2 7 8" xfId="48834"/>
    <cellStyle name="Normal 2 2 2 2 2 2 2 2 8" xfId="7244"/>
    <cellStyle name="Normal 2 2 2 2 2 2 2 2 8 2" xfId="48841"/>
    <cellStyle name="Normal 2 2 2 2 2 2 2 2 9" xfId="7245"/>
    <cellStyle name="Normal 2 2 2 2 2 2 2 2 9 2" xfId="48842"/>
    <cellStyle name="Normal 2 2 2 2 2 2 2 2_ELEC SAP FCST UPLOAD" xfId="7246"/>
    <cellStyle name="Normal 2 2 2 2 2 2 2 20" xfId="7247"/>
    <cellStyle name="Normal 2 2 2 2 2 2 2 20 2" xfId="48843"/>
    <cellStyle name="Normal 2 2 2 2 2 2 2 21" xfId="7248"/>
    <cellStyle name="Normal 2 2 2 2 2 2 2 21 2" xfId="48844"/>
    <cellStyle name="Normal 2 2 2 2 2 2 2 22" xfId="7249"/>
    <cellStyle name="Normal 2 2 2 2 2 2 2 22 2" xfId="48845"/>
    <cellStyle name="Normal 2 2 2 2 2 2 2 23" xfId="48846"/>
    <cellStyle name="Normal 2 2 2 2 2 2 2 24" xfId="48713"/>
    <cellStyle name="Normal 2 2 2 2 2 2 2 3" xfId="7250"/>
    <cellStyle name="Normal 2 2 2 2 2 2 2 3 2" xfId="48847"/>
    <cellStyle name="Normal 2 2 2 2 2 2 2 4" xfId="7251"/>
    <cellStyle name="Normal 2 2 2 2 2 2 2 4 2" xfId="48848"/>
    <cellStyle name="Normal 2 2 2 2 2 2 2 5" xfId="7252"/>
    <cellStyle name="Normal 2 2 2 2 2 2 2 5 2" xfId="48849"/>
    <cellStyle name="Normal 2 2 2 2 2 2 2 6" xfId="7253"/>
    <cellStyle name="Normal 2 2 2 2 2 2 2 6 2" xfId="48850"/>
    <cellStyle name="Normal 2 2 2 2 2 2 2 7" xfId="7254"/>
    <cellStyle name="Normal 2 2 2 2 2 2 2 7 2" xfId="48851"/>
    <cellStyle name="Normal 2 2 2 2 2 2 2 8" xfId="7255"/>
    <cellStyle name="Normal 2 2 2 2 2 2 2 8 2" xfId="48853"/>
    <cellStyle name="Normal 2 2 2 2 2 2 2 8 2 2" xfId="48854"/>
    <cellStyle name="Normal 2 2 2 2 2 2 2 8 2 3" xfId="48855"/>
    <cellStyle name="Normal 2 2 2 2 2 2 2 8 2 4" xfId="48856"/>
    <cellStyle name="Normal 2 2 2 2 2 2 2 8 2 5" xfId="48857"/>
    <cellStyle name="Normal 2 2 2 2 2 2 2 8 2 6" xfId="48858"/>
    <cellStyle name="Normal 2 2 2 2 2 2 2 8 2 7" xfId="48859"/>
    <cellStyle name="Normal 2 2 2 2 2 2 2 8 3" xfId="48860"/>
    <cellStyle name="Normal 2 2 2 2 2 2 2 8 4" xfId="48861"/>
    <cellStyle name="Normal 2 2 2 2 2 2 2 8 5" xfId="48862"/>
    <cellStyle name="Normal 2 2 2 2 2 2 2 8 6" xfId="48863"/>
    <cellStyle name="Normal 2 2 2 2 2 2 2 8 7" xfId="48864"/>
    <cellStyle name="Normal 2 2 2 2 2 2 2 8 8" xfId="48865"/>
    <cellStyle name="Normal 2 2 2 2 2 2 2 8 9" xfId="48852"/>
    <cellStyle name="Normal 2 2 2 2 2 2 2 9" xfId="7256"/>
    <cellStyle name="Normal 2 2 2 2 2 2 2 9 2" xfId="48866"/>
    <cellStyle name="Normal 2 2 2 2 2 2 2_ELEC SAP FCST UPLOAD" xfId="7257"/>
    <cellStyle name="Normal 2 2 2 2 2 2 20" xfId="7258"/>
    <cellStyle name="Normal 2 2 2 2 2 2 20 2" xfId="48867"/>
    <cellStyle name="Normal 2 2 2 2 2 2 21" xfId="7259"/>
    <cellStyle name="Normal 2 2 2 2 2 2 21 2" xfId="48868"/>
    <cellStyle name="Normal 2 2 2 2 2 2 22" xfId="7260"/>
    <cellStyle name="Normal 2 2 2 2 2 2 22 2" xfId="48869"/>
    <cellStyle name="Normal 2 2 2 2 2 2 23" xfId="48870"/>
    <cellStyle name="Normal 2 2 2 2 2 2 24" xfId="48696"/>
    <cellStyle name="Normal 2 2 2 2 2 2 3" xfId="7261"/>
    <cellStyle name="Normal 2 2 2 2 2 2 3 2" xfId="7262"/>
    <cellStyle name="Normal 2 2 2 2 2 2 3 2 2" xfId="48872"/>
    <cellStyle name="Normal 2 2 2 2 2 2 3 3" xfId="7263"/>
    <cellStyle name="Normal 2 2 2 2 2 2 3 3 2" xfId="48873"/>
    <cellStyle name="Normal 2 2 2 2 2 2 3 4" xfId="48871"/>
    <cellStyle name="Normal 2 2 2 2 2 2 3_ELEC SAP FCST UPLOAD" xfId="7264"/>
    <cellStyle name="Normal 2 2 2 2 2 2 4" xfId="7265"/>
    <cellStyle name="Normal 2 2 2 2 2 2 4 2" xfId="48874"/>
    <cellStyle name="Normal 2 2 2 2 2 2 5" xfId="7266"/>
    <cellStyle name="Normal 2 2 2 2 2 2 5 2" xfId="48875"/>
    <cellStyle name="Normal 2 2 2 2 2 2 6" xfId="7267"/>
    <cellStyle name="Normal 2 2 2 2 2 2 6 2" xfId="48876"/>
    <cellStyle name="Normal 2 2 2 2 2 2 7" xfId="7268"/>
    <cellStyle name="Normal 2 2 2 2 2 2 7 2" xfId="48877"/>
    <cellStyle name="Normal 2 2 2 2 2 2 8" xfId="7269"/>
    <cellStyle name="Normal 2 2 2 2 2 2 8 2" xfId="48879"/>
    <cellStyle name="Normal 2 2 2 2 2 2 8 2 2" xfId="48880"/>
    <cellStyle name="Normal 2 2 2 2 2 2 8 2 3" xfId="48881"/>
    <cellStyle name="Normal 2 2 2 2 2 2 8 2 4" xfId="48882"/>
    <cellStyle name="Normal 2 2 2 2 2 2 8 2 5" xfId="48883"/>
    <cellStyle name="Normal 2 2 2 2 2 2 8 2 6" xfId="48884"/>
    <cellStyle name="Normal 2 2 2 2 2 2 8 2 7" xfId="48885"/>
    <cellStyle name="Normal 2 2 2 2 2 2 8 3" xfId="48886"/>
    <cellStyle name="Normal 2 2 2 2 2 2 8 4" xfId="48887"/>
    <cellStyle name="Normal 2 2 2 2 2 2 8 5" xfId="48888"/>
    <cellStyle name="Normal 2 2 2 2 2 2 8 6" xfId="48889"/>
    <cellStyle name="Normal 2 2 2 2 2 2 8 7" xfId="48890"/>
    <cellStyle name="Normal 2 2 2 2 2 2 8 8" xfId="48891"/>
    <cellStyle name="Normal 2 2 2 2 2 2 8 9" xfId="48878"/>
    <cellStyle name="Normal 2 2 2 2 2 2 9" xfId="7270"/>
    <cellStyle name="Normal 2 2 2 2 2 2 9 2" xfId="48892"/>
    <cellStyle name="Normal 2 2 2 2 2 2_ELEC SAP FCST UPLOAD" xfId="7271"/>
    <cellStyle name="Normal 2 2 2 2 2 20" xfId="7272"/>
    <cellStyle name="Normal 2 2 2 2 2 20 2" xfId="48893"/>
    <cellStyle name="Normal 2 2 2 2 2 21" xfId="7273"/>
    <cellStyle name="Normal 2 2 2 2 2 21 2" xfId="48894"/>
    <cellStyle name="Normal 2 2 2 2 2 22" xfId="7274"/>
    <cellStyle name="Normal 2 2 2 2 2 22 2" xfId="48895"/>
    <cellStyle name="Normal 2 2 2 2 2 23" xfId="7275"/>
    <cellStyle name="Normal 2 2 2 2 2 23 2" xfId="48896"/>
    <cellStyle name="Normal 2 2 2 2 2 24" xfId="48897"/>
    <cellStyle name="Normal 2 2 2 2 2 25" xfId="48679"/>
    <cellStyle name="Normal 2 2 2 2 2 3" xfId="7276"/>
    <cellStyle name="Normal 2 2 2 2 2 3 2" xfId="7277"/>
    <cellStyle name="Normal 2 2 2 2 2 3 2 2" xfId="48899"/>
    <cellStyle name="Normal 2 2 2 2 2 3 3" xfId="7278"/>
    <cellStyle name="Normal 2 2 2 2 2 3 3 2" xfId="48900"/>
    <cellStyle name="Normal 2 2 2 2 2 3 4" xfId="48898"/>
    <cellStyle name="Normal 2 2 2 2 2 3_ELEC SAP FCST UPLOAD" xfId="7279"/>
    <cellStyle name="Normal 2 2 2 2 2 4" xfId="7280"/>
    <cellStyle name="Normal 2 2 2 2 2 4 2" xfId="48901"/>
    <cellStyle name="Normal 2 2 2 2 2 5" xfId="7281"/>
    <cellStyle name="Normal 2 2 2 2 2 5 2" xfId="48902"/>
    <cellStyle name="Normal 2 2 2 2 2 6" xfId="7282"/>
    <cellStyle name="Normal 2 2 2 2 2 6 2" xfId="48903"/>
    <cellStyle name="Normal 2 2 2 2 2 7" xfId="7283"/>
    <cellStyle name="Normal 2 2 2 2 2 7 2" xfId="48904"/>
    <cellStyle name="Normal 2 2 2 2 2 8" xfId="7284"/>
    <cellStyle name="Normal 2 2 2 2 2 8 2" xfId="48905"/>
    <cellStyle name="Normal 2 2 2 2 2 9" xfId="7285"/>
    <cellStyle name="Normal 2 2 2 2 2 9 2" xfId="48907"/>
    <cellStyle name="Normal 2 2 2 2 2 9 2 2" xfId="48908"/>
    <cellStyle name="Normal 2 2 2 2 2 9 2 3" xfId="48909"/>
    <cellStyle name="Normal 2 2 2 2 2 9 2 4" xfId="48910"/>
    <cellStyle name="Normal 2 2 2 2 2 9 2 5" xfId="48911"/>
    <cellStyle name="Normal 2 2 2 2 2 9 2 6" xfId="48912"/>
    <cellStyle name="Normal 2 2 2 2 2 9 2 7" xfId="48913"/>
    <cellStyle name="Normal 2 2 2 2 2 9 3" xfId="48914"/>
    <cellStyle name="Normal 2 2 2 2 2 9 4" xfId="48915"/>
    <cellStyle name="Normal 2 2 2 2 2 9 5" xfId="48916"/>
    <cellStyle name="Normal 2 2 2 2 2 9 6" xfId="48917"/>
    <cellStyle name="Normal 2 2 2 2 2 9 7" xfId="48918"/>
    <cellStyle name="Normal 2 2 2 2 2 9 8" xfId="48919"/>
    <cellStyle name="Normal 2 2 2 2 2 9 9" xfId="48906"/>
    <cellStyle name="Normal 2 2 2 2 2_ELEC SAP FCST UPLOAD" xfId="7286"/>
    <cellStyle name="Normal 2 2 2 2 20" xfId="7287"/>
    <cellStyle name="Normal 2 2 2 2 20 2" xfId="48920"/>
    <cellStyle name="Normal 2 2 2 2 21" xfId="7288"/>
    <cellStyle name="Normal 2 2 2 2 21 2" xfId="48921"/>
    <cellStyle name="Normal 2 2 2 2 22" xfId="7289"/>
    <cellStyle name="Normal 2 2 2 2 22 2" xfId="48922"/>
    <cellStyle name="Normal 2 2 2 2 23" xfId="7290"/>
    <cellStyle name="Normal 2 2 2 2 23 2" xfId="48923"/>
    <cellStyle name="Normal 2 2 2 2 24" xfId="7291"/>
    <cellStyle name="Normal 2 2 2 2 24 2" xfId="48924"/>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2 2" xfId="48927"/>
    <cellStyle name="Normal 2 2 2 2 3 2 3" xfId="7300"/>
    <cellStyle name="Normal 2 2 2 2 3 2 3 2" xfId="48928"/>
    <cellStyle name="Normal 2 2 2 2 3 2 4" xfId="48926"/>
    <cellStyle name="Normal 2 2 2 2 3 2_ELEC SAP FCST UPLOAD" xfId="7301"/>
    <cellStyle name="Normal 2 2 2 2 3 3" xfId="7302"/>
    <cellStyle name="Normal 2 2 2 2 3 3 2" xfId="48929"/>
    <cellStyle name="Normal 2 2 2 2 3 4" xfId="7303"/>
    <cellStyle name="Normal 2 2 2 2 3 4 2" xfId="48930"/>
    <cellStyle name="Normal 2 2 2 2 3 5" xfId="7304"/>
    <cellStyle name="Normal 2 2 2 2 3 5 2" xfId="48931"/>
    <cellStyle name="Normal 2 2 2 2 3 6" xfId="7305"/>
    <cellStyle name="Normal 2 2 2 2 3 6 2" xfId="48932"/>
    <cellStyle name="Normal 2 2 2 2 3 7" xfId="4892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2 2" xfId="48934"/>
    <cellStyle name="Normal 2 2 2 2 4 3" xfId="7319"/>
    <cellStyle name="Normal 2 2 2 2 4 3 2" xfId="48935"/>
    <cellStyle name="Normal 2 2 2 2 4 4" xfId="48933"/>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 2" xfId="48936"/>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 2" xfId="48937"/>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 2" xfId="48938"/>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18" xfId="48939"/>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85" xfId="48662"/>
    <cellStyle name="Normal 2 2 2 2 9" xfId="7386"/>
    <cellStyle name="Normal 2 2 2 2 9 2" xfId="48941"/>
    <cellStyle name="Normal 2 2 2 2 9 2 2" xfId="48942"/>
    <cellStyle name="Normal 2 2 2 2 9 2 3" xfId="48943"/>
    <cellStyle name="Normal 2 2 2 2 9 2 4" xfId="48944"/>
    <cellStyle name="Normal 2 2 2 2 9 2 5" xfId="48945"/>
    <cellStyle name="Normal 2 2 2 2 9 2 6" xfId="48946"/>
    <cellStyle name="Normal 2 2 2 2 9 2 7" xfId="48947"/>
    <cellStyle name="Normal 2 2 2 2 9 3" xfId="48948"/>
    <cellStyle name="Normal 2 2 2 2 9 4" xfId="48949"/>
    <cellStyle name="Normal 2 2 2 2 9 5" xfId="48950"/>
    <cellStyle name="Normal 2 2 2 2 9 6" xfId="48951"/>
    <cellStyle name="Normal 2 2 2 2 9 7" xfId="48952"/>
    <cellStyle name="Normal 2 2 2 2 9 8" xfId="48953"/>
    <cellStyle name="Normal 2 2 2 2 9 9" xfId="48940"/>
    <cellStyle name="Normal 2 2 2 2_ELEC SAP FCST UPLOAD" xfId="7387"/>
    <cellStyle name="Normal 2 2 2 20" xfId="7388"/>
    <cellStyle name="Normal 2 2 2 20 2" xfId="48954"/>
    <cellStyle name="Normal 2 2 2 21" xfId="7389"/>
    <cellStyle name="Normal 2 2 2 21 2" xfId="48955"/>
    <cellStyle name="Normal 2 2 2 22" xfId="7390"/>
    <cellStyle name="Normal 2 2 2 22 2" xfId="48956"/>
    <cellStyle name="Normal 2 2 2 23" xfId="7391"/>
    <cellStyle name="Normal 2 2 2 23 2" xfId="48957"/>
    <cellStyle name="Normal 2 2 2 24" xfId="7392"/>
    <cellStyle name="Normal 2 2 2 24 2" xfId="48958"/>
    <cellStyle name="Normal 2 2 2 25" xfId="7393"/>
    <cellStyle name="Normal 2 2 2 25 2" xfId="48959"/>
    <cellStyle name="Normal 2 2 2 26" xfId="7394"/>
    <cellStyle name="Normal 2 2 2 26 2" xfId="48960"/>
    <cellStyle name="Normal 2 2 2 27" xfId="7395"/>
    <cellStyle name="Normal 2 2 2 28" xfId="7396"/>
    <cellStyle name="Normal 2 2 2 29" xfId="7397"/>
    <cellStyle name="Normal 2 2 2 3" xfId="7398"/>
    <cellStyle name="Normal 2 2 2 3 2" xfId="48961"/>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2 2" xfId="48965"/>
    <cellStyle name="Normal 2 2 2 4 2 2 3" xfId="7413"/>
    <cellStyle name="Normal 2 2 2 4 2 2 3 2" xfId="48966"/>
    <cellStyle name="Normal 2 2 2 4 2 2 4" xfId="48964"/>
    <cellStyle name="Normal 2 2 2 4 2 2_ELEC SAP FCST UPLOAD" xfId="7414"/>
    <cellStyle name="Normal 2 2 2 4 2 3" xfId="7415"/>
    <cellStyle name="Normal 2 2 2 4 2 3 2" xfId="48967"/>
    <cellStyle name="Normal 2 2 2 4 2 4" xfId="7416"/>
    <cellStyle name="Normal 2 2 2 4 2 4 2" xfId="48968"/>
    <cellStyle name="Normal 2 2 2 4 2 5" xfId="7417"/>
    <cellStyle name="Normal 2 2 2 4 2 5 2" xfId="48969"/>
    <cellStyle name="Normal 2 2 2 4 2 6" xfId="7418"/>
    <cellStyle name="Normal 2 2 2 4 2 6 2" xfId="48970"/>
    <cellStyle name="Normal 2 2 2 4 2 7" xfId="48963"/>
    <cellStyle name="Normal 2 2 2 4 2_ELEC SAP FCST UPLOAD" xfId="7419"/>
    <cellStyle name="Normal 2 2 2 4 3" xfId="7420"/>
    <cellStyle name="Normal 2 2 2 4 3 2" xfId="7421"/>
    <cellStyle name="Normal 2 2 2 4 3 2 2" xfId="48972"/>
    <cellStyle name="Normal 2 2 2 4 3 3" xfId="7422"/>
    <cellStyle name="Normal 2 2 2 4 3 3 2" xfId="48973"/>
    <cellStyle name="Normal 2 2 2 4 3 4" xfId="48971"/>
    <cellStyle name="Normal 2 2 2 4 3_ELEC SAP FCST UPLOAD" xfId="7423"/>
    <cellStyle name="Normal 2 2 2 4 4" xfId="7424"/>
    <cellStyle name="Normal 2 2 2 4 4 2" xfId="48974"/>
    <cellStyle name="Normal 2 2 2 4 5" xfId="7425"/>
    <cellStyle name="Normal 2 2 2 4 5 2" xfId="48975"/>
    <cellStyle name="Normal 2 2 2 4 6" xfId="7426"/>
    <cellStyle name="Normal 2 2 2 4 6 2" xfId="48976"/>
    <cellStyle name="Normal 2 2 2 4 7" xfId="48962"/>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2 2" xfId="48978"/>
    <cellStyle name="Normal 2 2 2 5 3" xfId="7440"/>
    <cellStyle name="Normal 2 2 2 5 3 2" xfId="48979"/>
    <cellStyle name="Normal 2 2 2 5 4" xfId="48977"/>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 2" xfId="48980"/>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 2" xfId="48981"/>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 2" xfId="48982"/>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87" xfId="48632"/>
    <cellStyle name="Normal 2 2 2 9" xfId="7482"/>
    <cellStyle name="Normal 2 2 2 9 2" xfId="48983"/>
    <cellStyle name="Normal 2 2 2_3.1.2 DB Pension Detail" xfId="7483"/>
    <cellStyle name="Normal 2 2 20" xfId="7484"/>
    <cellStyle name="Normal 2 2 20 2" xfId="48984"/>
    <cellStyle name="Normal 2 2 21" xfId="7485"/>
    <cellStyle name="Normal 2 2 21 2" xfId="48985"/>
    <cellStyle name="Normal 2 2 22" xfId="7486"/>
    <cellStyle name="Normal 2 2 22 2" xfId="48986"/>
    <cellStyle name="Normal 2 2 23" xfId="7487"/>
    <cellStyle name="Normal 2 2 23 2" xfId="48987"/>
    <cellStyle name="Normal 2 2 24" xfId="7488"/>
    <cellStyle name="Normal 2 2 24 2" xfId="48988"/>
    <cellStyle name="Normal 2 2 25" xfId="7489"/>
    <cellStyle name="Normal 2 2 25 2" xfId="48989"/>
    <cellStyle name="Normal 2 2 26" xfId="7490"/>
    <cellStyle name="Normal 2 2 26 2" xfId="489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19" xfId="48996"/>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20" xfId="48995"/>
    <cellStyle name="Normal 2 2 3 2 2 2 2 3" xfId="7567"/>
    <cellStyle name="Normal 2 2 3 2 2 2 2 3 2" xfId="4899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23" xfId="48994"/>
    <cellStyle name="Normal 2 2 3 2 2 2 3" xfId="7578"/>
    <cellStyle name="Normal 2 2 3 2 2 2 3 2" xfId="48998"/>
    <cellStyle name="Normal 2 2 3 2 2 2 4" xfId="7579"/>
    <cellStyle name="Normal 2 2 3 2 2 2 4 2" xfId="48999"/>
    <cellStyle name="Normal 2 2 3 2 2 2 5" xfId="7580"/>
    <cellStyle name="Normal 2 2 3 2 2 2 5 2" xfId="49000"/>
    <cellStyle name="Normal 2 2 3 2 2 2 6" xfId="7581"/>
    <cellStyle name="Normal 2 2 3 2 2 2 6 2" xfId="4900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23" xfId="48993"/>
    <cellStyle name="Normal 2 2 3 2 2 3" xfId="7589"/>
    <cellStyle name="Normal 2 2 3 2 2 3 2" xfId="7590"/>
    <cellStyle name="Normal 2 2 3 2 2 3 2 2" xfId="49003"/>
    <cellStyle name="Normal 2 2 3 2 2 3 3" xfId="7591"/>
    <cellStyle name="Normal 2 2 3 2 2 3 3 2" xfId="49004"/>
    <cellStyle name="Normal 2 2 3 2 2 3 4" xfId="49002"/>
    <cellStyle name="Normal 2 2 3 2 2 3_ELEC SAP FCST UPLOAD" xfId="7592"/>
    <cellStyle name="Normal 2 2 3 2 2 4" xfId="7593"/>
    <cellStyle name="Normal 2 2 3 2 2 4 2" xfId="49005"/>
    <cellStyle name="Normal 2 2 3 2 2 5" xfId="7594"/>
    <cellStyle name="Normal 2 2 3 2 2 5 2" xfId="49006"/>
    <cellStyle name="Normal 2 2 3 2 2 6" xfId="7595"/>
    <cellStyle name="Normal 2 2 3 2 2 6 2" xfId="49007"/>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24" xfId="48992"/>
    <cellStyle name="Normal 2 2 3 2 3" xfId="7604"/>
    <cellStyle name="Normal 2 2 3 2 3 2" xfId="7605"/>
    <cellStyle name="Normal 2 2 3 2 3 2 2" xfId="49009"/>
    <cellStyle name="Normal 2 2 3 2 3 3" xfId="7606"/>
    <cellStyle name="Normal 2 2 3 2 3 3 2" xfId="49010"/>
    <cellStyle name="Normal 2 2 3 2 3 4" xfId="49008"/>
    <cellStyle name="Normal 2 2 3 2 3_ELEC SAP FCST UPLOAD" xfId="7607"/>
    <cellStyle name="Normal 2 2 3 2 4" xfId="7608"/>
    <cellStyle name="Normal 2 2 3 2 4 2" xfId="49011"/>
    <cellStyle name="Normal 2 2 3 2 5" xfId="7609"/>
    <cellStyle name="Normal 2 2 3 2 5 2" xfId="49012"/>
    <cellStyle name="Normal 2 2 3 2 6" xfId="7610"/>
    <cellStyle name="Normal 2 2 3 2 6 2" xfId="49013"/>
    <cellStyle name="Normal 2 2 3 2 7" xfId="7611"/>
    <cellStyle name="Normal 2 2 3 2 7 2" xfId="49014"/>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2 2" xfId="49017"/>
    <cellStyle name="Normal 2 2 3 3 2 3" xfId="7628"/>
    <cellStyle name="Normal 2 2 3 3 2 3 2" xfId="49018"/>
    <cellStyle name="Normal 2 2 3 3 2 4" xfId="49016"/>
    <cellStyle name="Normal 2 2 3 3 2_ELEC SAP FCST UPLOAD" xfId="7629"/>
    <cellStyle name="Normal 2 2 3 3 3" xfId="7630"/>
    <cellStyle name="Normal 2 2 3 3 3 2" xfId="49019"/>
    <cellStyle name="Normal 2 2 3 3 4" xfId="7631"/>
    <cellStyle name="Normal 2 2 3 3 4 2" xfId="49020"/>
    <cellStyle name="Normal 2 2 3 3 5" xfId="7632"/>
    <cellStyle name="Normal 2 2 3 3 5 2" xfId="49021"/>
    <cellStyle name="Normal 2 2 3 3 6" xfId="7633"/>
    <cellStyle name="Normal 2 2 3 3 6 2" xfId="49022"/>
    <cellStyle name="Normal 2 2 3 3 7" xfId="49015"/>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2 2" xfId="49024"/>
    <cellStyle name="Normal 2 2 3 4 3" xfId="7647"/>
    <cellStyle name="Normal 2 2 3 4 3 2" xfId="49025"/>
    <cellStyle name="Normal 2 2 3 4 4" xfId="49023"/>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 2" xfId="49026"/>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 2" xfId="49027"/>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 2" xfId="49028"/>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85" xfId="48991"/>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19" xfId="49032"/>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20" xfId="49031"/>
    <cellStyle name="Normal 2 2 4 2 2 3" xfId="7777"/>
    <cellStyle name="Normal 2 2 4 2 2 3 2" xfId="49033"/>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23" xfId="49030"/>
    <cellStyle name="Normal 2 2 4 2 3" xfId="7788"/>
    <cellStyle name="Normal 2 2 4 2 3 2" xfId="49034"/>
    <cellStyle name="Normal 2 2 4 2 4" xfId="7789"/>
    <cellStyle name="Normal 2 2 4 2 4 2" xfId="49035"/>
    <cellStyle name="Normal 2 2 4 2 5" xfId="7790"/>
    <cellStyle name="Normal 2 2 4 2 5 2" xfId="49036"/>
    <cellStyle name="Normal 2 2 4 2 6" xfId="7791"/>
    <cellStyle name="Normal 2 2 4 2 6 2" xfId="49037"/>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2 2" xfId="49039"/>
    <cellStyle name="Normal 2 2 4 3 3" xfId="7808"/>
    <cellStyle name="Normal 2 2 4 3 3 2" xfId="49040"/>
    <cellStyle name="Normal 2 2 4 3 4" xfId="4903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 2" xfId="49041"/>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 2" xfId="49042"/>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 2" xfId="49043"/>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84" xfId="49029"/>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19" xfId="49045"/>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 2" xfId="49046"/>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81" xfId="49044"/>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79" xfId="49047"/>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79" xfId="49048"/>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79" xfId="49049"/>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79" xfId="4905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0 2" xfId="49051"/>
    <cellStyle name="Normal 2 21" xfId="8535"/>
    <cellStyle name="Normal 2 21 2" xfId="49052"/>
    <cellStyle name="Normal 2 22" xfId="8536"/>
    <cellStyle name="Normal 2 22 2" xfId="49053"/>
    <cellStyle name="Normal 2 23" xfId="8537"/>
    <cellStyle name="Normal 2 23 2" xfId="49054"/>
    <cellStyle name="Normal 2 24" xfId="8538"/>
    <cellStyle name="Normal 2 24 2" xfId="49055"/>
    <cellStyle name="Normal 2 25" xfId="8539"/>
    <cellStyle name="Normal 2 25 2" xfId="49056"/>
    <cellStyle name="Normal 2 26" xfId="8540"/>
    <cellStyle name="Normal 2 26 2" xfId="49057"/>
    <cellStyle name="Normal 2 27" xfId="8541"/>
    <cellStyle name="Normal 2 27 2" xfId="49058"/>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19" xfId="49064"/>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20" xfId="49063"/>
    <cellStyle name="Normal 2 3 2 2 2 2 3" xfId="8617"/>
    <cellStyle name="Normal 2 3 2 2 2 2 3 2" xfId="49065"/>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23" xfId="49062"/>
    <cellStyle name="Normal 2 3 2 2 2 3" xfId="8628"/>
    <cellStyle name="Normal 2 3 2 2 2 3 2" xfId="49066"/>
    <cellStyle name="Normal 2 3 2 2 2 4" xfId="8629"/>
    <cellStyle name="Normal 2 3 2 2 2 4 2" xfId="49067"/>
    <cellStyle name="Normal 2 3 2 2 2 5" xfId="8630"/>
    <cellStyle name="Normal 2 3 2 2 2 5 2" xfId="49068"/>
    <cellStyle name="Normal 2 3 2 2 2 6" xfId="8631"/>
    <cellStyle name="Normal 2 3 2 2 2 6 2" xfId="49069"/>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2 2" xfId="49071"/>
    <cellStyle name="Normal 2 3 2 2 3 3" xfId="8648"/>
    <cellStyle name="Normal 2 3 2 2 3 3 2" xfId="49072"/>
    <cellStyle name="Normal 2 3 2 2 3 4" xfId="49070"/>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 2" xfId="49073"/>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 2" xfId="49074"/>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 2" xfId="49075"/>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84" xfId="49061"/>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19" xfId="4907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20" xfId="49076"/>
    <cellStyle name="Normal 2 3 2 3 3" xfId="8766"/>
    <cellStyle name="Normal 2 3 2 3 3 2" xfId="49078"/>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 2" xfId="49079"/>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 2" xfId="49080"/>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 2" xfId="49081"/>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 2" xfId="49082"/>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85" xfId="49060"/>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19" xfId="49085"/>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20" xfId="49084"/>
    <cellStyle name="Normal 2 3 3 2 3" xfId="8902"/>
    <cellStyle name="Normal 2 3 3 2 3 2" xfId="49086"/>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 2" xfId="49087"/>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 2" xfId="49088"/>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 2" xfId="49089"/>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 2" xfId="49090"/>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84" xfId="49083"/>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19" xfId="49092"/>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 2" xfId="49093"/>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81" xfId="49091"/>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 2" xfId="49094"/>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 2" xfId="49095"/>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 2" xfId="49096"/>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85" xfId="49059"/>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81" xfId="49097"/>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83" xfId="49101"/>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19" xfId="49102"/>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85" xfId="49100"/>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83" xfId="4910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15" xfId="49104"/>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14" xfId="4910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 5" xfId="49106"/>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88" xfId="49099"/>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83" xfId="49108"/>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19" xfId="49109"/>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85" xfId="49107"/>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83" xfId="49110"/>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15" xfId="49111"/>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15" xfId="49112"/>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88" xfId="49098"/>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79" xfId="49113"/>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79" xfId="49114"/>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79" xfId="49115"/>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79" xfId="49116"/>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71" xfId="49117"/>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71" xfId="49118"/>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71" xfId="49119"/>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2 5" xfId="49802"/>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 8" xfId="49474"/>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2 5" xfId="50040"/>
    <cellStyle name="Normal 23 3 3" xfId="11447"/>
    <cellStyle name="Normal 23 3 4" xfId="11448"/>
    <cellStyle name="Normal 23 3 5" xfId="11449"/>
    <cellStyle name="Normal 23 3 6" xfId="11450"/>
    <cellStyle name="Normal 23 3 7" xfId="49633"/>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 5" xfId="49727"/>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71" xfId="49120"/>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 8" xfId="49397"/>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71" xfId="49372"/>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14" xfId="49123"/>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22" xfId="49122"/>
    <cellStyle name="Normal 3 10 3" xfId="12212"/>
    <cellStyle name="Normal 3 10 3 2" xfId="49124"/>
    <cellStyle name="Normal 3 10 4" xfId="12213"/>
    <cellStyle name="Normal 3 10 4 2" xfId="49125"/>
    <cellStyle name="Normal 3 10 5" xfId="12214"/>
    <cellStyle name="Normal 3 10 5 2" xfId="49126"/>
    <cellStyle name="Normal 3 10 6" xfId="12215"/>
    <cellStyle name="Normal 3 10 6 2" xfId="49127"/>
    <cellStyle name="Normal 3 10 7" xfId="12216"/>
    <cellStyle name="Normal 3 10 7 2" xfId="49128"/>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18" xfId="49129"/>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18" xfId="49130"/>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3 2" xfId="49131"/>
    <cellStyle name="Normal 3 14" xfId="12253"/>
    <cellStyle name="Normal 3 14 2" xfId="49132"/>
    <cellStyle name="Normal 3 15" xfId="12254"/>
    <cellStyle name="Normal 3 15 2" xfId="49133"/>
    <cellStyle name="Normal 3 16" xfId="12255"/>
    <cellStyle name="Normal 3 16 2" xfId="49134"/>
    <cellStyle name="Normal 3 17" xfId="12256"/>
    <cellStyle name="Normal 3 17 2" xfId="49135"/>
    <cellStyle name="Normal 3 18" xfId="12257"/>
    <cellStyle name="Normal 3 18 2" xfId="49136"/>
    <cellStyle name="Normal 3 19" xfId="12258"/>
    <cellStyle name="Normal 3 19 2" xfId="49137"/>
    <cellStyle name="Normal 3 2" xfId="89"/>
    <cellStyle name="Normal 3 2 10" xfId="12259"/>
    <cellStyle name="Normal 3 2 10 2" xfId="49139"/>
    <cellStyle name="Normal 3 2 11" xfId="12260"/>
    <cellStyle name="Normal 3 2 11 2" xfId="49140"/>
    <cellStyle name="Normal 3 2 12" xfId="12261"/>
    <cellStyle name="Normal 3 2 12 2" xfId="49141"/>
    <cellStyle name="Normal 3 2 13" xfId="12262"/>
    <cellStyle name="Normal 3 2 13 2" xfId="49142"/>
    <cellStyle name="Normal 3 2 14" xfId="12263"/>
    <cellStyle name="Normal 3 2 14 2" xfId="49143"/>
    <cellStyle name="Normal 3 2 15" xfId="12264"/>
    <cellStyle name="Normal 3 2 15 2" xfId="49144"/>
    <cellStyle name="Normal 3 2 16" xfId="12265"/>
    <cellStyle name="Normal 3 2 16 2" xfId="4914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 2 9" xfId="49147"/>
    <cellStyle name="Normal 3 2 2 3" xfId="49148"/>
    <cellStyle name="Normal 3 2 2 4" xfId="49149"/>
    <cellStyle name="Normal 3 2 2 5" xfId="49150"/>
    <cellStyle name="Normal 3 2 2 6" xfId="49151"/>
    <cellStyle name="Normal 3 2 2 7" xfId="49152"/>
    <cellStyle name="Normal 3 2 2 8" xfId="49146"/>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18" xfId="49153"/>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18" xfId="49154"/>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 2" xfId="4915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 2" xfId="491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 2" xfId="4915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79" xfId="49138"/>
    <cellStyle name="Normal 3 2 8" xfId="12377"/>
    <cellStyle name="Normal 3 2 8 2" xfId="49158"/>
    <cellStyle name="Normal 3 2 9" xfId="12378"/>
    <cellStyle name="Normal 3 2 9 2" xfId="49159"/>
    <cellStyle name="Normal 3 2_3.1.2 DB Pension Detail" xfId="12379"/>
    <cellStyle name="Normal 3 20" xfId="12380"/>
    <cellStyle name="Normal 3 20 2" xfId="4916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28" xfId="49162"/>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85" xfId="49161"/>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84" xfId="49163"/>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83" xfId="49164"/>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83" xfId="49165"/>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83" xfId="49166"/>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83" xfId="49167"/>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22" xfId="4916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 91" xfId="49121"/>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19" xfId="49174"/>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20" xfId="49173"/>
    <cellStyle name="Normal 4 2 2 2 2 3" xfId="14789"/>
    <cellStyle name="Normal 4 2 2 2 2 3 2" xfId="49175"/>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23" xfId="49172"/>
    <cellStyle name="Normal 4 2 2 2 3" xfId="14800"/>
    <cellStyle name="Normal 4 2 2 2 3 2" xfId="49176"/>
    <cellStyle name="Normal 4 2 2 2 4" xfId="14801"/>
    <cellStyle name="Normal 4 2 2 2 4 2" xfId="49177"/>
    <cellStyle name="Normal 4 2 2 2 5" xfId="14802"/>
    <cellStyle name="Normal 4 2 2 2 5 2" xfId="49178"/>
    <cellStyle name="Normal 4 2 2 2 6" xfId="14803"/>
    <cellStyle name="Normal 4 2 2 2 6 2" xfId="49179"/>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23" xfId="49171"/>
    <cellStyle name="Normal 4 2 2 3" xfId="14811"/>
    <cellStyle name="Normal 4 2 2 3 2" xfId="14812"/>
    <cellStyle name="Normal 4 2 2 3 2 2" xfId="49181"/>
    <cellStyle name="Normal 4 2 2 3 3" xfId="14813"/>
    <cellStyle name="Normal 4 2 2 3 3 2" xfId="49182"/>
    <cellStyle name="Normal 4 2 2 3 4" xfId="49180"/>
    <cellStyle name="Normal 4 2 2 3_ELEC SAP FCST UPLOAD" xfId="14814"/>
    <cellStyle name="Normal 4 2 2 4" xfId="14815"/>
    <cellStyle name="Normal 4 2 2 4 2" xfId="49183"/>
    <cellStyle name="Normal 4 2 2 5" xfId="14816"/>
    <cellStyle name="Normal 4 2 2 5 2" xfId="49184"/>
    <cellStyle name="Normal 4 2 2 6" xfId="14817"/>
    <cellStyle name="Normal 4 2 2 6 2" xfId="49185"/>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24" xfId="49170"/>
    <cellStyle name="Normal 4 2 3" xfId="99"/>
    <cellStyle name="Normal 4 2 3 2" xfId="14826"/>
    <cellStyle name="Normal 4 2 3 2 2" xfId="49187"/>
    <cellStyle name="Normal 4 2 3 3" xfId="14827"/>
    <cellStyle name="Normal 4 2 3 3 2" xfId="49188"/>
    <cellStyle name="Normal 4 2 3 4" xfId="49186"/>
    <cellStyle name="Normal 4 2 3_ELEC SAP FCST UPLOAD" xfId="14828"/>
    <cellStyle name="Normal 4 2 4" xfId="14829"/>
    <cellStyle name="Normal 4 2 4 2" xfId="49189"/>
    <cellStyle name="Normal 4 2 5" xfId="14830"/>
    <cellStyle name="Normal 4 2 5 2" xfId="49190"/>
    <cellStyle name="Normal 4 2 6" xfId="14831"/>
    <cellStyle name="Normal 4 2 6 2" xfId="49191"/>
    <cellStyle name="Normal 4 2 7" xfId="14832"/>
    <cellStyle name="Normal 4 2 7 2" xfId="4919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2 2" xfId="49195"/>
    <cellStyle name="Normal 4 3 2 3" xfId="14849"/>
    <cellStyle name="Normal 4 3 2 3 2" xfId="49196"/>
    <cellStyle name="Normal 4 3 2 4" xfId="49194"/>
    <cellStyle name="Normal 4 3 2_ELEC SAP FCST UPLOAD" xfId="14850"/>
    <cellStyle name="Normal 4 3 3" xfId="14851"/>
    <cellStyle name="Normal 4 3 3 2" xfId="49197"/>
    <cellStyle name="Normal 4 3 4" xfId="14852"/>
    <cellStyle name="Normal 4 3 4 2" xfId="49198"/>
    <cellStyle name="Normal 4 3 5" xfId="14853"/>
    <cellStyle name="Normal 4 3 5 2" xfId="49199"/>
    <cellStyle name="Normal 4 3 6" xfId="14854"/>
    <cellStyle name="Normal 4 3 6 2" xfId="49200"/>
    <cellStyle name="Normal 4 3 7" xfId="49193"/>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 2" xfId="49201"/>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 2" xfId="49202"/>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 2" xfId="49203"/>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4" xfId="49169"/>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19" xfId="49207"/>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20" xfId="49206"/>
    <cellStyle name="Normal 5 2 2 3" xfId="16117"/>
    <cellStyle name="Normal 5 2 2 3 2" xfId="49208"/>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23" xfId="49205"/>
    <cellStyle name="Normal 5 2 3" xfId="16128"/>
    <cellStyle name="Normal 5 2 3 2" xfId="49209"/>
    <cellStyle name="Normal 5 2 4" xfId="16129"/>
    <cellStyle name="Normal 5 2 4 2" xfId="49210"/>
    <cellStyle name="Normal 5 2 5" xfId="16130"/>
    <cellStyle name="Normal 5 2 5 2" xfId="49211"/>
    <cellStyle name="Normal 5 2 6" xfId="16131"/>
    <cellStyle name="Normal 5 2 6 2" xfId="49212"/>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 9" xfId="4921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 9" xfId="49214"/>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 9" xfId="49215"/>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85" xfId="49204"/>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86" xfId="49216"/>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79" xfId="49217"/>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80" xfId="49218"/>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26" xfId="49219"/>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 3" xfId="49220"/>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 U 2" xfId="492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2 4" xfId="50186"/>
    <cellStyle name="Note 2 2 2 3" xfId="18147"/>
    <cellStyle name="Note 2 2 2 3 2" xfId="18148"/>
    <cellStyle name="Note 2 2 2 3 3" xfId="51393"/>
    <cellStyle name="Note 2 2 2 4" xfId="18149"/>
    <cellStyle name="Note 2 2 2 4 2" xfId="18150"/>
    <cellStyle name="Note 2 2 2 5" xfId="18151"/>
    <cellStyle name="Note 2 2 2 6" xfId="49812"/>
    <cellStyle name="Note 2 2 3" xfId="18152"/>
    <cellStyle name="Note 2 2 3 2" xfId="18153"/>
    <cellStyle name="Note 2 2 3 2 2" xfId="18154"/>
    <cellStyle name="Note 2 2 3 2 2 2" xfId="18155"/>
    <cellStyle name="Note 2 2 3 2 3" xfId="18156"/>
    <cellStyle name="Note 2 2 3 3" xfId="18157"/>
    <cellStyle name="Note 2 2 3 4" xfId="50555"/>
    <cellStyle name="Note 2 2 4" xfId="18158"/>
    <cellStyle name="Note 2 2 4 2" xfId="18159"/>
    <cellStyle name="Note 2 2 4 3" xfId="51491"/>
    <cellStyle name="Note 2 2 5" xfId="18160"/>
    <cellStyle name="Note 2 2 5 2" xfId="18161"/>
    <cellStyle name="Note 2 2 6" xfId="18162"/>
    <cellStyle name="Note 2 2 6 2" xfId="18163"/>
    <cellStyle name="Note 2 2 6 2 2" xfId="18164"/>
    <cellStyle name="Note 2 2 6 3" xfId="18165"/>
    <cellStyle name="Note 2 2 7" xfId="18166"/>
    <cellStyle name="Note 2 2 8" xfId="49484"/>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2 2" xfId="50204"/>
    <cellStyle name="Note 2 3 2 3" xfId="51160"/>
    <cellStyle name="Note 2 3 2 4" xfId="49793"/>
    <cellStyle name="Note 2 3 3" xfId="18179"/>
    <cellStyle name="Note 2 3 3 2" xfId="50573"/>
    <cellStyle name="Note 2 3 4" xfId="51478"/>
    <cellStyle name="Note 2 3 5" xfId="49465"/>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2 2 2" xfId="50195"/>
    <cellStyle name="Note 2 4 2 3" xfId="51382"/>
    <cellStyle name="Note 2 4 2 4" xfId="49803"/>
    <cellStyle name="Note 2 4 3" xfId="18193"/>
    <cellStyle name="Note 2 4 3 2" xfId="50564"/>
    <cellStyle name="Note 2 4 4" xfId="50945"/>
    <cellStyle name="Note 2 4 5" xfId="49475"/>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2 3" xfId="50424"/>
    <cellStyle name="Note 2 5 3" xfId="18207"/>
    <cellStyle name="Note 2 5 3 2" xfId="50653"/>
    <cellStyle name="Note 2 5 4" xfId="49634"/>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 2 2" xfId="51084"/>
    <cellStyle name="Note 2 6 3" xfId="51331"/>
    <cellStyle name="Note 2 6 4" xfId="5003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 3" xfId="50758"/>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 3" xfId="50881"/>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 3" xfId="50983"/>
    <cellStyle name="Note 2 90" xfId="18256"/>
    <cellStyle name="Note 2 91" xfId="18257"/>
    <cellStyle name="Note 2 92" xfId="18258"/>
    <cellStyle name="Note 2 93" xfId="18259"/>
    <cellStyle name="Note 2 94" xfId="18260"/>
    <cellStyle name="Note 2 95" xfId="49222"/>
    <cellStyle name="Note 3" xfId="18261"/>
    <cellStyle name="Note 3 10" xfId="49464"/>
    <cellStyle name="Note 3 10 2" xfId="49792"/>
    <cellStyle name="Note 3 10 2 2" xfId="50205"/>
    <cellStyle name="Note 3 10 2 3" xfId="51530"/>
    <cellStyle name="Note 3 10 3" xfId="50574"/>
    <cellStyle name="Note 3 10 4" xfId="51222"/>
    <cellStyle name="Note 3 11" xfId="49476"/>
    <cellStyle name="Note 3 11 2" xfId="49804"/>
    <cellStyle name="Note 3 11 2 2" xfId="50194"/>
    <cellStyle name="Note 3 11 2 3" xfId="51621"/>
    <cellStyle name="Note 3 11 3" xfId="50563"/>
    <cellStyle name="Note 3 11 4" xfId="51233"/>
    <cellStyle name="Note 3 12" xfId="49635"/>
    <cellStyle name="Note 3 12 2" xfId="50987"/>
    <cellStyle name="Note 3 12 3" xfId="50649"/>
    <cellStyle name="Note 3 13" xfId="50038"/>
    <cellStyle name="Note 3 13 2" xfId="51083"/>
    <cellStyle name="Note 3 13 3" xfId="51563"/>
    <cellStyle name="Note 3 14" xfId="50757"/>
    <cellStyle name="Note 3 15" xfId="50952"/>
    <cellStyle name="Note 3 16" xfId="51139"/>
    <cellStyle name="Note 3 17" xfId="49223"/>
    <cellStyle name="Note 3 2" xfId="18262"/>
    <cellStyle name="Note 3 2 10" xfId="49224"/>
    <cellStyle name="Note 3 2 2" xfId="18263"/>
    <cellStyle name="Note 3 2 2 2" xfId="49814"/>
    <cellStyle name="Note 3 2 2 2 2" xfId="50185"/>
    <cellStyle name="Note 3 2 2 2 3" xfId="51273"/>
    <cellStyle name="Note 3 2 2 3" xfId="50553"/>
    <cellStyle name="Note 3 2 2 4" xfId="51454"/>
    <cellStyle name="Note 3 2 2 5" xfId="49486"/>
    <cellStyle name="Note 3 2 3" xfId="49463"/>
    <cellStyle name="Note 3 2 3 2" xfId="49791"/>
    <cellStyle name="Note 3 2 3 2 2" xfId="50206"/>
    <cellStyle name="Note 3 2 3 2 3" xfId="51272"/>
    <cellStyle name="Note 3 2 3 3" xfId="50575"/>
    <cellStyle name="Note 3 2 3 4" xfId="51457"/>
    <cellStyle name="Note 3 2 4" xfId="49477"/>
    <cellStyle name="Note 3 2 4 2" xfId="49805"/>
    <cellStyle name="Note 3 2 4 2 2" xfId="50193"/>
    <cellStyle name="Note 3 2 4 2 3" xfId="51136"/>
    <cellStyle name="Note 3 2 4 3" xfId="50562"/>
    <cellStyle name="Note 3 2 4 4" xfId="51490"/>
    <cellStyle name="Note 3 2 5" xfId="49636"/>
    <cellStyle name="Note 3 2 5 2" xfId="50900"/>
    <cellStyle name="Note 3 2 5 3" xfId="50650"/>
    <cellStyle name="Note 3 2 6" xfId="50037"/>
    <cellStyle name="Note 3 2 6 2" xfId="51082"/>
    <cellStyle name="Note 3 2 6 3" xfId="51306"/>
    <cellStyle name="Note 3 2 7" xfId="50756"/>
    <cellStyle name="Note 3 2 8" xfId="50904"/>
    <cellStyle name="Note 3 2 9" xfId="50772"/>
    <cellStyle name="Note 3 3" xfId="18264"/>
    <cellStyle name="Note 3 3 10" xfId="49225"/>
    <cellStyle name="Note 3 3 2" xfId="18265"/>
    <cellStyle name="Note 3 3 2 2" xfId="49815"/>
    <cellStyle name="Note 3 3 2 2 2" xfId="50184"/>
    <cellStyle name="Note 3 3 2 2 3" xfId="51531"/>
    <cellStyle name="Note 3 3 2 3" xfId="50552"/>
    <cellStyle name="Note 3 3 2 4" xfId="51352"/>
    <cellStyle name="Note 3 3 2 5" xfId="49487"/>
    <cellStyle name="Note 3 3 3" xfId="49462"/>
    <cellStyle name="Note 3 3 3 2" xfId="49790"/>
    <cellStyle name="Note 3 3 3 2 2" xfId="50207"/>
    <cellStyle name="Note 3 3 3 2 3" xfId="50879"/>
    <cellStyle name="Note 3 3 3 3" xfId="50576"/>
    <cellStyle name="Note 3 3 3 4" xfId="51199"/>
    <cellStyle name="Note 3 3 4" xfId="49478"/>
    <cellStyle name="Note 3 3 4 2" xfId="49806"/>
    <cellStyle name="Note 3 3 4 2 2" xfId="50192"/>
    <cellStyle name="Note 3 3 4 2 3" xfId="50894"/>
    <cellStyle name="Note 3 3 4 3" xfId="50561"/>
    <cellStyle name="Note 3 3 4 4" xfId="51197"/>
    <cellStyle name="Note 3 3 5" xfId="49637"/>
    <cellStyle name="Note 3 3 5 2" xfId="50925"/>
    <cellStyle name="Note 3 3 5 3" xfId="50651"/>
    <cellStyle name="Note 3 3 6" xfId="50036"/>
    <cellStyle name="Note 3 3 6 2" xfId="51081"/>
    <cellStyle name="Note 3 3 6 3" xfId="51156"/>
    <cellStyle name="Note 3 3 7" xfId="50755"/>
    <cellStyle name="Note 3 3 8" xfId="50981"/>
    <cellStyle name="Note 3 3 9" xfId="50786"/>
    <cellStyle name="Note 3 4" xfId="18266"/>
    <cellStyle name="Note 3 4 10" xfId="49226"/>
    <cellStyle name="Note 3 4 2" xfId="49488"/>
    <cellStyle name="Note 3 4 2 2" xfId="49816"/>
    <cellStyle name="Note 3 4 2 2 2" xfId="50183"/>
    <cellStyle name="Note 3 4 2 2 3" xfId="51159"/>
    <cellStyle name="Note 3 4 2 3" xfId="50551"/>
    <cellStyle name="Note 3 4 2 4" xfId="51646"/>
    <cellStyle name="Note 3 4 3" xfId="49461"/>
    <cellStyle name="Note 3 4 3 2" xfId="49789"/>
    <cellStyle name="Note 3 4 3 2 2" xfId="50208"/>
    <cellStyle name="Note 3 4 3 2 3" xfId="51616"/>
    <cellStyle name="Note 3 4 3 3" xfId="50577"/>
    <cellStyle name="Note 3 4 3 4" xfId="51488"/>
    <cellStyle name="Note 3 4 4" xfId="49479"/>
    <cellStyle name="Note 3 4 4 2" xfId="49807"/>
    <cellStyle name="Note 3 4 4 2 2" xfId="50191"/>
    <cellStyle name="Note 3 4 4 2 3" xfId="50965"/>
    <cellStyle name="Note 3 4 4 3" xfId="50560"/>
    <cellStyle name="Note 3 4 4 4" xfId="51455"/>
    <cellStyle name="Note 3 4 5" xfId="49638"/>
    <cellStyle name="Note 3 4 5 2" xfId="50859"/>
    <cellStyle name="Note 3 4 5 3" xfId="51372"/>
    <cellStyle name="Note 3 4 6" xfId="50035"/>
    <cellStyle name="Note 3 4 6 2" xfId="51080"/>
    <cellStyle name="Note 3 4 6 3" xfId="51129"/>
    <cellStyle name="Note 3 4 7" xfId="50754"/>
    <cellStyle name="Note 3 4 8" xfId="50792"/>
    <cellStyle name="Note 3 4 9" xfId="50759"/>
    <cellStyle name="Note 3 5" xfId="49227"/>
    <cellStyle name="Note 3 5 2" xfId="49489"/>
    <cellStyle name="Note 3 5 2 2" xfId="49817"/>
    <cellStyle name="Note 3 5 2 2 2" xfId="50182"/>
    <cellStyle name="Note 3 5 2 2 3" xfId="51419"/>
    <cellStyle name="Note 3 5 2 3" xfId="50550"/>
    <cellStyle name="Note 3 5 2 4" xfId="50958"/>
    <cellStyle name="Note 3 5 3" xfId="49460"/>
    <cellStyle name="Note 3 5 3 2" xfId="49788"/>
    <cellStyle name="Note 3 5 3 2 2" xfId="50209"/>
    <cellStyle name="Note 3 5 3 2 3" xfId="51390"/>
    <cellStyle name="Note 3 5 3 3" xfId="50578"/>
    <cellStyle name="Note 3 5 3 4" xfId="51231"/>
    <cellStyle name="Note 3 5 4" xfId="49480"/>
    <cellStyle name="Note 3 5 4 2" xfId="49808"/>
    <cellStyle name="Note 3 5 4 2 2" xfId="50190"/>
    <cellStyle name="Note 3 5 4 2 3" xfId="51274"/>
    <cellStyle name="Note 3 5 4 3" xfId="50559"/>
    <cellStyle name="Note 3 5 4 4" xfId="51351"/>
    <cellStyle name="Note 3 5 5" xfId="49639"/>
    <cellStyle name="Note 3 5 5 2" xfId="50928"/>
    <cellStyle name="Note 3 5 5 3" xfId="50664"/>
    <cellStyle name="Note 3 5 6" xfId="50034"/>
    <cellStyle name="Note 3 5 6 2" xfId="51079"/>
    <cellStyle name="Note 3 5 6 3" xfId="50932"/>
    <cellStyle name="Note 3 5 7" xfId="50753"/>
    <cellStyle name="Note 3 5 8" xfId="50867"/>
    <cellStyle name="Note 3 5 9" xfId="50982"/>
    <cellStyle name="Note 3 6" xfId="49228"/>
    <cellStyle name="Note 3 6 2" xfId="49490"/>
    <cellStyle name="Note 3 6 2 2" xfId="49818"/>
    <cellStyle name="Note 3 6 2 2 2" xfId="50181"/>
    <cellStyle name="Note 3 6 2 2 3" xfId="51330"/>
    <cellStyle name="Note 3 6 2 3" xfId="50549"/>
    <cellStyle name="Note 3 6 2 4" xfId="51235"/>
    <cellStyle name="Note 3 6 3" xfId="49459"/>
    <cellStyle name="Note 3 6 3 2" xfId="49787"/>
    <cellStyle name="Note 3 6 3 2 2" xfId="50210"/>
    <cellStyle name="Note 3 6 3 2 3" xfId="51557"/>
    <cellStyle name="Note 3 6 3 3" xfId="50579"/>
    <cellStyle name="Note 3 6 3 4" xfId="50805"/>
    <cellStyle name="Note 3 6 4" xfId="49481"/>
    <cellStyle name="Note 3 6 4 2" xfId="49809"/>
    <cellStyle name="Note 3 6 4 2 2" xfId="50189"/>
    <cellStyle name="Note 3 6 4 2 3" xfId="51532"/>
    <cellStyle name="Note 3 6 4 3" xfId="50558"/>
    <cellStyle name="Note 3 6 4 4" xfId="51647"/>
    <cellStyle name="Note 3 6 5" xfId="49640"/>
    <cellStyle name="Note 3 6 5 2" xfId="50862"/>
    <cellStyle name="Note 3 6 5 3" xfId="51210"/>
    <cellStyle name="Note 3 6 6" xfId="49963"/>
    <cellStyle name="Note 3 6 6 2" xfId="51008"/>
    <cellStyle name="Note 3 6 6 3" xfId="51547"/>
    <cellStyle name="Note 3 6 7" xfId="50752"/>
    <cellStyle name="Note 3 6 8" xfId="50942"/>
    <cellStyle name="Note 3 6 9" xfId="50929"/>
    <cellStyle name="Note 3 7" xfId="49229"/>
    <cellStyle name="Note 3 7 2" xfId="49491"/>
    <cellStyle name="Note 3 7 2 2" xfId="49819"/>
    <cellStyle name="Note 3 7 2 2 2" xfId="50180"/>
    <cellStyle name="Note 3 7 2 2 3" xfId="51586"/>
    <cellStyle name="Note 3 7 2 3" xfId="50548"/>
    <cellStyle name="Note 3 7 2 4" xfId="51492"/>
    <cellStyle name="Note 3 7 3" xfId="49458"/>
    <cellStyle name="Note 3 7 3 2" xfId="49786"/>
    <cellStyle name="Note 3 7 3 2 2" xfId="50211"/>
    <cellStyle name="Note 3 7 3 2 3" xfId="51300"/>
    <cellStyle name="Note 3 7 3 3" xfId="50580"/>
    <cellStyle name="Note 3 7 3 4" xfId="51649"/>
    <cellStyle name="Note 3 7 4" xfId="49482"/>
    <cellStyle name="Note 3 7 4 2" xfId="49810"/>
    <cellStyle name="Note 3 7 4 2 2" xfId="50188"/>
    <cellStyle name="Note 3 7 4 2 3" xfId="51299"/>
    <cellStyle name="Note 3 7 4 3" xfId="50557"/>
    <cellStyle name="Note 3 7 4 4" xfId="50886"/>
    <cellStyle name="Note 3 7 5" xfId="49641"/>
    <cellStyle name="Note 3 7 5 2" xfId="50923"/>
    <cellStyle name="Note 3 7 5 3" xfId="50764"/>
    <cellStyle name="Note 3 7 6" xfId="50049"/>
    <cellStyle name="Note 3 7 6 2" xfId="51093"/>
    <cellStyle name="Note 3 7 6 3" xfId="51600"/>
    <cellStyle name="Note 3 7 7" xfId="50751"/>
    <cellStyle name="Note 3 7 8" xfId="50882"/>
    <cellStyle name="Note 3 7 9" xfId="50652"/>
    <cellStyle name="Note 3 8" xfId="49230"/>
    <cellStyle name="Note 3 8 2" xfId="49492"/>
    <cellStyle name="Note 3 8 2 2" xfId="49820"/>
    <cellStyle name="Note 3 8 2 2 2" xfId="50179"/>
    <cellStyle name="Note 3 8 2 2 3" xfId="51669"/>
    <cellStyle name="Note 3 8 2 3" xfId="50547"/>
    <cellStyle name="Note 3 8 2 4" xfId="51195"/>
    <cellStyle name="Note 3 8 3" xfId="49457"/>
    <cellStyle name="Note 3 8 3 2" xfId="49785"/>
    <cellStyle name="Note 3 8 3 2 2" xfId="50212"/>
    <cellStyle name="Note 3 8 3 2 3" xfId="51529"/>
    <cellStyle name="Note 3 8 3 3" xfId="50581"/>
    <cellStyle name="Note 3 8 3 4" xfId="51348"/>
    <cellStyle name="Note 3 8 4" xfId="49483"/>
    <cellStyle name="Note 3 8 4 2" xfId="49811"/>
    <cellStyle name="Note 3 8 4 2 2" xfId="50187"/>
    <cellStyle name="Note 3 8 4 2 3" xfId="51556"/>
    <cellStyle name="Note 3 8 4 3" xfId="50556"/>
    <cellStyle name="Note 3 8 4 4" xfId="51234"/>
    <cellStyle name="Note 3 8 5" xfId="49642"/>
    <cellStyle name="Note 3 8 5 2" xfId="50858"/>
    <cellStyle name="Note 3 8 5 3" xfId="50782"/>
    <cellStyle name="Note 3 8 6" xfId="50033"/>
    <cellStyle name="Note 3 8 6 2" xfId="51078"/>
    <cellStyle name="Note 3 8 6 3" xfId="51128"/>
    <cellStyle name="Note 3 8 7" xfId="50750"/>
    <cellStyle name="Note 3 8 8" xfId="50953"/>
    <cellStyle name="Note 3 8 9" xfId="50761"/>
    <cellStyle name="Note 3 9" xfId="49485"/>
    <cellStyle name="Note 3 9 2" xfId="49813"/>
    <cellStyle name="Note 3 9 2 2" xfId="50066"/>
    <cellStyle name="Note 3 9 2 3" xfId="51666"/>
    <cellStyle name="Note 3 9 3" xfId="50554"/>
    <cellStyle name="Note 3 9 4" xfId="5119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2 4" xfId="50178"/>
    <cellStyle name="Output 2 2 2 3" xfId="18327"/>
    <cellStyle name="Output 2 2 2 3 2" xfId="18328"/>
    <cellStyle name="Output 2 2 2 3 3" xfId="51336"/>
    <cellStyle name="Output 2 2 2 4" xfId="18329"/>
    <cellStyle name="Output 2 2 2 4 2" xfId="18330"/>
    <cellStyle name="Output 2 2 2 5" xfId="18331"/>
    <cellStyle name="Output 2 2 2 6" xfId="49821"/>
    <cellStyle name="Output 2 2 3" xfId="18332"/>
    <cellStyle name="Output 2 2 3 2" xfId="18333"/>
    <cellStyle name="Output 2 2 3 2 2" xfId="18334"/>
    <cellStyle name="Output 2 2 3 2 2 2" xfId="18335"/>
    <cellStyle name="Output 2 2 3 2 3" xfId="18336"/>
    <cellStyle name="Output 2 2 3 3" xfId="18337"/>
    <cellStyle name="Output 2 2 3 4" xfId="50546"/>
    <cellStyle name="Output 2 2 4" xfId="18338"/>
    <cellStyle name="Output 2 2 4 2" xfId="18339"/>
    <cellStyle name="Output 2 2 4 3" xfId="51453"/>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 8" xfId="49493"/>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2 2" xfId="50213"/>
    <cellStyle name="Output 2 3 2 3" xfId="51271"/>
    <cellStyle name="Output 2 3 2 4" xfId="49784"/>
    <cellStyle name="Output 2 3 3" xfId="18359"/>
    <cellStyle name="Output 2 3 3 2" xfId="50582"/>
    <cellStyle name="Output 2 3 4" xfId="51477"/>
    <cellStyle name="Output 2 3 5" xfId="49456"/>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2 4" xfId="50423"/>
    <cellStyle name="Output 2 4 3" xfId="18376"/>
    <cellStyle name="Output 2 4 3 2" xfId="50763"/>
    <cellStyle name="Output 2 4 4" xfId="49643"/>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49" xfId="49231"/>
    <cellStyle name="Output 2 5" xfId="18386"/>
    <cellStyle name="Output 2 5 2" xfId="18387"/>
    <cellStyle name="Output 2 5 2 2" xfId="18388"/>
    <cellStyle name="Output 2 5 2 2 2" xfId="18389"/>
    <cellStyle name="Output 2 5 2 3" xfId="18390"/>
    <cellStyle name="Output 2 5 2 4" xfId="51077"/>
    <cellStyle name="Output 2 5 3" xfId="18391"/>
    <cellStyle name="Output 2 5 3 2" xfId="51127"/>
    <cellStyle name="Output 2 5 4" xfId="50032"/>
    <cellStyle name="Output 2 6" xfId="18392"/>
    <cellStyle name="Output 2 6 2" xfId="18393"/>
    <cellStyle name="Output 2 6 3" xfId="50749"/>
    <cellStyle name="Output 2 7" xfId="18394"/>
    <cellStyle name="Output 2 7 2" xfId="18395"/>
    <cellStyle name="Output 2 7 3" xfId="50905"/>
    <cellStyle name="Output 2 8" xfId="18396"/>
    <cellStyle name="Output 2 9" xfId="18397"/>
    <cellStyle name="Output 3" xfId="18398"/>
    <cellStyle name="Output 3 2" xfId="18399"/>
    <cellStyle name="Output 3 2 2" xfId="18400"/>
    <cellStyle name="Output 3 2 2 2" xfId="50177"/>
    <cellStyle name="Output 3 2 2 3" xfId="50746"/>
    <cellStyle name="Output 3 2 2 4" xfId="49822"/>
    <cellStyle name="Output 3 2 3" xfId="50545"/>
    <cellStyle name="Output 3 2 4" xfId="51223"/>
    <cellStyle name="Output 3 2 5" xfId="49494"/>
    <cellStyle name="Output 3 3" xfId="18401"/>
    <cellStyle name="Output 3 3 2" xfId="18402"/>
    <cellStyle name="Output 3 3 2 2" xfId="50214"/>
    <cellStyle name="Output 3 3 2 3" xfId="50846"/>
    <cellStyle name="Output 3 3 2 4" xfId="49783"/>
    <cellStyle name="Output 3 3 3" xfId="50583"/>
    <cellStyle name="Output 3 3 4" xfId="51221"/>
    <cellStyle name="Output 3 3 5" xfId="49455"/>
    <cellStyle name="Output 3 4" xfId="18403"/>
    <cellStyle name="Output 3 4 2" xfId="50422"/>
    <cellStyle name="Output 3 4 3" xfId="50781"/>
    <cellStyle name="Output 3 4 4" xfId="49644"/>
    <cellStyle name="Output 3 5" xfId="50031"/>
    <cellStyle name="Output 3 5 2" xfId="51076"/>
    <cellStyle name="Output 3 5 3" xfId="50863"/>
    <cellStyle name="Output 3 6" xfId="50748"/>
    <cellStyle name="Output 3 7" xfId="50980"/>
    <cellStyle name="Output 3 8" xfId="49232"/>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0 96" xfId="49233"/>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2 5" xfId="49234"/>
    <cellStyle name="Percent 13" xfId="18944"/>
    <cellStyle name="Percent 13 2" xfId="18945"/>
    <cellStyle name="Percent 13 3" xfId="18946"/>
    <cellStyle name="Percent 13 4" xfId="18947"/>
    <cellStyle name="Percent 13 5" xfId="49235"/>
    <cellStyle name="Percent 14" xfId="49236"/>
    <cellStyle name="Percent 15" xfId="48239"/>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18" xfId="48243"/>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65" xfId="49237"/>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39" xfId="49240"/>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40" xfId="49239"/>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39" xfId="49242"/>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40" xfId="49241"/>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39" xfId="49244"/>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40" xfId="49243"/>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47" xfId="49238"/>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34" xfId="49376"/>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40" xfId="49246"/>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40" xfId="49245"/>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34" xfId="49377"/>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40" xfId="48242"/>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34" xfId="49378"/>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40" xfId="49247"/>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angeName 2" xfId="49248"/>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39" xfId="49250"/>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40" xfId="49249"/>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39" xfId="49252"/>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40" xfId="49251"/>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34" xfId="49379"/>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40" xfId="49253"/>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39" xfId="49255"/>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40" xfId="49254"/>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39" xfId="49257"/>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40" xfId="49256"/>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39" xfId="49259"/>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40" xfId="49258"/>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34" xfId="49380"/>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40" xfId="49261"/>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41" xfId="49260"/>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2 2" xfId="50171"/>
    <cellStyle name="SAPBEXaggData 2 2 3" xfId="50778"/>
    <cellStyle name="SAPBEXaggData 2 2 4" xfId="49834"/>
    <cellStyle name="SAPBEXaggData 2 3" xfId="45513"/>
    <cellStyle name="SAPBEXaggData 2 3 2" xfId="50533"/>
    <cellStyle name="SAPBEXaggData 2 4" xfId="50977"/>
    <cellStyle name="SAPBEXaggData 2 5" xfId="49506"/>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 2" xfId="49782"/>
    <cellStyle name="SAPBEXaggData 3 2 2" xfId="50215"/>
    <cellStyle name="SAPBEXaggData 3 2 3" xfId="51617"/>
    <cellStyle name="SAPBEXaggData 3 3" xfId="50584"/>
    <cellStyle name="SAPBEXaggData 3 4" xfId="51458"/>
    <cellStyle name="SAPBEXaggData 3 5" xfId="49454"/>
    <cellStyle name="SAPBEXaggData 30" xfId="45525"/>
    <cellStyle name="SAPBEXaggData 31" xfId="45526"/>
    <cellStyle name="SAPBEXaggData 32" xfId="45527"/>
    <cellStyle name="SAPBEXaggData 33" xfId="49262"/>
    <cellStyle name="SAPBEXaggData 4" xfId="45528"/>
    <cellStyle name="SAPBEXaggData 4 2" xfId="49823"/>
    <cellStyle name="SAPBEXaggData 4 2 2" xfId="50176"/>
    <cellStyle name="SAPBEXaggData 4 2 3" xfId="50777"/>
    <cellStyle name="SAPBEXaggData 4 3" xfId="50544"/>
    <cellStyle name="SAPBEXaggData 4 4" xfId="51479"/>
    <cellStyle name="SAPBEXaggData 4 5" xfId="49495"/>
    <cellStyle name="SAPBEXaggData 5" xfId="45529"/>
    <cellStyle name="SAPBEXaggData 5 2" xfId="50421"/>
    <cellStyle name="SAPBEXaggData 5 3" xfId="50766"/>
    <cellStyle name="SAPBEXaggData 5 4" xfId="49645"/>
    <cellStyle name="SAPBEXaggData 6" xfId="45530"/>
    <cellStyle name="SAPBEXaggData 6 2" xfId="51075"/>
    <cellStyle name="SAPBEXaggData 6 3" xfId="51126"/>
    <cellStyle name="SAPBEXaggData 6 4" xfId="50030"/>
    <cellStyle name="SAPBEXaggData 7" xfId="45531"/>
    <cellStyle name="SAPBEXaggData 7 2" xfId="50743"/>
    <cellStyle name="SAPBEXaggData 8" xfId="45532"/>
    <cellStyle name="SAPBEXaggData 8 2" xfId="51467"/>
    <cellStyle name="SAPBEXaggData 9" xfId="45533"/>
    <cellStyle name="SAPBEXaggData 9 2" xfId="51211"/>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2 2" xfId="50170"/>
    <cellStyle name="SAPBEXaggDataEmph 2 2 3" xfId="50768"/>
    <cellStyle name="SAPBEXaggDataEmph 2 2 4" xfId="49835"/>
    <cellStyle name="SAPBEXaggDataEmph 2 3" xfId="45547"/>
    <cellStyle name="SAPBEXaggDataEmph 2 3 2" xfId="50532"/>
    <cellStyle name="SAPBEXaggDataEmph 2 4" xfId="50806"/>
    <cellStyle name="SAPBEXaggDataEmph 2 5" xfId="4950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 2" xfId="49781"/>
    <cellStyle name="SAPBEXaggDataEmph 3 2 2" xfId="50216"/>
    <cellStyle name="SAPBEXaggDataEmph 3 2 3" xfId="51389"/>
    <cellStyle name="SAPBEXaggDataEmph 3 3" xfId="50585"/>
    <cellStyle name="SAPBEXaggDataEmph 3 4" xfId="51200"/>
    <cellStyle name="SAPBEXaggDataEmph 3 5" xfId="49453"/>
    <cellStyle name="SAPBEXaggDataEmph 30" xfId="45559"/>
    <cellStyle name="SAPBEXaggDataEmph 31" xfId="45560"/>
    <cellStyle name="SAPBEXaggDataEmph 32" xfId="45561"/>
    <cellStyle name="SAPBEXaggDataEmph 33" xfId="49263"/>
    <cellStyle name="SAPBEXaggDataEmph 4" xfId="45562"/>
    <cellStyle name="SAPBEXaggDataEmph 4 2" xfId="49824"/>
    <cellStyle name="SAPBEXaggDataEmph 4 2 2" xfId="50175"/>
    <cellStyle name="SAPBEXaggDataEmph 4 2 3" xfId="50818"/>
    <cellStyle name="SAPBEXaggDataEmph 4 3" xfId="50543"/>
    <cellStyle name="SAPBEXaggDataEmph 4 4" xfId="51353"/>
    <cellStyle name="SAPBEXaggDataEmph 4 5" xfId="49496"/>
    <cellStyle name="SAPBEXaggDataEmph 5" xfId="45563"/>
    <cellStyle name="SAPBEXaggDataEmph 5 2" xfId="50420"/>
    <cellStyle name="SAPBEXaggDataEmph 5 3" xfId="50831"/>
    <cellStyle name="SAPBEXaggDataEmph 5 4" xfId="49646"/>
    <cellStyle name="SAPBEXaggDataEmph 6" xfId="45564"/>
    <cellStyle name="SAPBEXaggDataEmph 6 2" xfId="51074"/>
    <cellStyle name="SAPBEXaggDataEmph 6 3" xfId="51601"/>
    <cellStyle name="SAPBEXaggDataEmph 6 4" xfId="50029"/>
    <cellStyle name="SAPBEXaggDataEmph 7" xfId="45565"/>
    <cellStyle name="SAPBEXaggDataEmph 7 2" xfId="50742"/>
    <cellStyle name="SAPBEXaggDataEmph 8" xfId="45566"/>
    <cellStyle name="SAPBEXaggDataEmph 8 2" xfId="51212"/>
    <cellStyle name="SAPBEXaggDataEmph 9" xfId="45567"/>
    <cellStyle name="SAPBEXaggDataEmph 9 2" xfId="50774"/>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2 2" xfId="50169"/>
    <cellStyle name="SAPBEXaggItem 2 2 3" xfId="50784"/>
    <cellStyle name="SAPBEXaggItem 2 2 4" xfId="49836"/>
    <cellStyle name="SAPBEXaggItem 2 3" xfId="45581"/>
    <cellStyle name="SAPBEXaggItem 2 3 2" xfId="50531"/>
    <cellStyle name="SAPBEXaggItem 2 4" xfId="51237"/>
    <cellStyle name="SAPBEXaggItem 2 5" xfId="49508"/>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 2" xfId="49780"/>
    <cellStyle name="SAPBEXaggItem 3 2 2" xfId="50217"/>
    <cellStyle name="SAPBEXaggItem 3 2 3" xfId="51421"/>
    <cellStyle name="SAPBEXaggItem 3 3" xfId="50586"/>
    <cellStyle name="SAPBEXaggItem 3 4" xfId="51487"/>
    <cellStyle name="SAPBEXaggItem 3 5" xfId="49452"/>
    <cellStyle name="SAPBEXaggItem 30" xfId="45593"/>
    <cellStyle name="SAPBEXaggItem 31" xfId="45594"/>
    <cellStyle name="SAPBEXaggItem 32" xfId="45595"/>
    <cellStyle name="SAPBEXaggItem 33" xfId="49264"/>
    <cellStyle name="SAPBEXaggItem 4" xfId="45596"/>
    <cellStyle name="SAPBEXaggItem 4 2" xfId="49825"/>
    <cellStyle name="SAPBEXaggItem 4 2 2" xfId="50174"/>
    <cellStyle name="SAPBEXaggItem 4 2 3" xfId="50855"/>
    <cellStyle name="SAPBEXaggItem 4 3" xfId="50542"/>
    <cellStyle name="SAPBEXaggItem 4 4" xfId="51645"/>
    <cellStyle name="SAPBEXaggItem 4 5" xfId="49497"/>
    <cellStyle name="SAPBEXaggItem 5" xfId="45597"/>
    <cellStyle name="SAPBEXaggItem 5 2" xfId="50419"/>
    <cellStyle name="SAPBEXaggItem 5 3" xfId="51629"/>
    <cellStyle name="SAPBEXaggItem 5 4" xfId="49647"/>
    <cellStyle name="SAPBEXaggItem 6" xfId="45598"/>
    <cellStyle name="SAPBEXaggItem 6 2" xfId="51073"/>
    <cellStyle name="SAPBEXaggItem 6 3" xfId="50919"/>
    <cellStyle name="SAPBEXaggItem 6 4" xfId="50028"/>
    <cellStyle name="SAPBEXaggItem 7" xfId="45599"/>
    <cellStyle name="SAPBEXaggItem 7 2" xfId="50741"/>
    <cellStyle name="SAPBEXaggItem 8" xfId="45600"/>
    <cellStyle name="SAPBEXaggItem 8 2" xfId="51469"/>
    <cellStyle name="SAPBEXaggItem 9" xfId="45601"/>
    <cellStyle name="SAPBEXaggItem 9 2" xfId="51678"/>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2 2" xfId="50168"/>
    <cellStyle name="SAPBEXaggItemX 2 2 3" xfId="51668"/>
    <cellStyle name="SAPBEXaggItemX 2 2 4" xfId="49837"/>
    <cellStyle name="SAPBEXaggItemX 2 3" xfId="45615"/>
    <cellStyle name="SAPBEXaggItemX 2 3 2" xfId="50530"/>
    <cellStyle name="SAPBEXaggItemX 2 4" xfId="51494"/>
    <cellStyle name="SAPBEXaggItemX 2 5" xfId="49509"/>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 2" xfId="49779"/>
    <cellStyle name="SAPBEXaggItemX 3 2 2" xfId="50218"/>
    <cellStyle name="SAPBEXaggItemX 3 2 3" xfId="51161"/>
    <cellStyle name="SAPBEXaggItemX 3 3" xfId="50587"/>
    <cellStyle name="SAPBEXaggItemX 3 4" xfId="51230"/>
    <cellStyle name="SAPBEXaggItemX 3 5" xfId="49451"/>
    <cellStyle name="SAPBEXaggItemX 30" xfId="45627"/>
    <cellStyle name="SAPBEXaggItemX 31" xfId="45628"/>
    <cellStyle name="SAPBEXaggItemX 32" xfId="45629"/>
    <cellStyle name="SAPBEXaggItemX 33" xfId="49265"/>
    <cellStyle name="SAPBEXaggItemX 4" xfId="45630"/>
    <cellStyle name="SAPBEXaggItemX 4 2" xfId="50418"/>
    <cellStyle name="SAPBEXaggItemX 4 3" xfId="50663"/>
    <cellStyle name="SAPBEXaggItemX 4 4" xfId="49648"/>
    <cellStyle name="SAPBEXaggItemX 5" xfId="45631"/>
    <cellStyle name="SAPBEXaggItemX 5 2" xfId="51072"/>
    <cellStyle name="SAPBEXaggItemX 5 3" xfId="51414"/>
    <cellStyle name="SAPBEXaggItemX 5 4" xfId="50027"/>
    <cellStyle name="SAPBEXaggItemX 6" xfId="45632"/>
    <cellStyle name="SAPBEXaggItemX 6 2" xfId="50740"/>
    <cellStyle name="SAPBEXaggItemX 7" xfId="45633"/>
    <cellStyle name="SAPBEXaggItemX 7 2" xfId="51338"/>
    <cellStyle name="SAPBEXaggItemX 8" xfId="45634"/>
    <cellStyle name="SAPBEXaggItemX 9" xfId="45635"/>
    <cellStyle name="SAPBEXchaText" xfId="37"/>
    <cellStyle name="SAPBEXchaText 10" xfId="49266"/>
    <cellStyle name="SAPBEXchaText 2" xfId="45636"/>
    <cellStyle name="SAPBEXchaText 2 2" xfId="49838"/>
    <cellStyle name="SAPBEXchaText 2 2 2" xfId="50167"/>
    <cellStyle name="SAPBEXchaText 2 2 3" xfId="50817"/>
    <cellStyle name="SAPBEXchaText 2 3" xfId="50529"/>
    <cellStyle name="SAPBEXchaText 2 4" xfId="51193"/>
    <cellStyle name="SAPBEXchaText 2 5" xfId="49510"/>
    <cellStyle name="SAPBEXchaText 3" xfId="49450"/>
    <cellStyle name="SAPBEXchaText 3 2" xfId="49778"/>
    <cellStyle name="SAPBEXchaText 3 2 2" xfId="50219"/>
    <cellStyle name="SAPBEXchaText 3 2 3" xfId="51528"/>
    <cellStyle name="SAPBEXchaText 3 3" xfId="50588"/>
    <cellStyle name="SAPBEXchaText 3 4" xfId="50978"/>
    <cellStyle name="SAPBEXchaText 4" xfId="49498"/>
    <cellStyle name="SAPBEXchaText 4 2" xfId="49826"/>
    <cellStyle name="SAPBEXchaText 4 2 2" xfId="50173"/>
    <cellStyle name="SAPBEXchaText 4 2 3" xfId="50655"/>
    <cellStyle name="SAPBEXchaText 4 3" xfId="50541"/>
    <cellStyle name="SAPBEXchaText 4 4" xfId="50896"/>
    <cellStyle name="SAPBEXchaText 5" xfId="49649"/>
    <cellStyle name="SAPBEXchaText 5 2" xfId="50417"/>
    <cellStyle name="SAPBEXchaText 5 3" xfId="51468"/>
    <cellStyle name="SAPBEXchaText 6" xfId="50026"/>
    <cellStyle name="SAPBEXchaText 6 2" xfId="51071"/>
    <cellStyle name="SAPBEXchaText 6 3" xfId="51584"/>
    <cellStyle name="SAPBEXchaText 7" xfId="50739"/>
    <cellStyle name="SAPBEXchaText 8" xfId="51664"/>
    <cellStyle name="SAPBEXchaText 9" xfId="51680"/>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2 2" xfId="50166"/>
    <cellStyle name="SAPBEXexcBad7 2 2 3" xfId="50876"/>
    <cellStyle name="SAPBEXexcBad7 2 2 4" xfId="49839"/>
    <cellStyle name="SAPBEXexcBad7 2 3" xfId="45650"/>
    <cellStyle name="SAPBEXexcBad7 2 3 2" xfId="50528"/>
    <cellStyle name="SAPBEXexcBad7 2 4" xfId="51451"/>
    <cellStyle name="SAPBEXexcBad7 2 5" xfId="49511"/>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 2" xfId="49777"/>
    <cellStyle name="SAPBEXexcBad7 3 2 2" xfId="50220"/>
    <cellStyle name="SAPBEXexcBad7 3 2 3" xfId="51270"/>
    <cellStyle name="SAPBEXexcBad7 3 3" xfId="50589"/>
    <cellStyle name="SAPBEXexcBad7 3 4" xfId="51650"/>
    <cellStyle name="SAPBEXexcBad7 3 5" xfId="49449"/>
    <cellStyle name="SAPBEXexcBad7 30" xfId="45662"/>
    <cellStyle name="SAPBEXexcBad7 31" xfId="45663"/>
    <cellStyle name="SAPBEXexcBad7 32" xfId="45664"/>
    <cellStyle name="SAPBEXexcBad7 33" xfId="49267"/>
    <cellStyle name="SAPBEXexcBad7 4" xfId="45665"/>
    <cellStyle name="SAPBEXexcBad7 4 2" xfId="49827"/>
    <cellStyle name="SAPBEXexcBad7 4 2 2" xfId="50172"/>
    <cellStyle name="SAPBEXexcBad7 4 2 3" xfId="50832"/>
    <cellStyle name="SAPBEXexcBad7 4 3" xfId="50540"/>
    <cellStyle name="SAPBEXexcBad7 4 4" xfId="50967"/>
    <cellStyle name="SAPBEXexcBad7 4 5" xfId="49499"/>
    <cellStyle name="SAPBEXexcBad7 5" xfId="45666"/>
    <cellStyle name="SAPBEXexcBad7 5 2" xfId="50416"/>
    <cellStyle name="SAPBEXexcBad7 5 3" xfId="50765"/>
    <cellStyle name="SAPBEXexcBad7 5 4" xfId="49650"/>
    <cellStyle name="SAPBEXexcBad7 6" xfId="45667"/>
    <cellStyle name="SAPBEXexcBad7 6 2" xfId="51070"/>
    <cellStyle name="SAPBEXexcBad7 6 3" xfId="51327"/>
    <cellStyle name="SAPBEXexcBad7 6 4" xfId="50025"/>
    <cellStyle name="SAPBEXexcBad7 7" xfId="45668"/>
    <cellStyle name="SAPBEXexcBad7 7 2" xfId="50738"/>
    <cellStyle name="SAPBEXexcBad7 8" xfId="45669"/>
    <cellStyle name="SAPBEXexcBad7 8 2" xfId="50906"/>
    <cellStyle name="SAPBEXexcBad7 9" xfId="45670"/>
    <cellStyle name="SAPBEXexcBad7 9 2" xfId="50939"/>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2 2" xfId="50165"/>
    <cellStyle name="SAPBEXexcBad8 2 2 3" xfId="51276"/>
    <cellStyle name="SAPBEXexcBad8 2 2 4" xfId="49840"/>
    <cellStyle name="SAPBEXexcBad8 2 3" xfId="45684"/>
    <cellStyle name="SAPBEXexcBad8 2 3 2" xfId="50527"/>
    <cellStyle name="SAPBEXexcBad8 2 4" xfId="51355"/>
    <cellStyle name="SAPBEXexcBad8 2 5" xfId="49512"/>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 2" xfId="49776"/>
    <cellStyle name="SAPBEXexcBad8 3 2 2" xfId="50221"/>
    <cellStyle name="SAPBEXexcBad8 3 2 3" xfId="50816"/>
    <cellStyle name="SAPBEXexcBad8 3 3" xfId="50590"/>
    <cellStyle name="SAPBEXexcBad8 3 4" xfId="51347"/>
    <cellStyle name="SAPBEXexcBad8 3 5" xfId="49448"/>
    <cellStyle name="SAPBEXexcBad8 30" xfId="45696"/>
    <cellStyle name="SAPBEXexcBad8 31" xfId="45697"/>
    <cellStyle name="SAPBEXexcBad8 32" xfId="45698"/>
    <cellStyle name="SAPBEXexcBad8 33" xfId="49268"/>
    <cellStyle name="SAPBEXexcBad8 4" xfId="45699"/>
    <cellStyle name="SAPBEXexcBad8 4 2" xfId="49828"/>
    <cellStyle name="SAPBEXexcBad8 4 2 2" xfId="50836"/>
    <cellStyle name="SAPBEXexcBad8 4 2 3" xfId="51392"/>
    <cellStyle name="SAPBEXexcBad8 4 3" xfId="50539"/>
    <cellStyle name="SAPBEXexcBad8 4 4" xfId="51236"/>
    <cellStyle name="SAPBEXexcBad8 4 5" xfId="49500"/>
    <cellStyle name="SAPBEXexcBad8 5" xfId="45700"/>
    <cellStyle name="SAPBEXexcBad8 5 2" xfId="50415"/>
    <cellStyle name="SAPBEXexcBad8 5 3" xfId="50783"/>
    <cellStyle name="SAPBEXexcBad8 5 4" xfId="49651"/>
    <cellStyle name="SAPBEXexcBad8 6" xfId="45701"/>
    <cellStyle name="SAPBEXexcBad8 6 2" xfId="51069"/>
    <cellStyle name="SAPBEXexcBad8 6 3" xfId="51554"/>
    <cellStyle name="SAPBEXexcBad8 6 4" xfId="50024"/>
    <cellStyle name="SAPBEXexcBad8 7" xfId="45702"/>
    <cellStyle name="SAPBEXexcBad8 7 2" xfId="50737"/>
    <cellStyle name="SAPBEXexcBad8 8" xfId="45703"/>
    <cellStyle name="SAPBEXexcBad8 8 2" xfId="51215"/>
    <cellStyle name="SAPBEXexcBad8 9" xfId="45704"/>
    <cellStyle name="SAPBEXexcBad8 9 2" xfId="50760"/>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2 2" xfId="50164"/>
    <cellStyle name="SAPBEXexcBad9 2 2 3" xfId="51534"/>
    <cellStyle name="SAPBEXexcBad9 2 2 4" xfId="49841"/>
    <cellStyle name="SAPBEXexcBad9 2 3" xfId="45718"/>
    <cellStyle name="SAPBEXexcBad9 2 3 2" xfId="50526"/>
    <cellStyle name="SAPBEXexcBad9 2 4" xfId="51643"/>
    <cellStyle name="SAPBEXexcBad9 2 5" xfId="49513"/>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 2" xfId="49775"/>
    <cellStyle name="SAPBEXexcBad9 3 2 2" xfId="50222"/>
    <cellStyle name="SAPBEXexcBad9 3 2 3" xfId="51591"/>
    <cellStyle name="SAPBEXexcBad9 3 3" xfId="50591"/>
    <cellStyle name="SAPBEXexcBad9 3 4" xfId="51564"/>
    <cellStyle name="SAPBEXexcBad9 3 5" xfId="49447"/>
    <cellStyle name="SAPBEXexcBad9 30" xfId="45730"/>
    <cellStyle name="SAPBEXexcBad9 31" xfId="45731"/>
    <cellStyle name="SAPBEXexcBad9 32" xfId="45732"/>
    <cellStyle name="SAPBEXexcBad9 33" xfId="49269"/>
    <cellStyle name="SAPBEXexcBad9 4" xfId="45733"/>
    <cellStyle name="SAPBEXexcBad9 4 2" xfId="50414"/>
    <cellStyle name="SAPBEXexcBad9 4 3" xfId="50762"/>
    <cellStyle name="SAPBEXexcBad9 4 4" xfId="49652"/>
    <cellStyle name="SAPBEXexcBad9 5" xfId="45734"/>
    <cellStyle name="SAPBEXexcBad9 5 2" xfId="51068"/>
    <cellStyle name="SAPBEXexcBad9 5 3" xfId="51296"/>
    <cellStyle name="SAPBEXexcBad9 5 4" xfId="50023"/>
    <cellStyle name="SAPBEXexcBad9 6" xfId="45735"/>
    <cellStyle name="SAPBEXexcBad9 6 2" xfId="50736"/>
    <cellStyle name="SAPBEXexcBad9 7" xfId="45736"/>
    <cellStyle name="SAPBEXexcBad9 7 2" xfId="51472"/>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2 2" xfId="50849"/>
    <cellStyle name="SAPBEXexcCritical4 2 2 3" xfId="51308"/>
    <cellStyle name="SAPBEXexcCritical4 2 2 4" xfId="49842"/>
    <cellStyle name="SAPBEXexcCritical4 2 3" xfId="45752"/>
    <cellStyle name="SAPBEXexcCritical4 2 3 2" xfId="50525"/>
    <cellStyle name="SAPBEXexcCritical4 2 4" xfId="50946"/>
    <cellStyle name="SAPBEXexcCritical4 2 5" xfId="49514"/>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 2" xfId="49774"/>
    <cellStyle name="SAPBEXexcCritical4 3 2 2" xfId="50223"/>
    <cellStyle name="SAPBEXexcCritical4 3 2 3" xfId="51388"/>
    <cellStyle name="SAPBEXexcCritical4 3 3" xfId="50592"/>
    <cellStyle name="SAPBEXexcCritical4 3 4" xfId="51307"/>
    <cellStyle name="SAPBEXexcCritical4 3 5" xfId="49446"/>
    <cellStyle name="SAPBEXexcCritical4 30" xfId="45764"/>
    <cellStyle name="SAPBEXexcCritical4 31" xfId="45765"/>
    <cellStyle name="SAPBEXexcCritical4 32" xfId="45766"/>
    <cellStyle name="SAPBEXexcCritical4 33" xfId="49270"/>
    <cellStyle name="SAPBEXexcCritical4 4" xfId="45767"/>
    <cellStyle name="SAPBEXexcCritical4 4 2" xfId="49922"/>
    <cellStyle name="SAPBEXexcCritical4 4 2 2" xfId="50088"/>
    <cellStyle name="SAPBEXexcCritical4 4 2 3" xfId="51107"/>
    <cellStyle name="SAPBEXexcCritical4 4 3" xfId="50445"/>
    <cellStyle name="SAPBEXexcCritical4 4 4" xfId="51240"/>
    <cellStyle name="SAPBEXexcCritical4 4 5" xfId="49594"/>
    <cellStyle name="SAPBEXexcCritical4 5" xfId="45768"/>
    <cellStyle name="SAPBEXexcCritical4 5 2" xfId="50413"/>
    <cellStyle name="SAPBEXexcCritical4 5 3" xfId="50780"/>
    <cellStyle name="SAPBEXexcCritical4 5 4" xfId="49653"/>
    <cellStyle name="SAPBEXexcCritical4 6" xfId="45769"/>
    <cellStyle name="SAPBEXexcCritical4 6 2" xfId="51067"/>
    <cellStyle name="SAPBEXexcCritical4 6 3" xfId="51125"/>
    <cellStyle name="SAPBEXexcCritical4 6 4" xfId="50022"/>
    <cellStyle name="SAPBEXexcCritical4 7" xfId="45770"/>
    <cellStyle name="SAPBEXexcCritical4 7 2" xfId="50735"/>
    <cellStyle name="SAPBEXexcCritical4 8" xfId="45771"/>
    <cellStyle name="SAPBEXexcCritical4 8 2" xfId="51208"/>
    <cellStyle name="SAPBEXexcCritical4 9" xfId="45772"/>
    <cellStyle name="SAPBEXexcCritical4 9 2" xfId="51684"/>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2 2" xfId="50065"/>
    <cellStyle name="SAPBEXexcCritical5 2 2 3" xfId="51565"/>
    <cellStyle name="SAPBEXexcCritical5 2 2 4" xfId="49843"/>
    <cellStyle name="SAPBEXexcCritical5 2 3" xfId="45786"/>
    <cellStyle name="SAPBEXexcCritical5 2 3 2" xfId="50524"/>
    <cellStyle name="SAPBEXexcCritical5 2 4" xfId="50887"/>
    <cellStyle name="SAPBEXexcCritical5 2 5" xfId="49515"/>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 2" xfId="49773"/>
    <cellStyle name="SAPBEXexcCritical5 3 2 2" xfId="50224"/>
    <cellStyle name="SAPBEXexcCritical5 3 2 3" xfId="51422"/>
    <cellStyle name="SAPBEXexcCritical5 3 3" xfId="50593"/>
    <cellStyle name="SAPBEXexcCritical5 3 4" xfId="51459"/>
    <cellStyle name="SAPBEXexcCritical5 3 5" xfId="49445"/>
    <cellStyle name="SAPBEXexcCritical5 30" xfId="45798"/>
    <cellStyle name="SAPBEXexcCritical5 31" xfId="45799"/>
    <cellStyle name="SAPBEXexcCritical5 32" xfId="45800"/>
    <cellStyle name="SAPBEXexcCritical5 33" xfId="49271"/>
    <cellStyle name="SAPBEXexcCritical5 4" xfId="45801"/>
    <cellStyle name="SAPBEXexcCritical5 4 2" xfId="49923"/>
    <cellStyle name="SAPBEXexcCritical5 4 2 2" xfId="50826"/>
    <cellStyle name="SAPBEXexcCritical5 4 2 3" xfId="51154"/>
    <cellStyle name="SAPBEXexcCritical5 4 3" xfId="50444"/>
    <cellStyle name="SAPBEXexcCritical5 4 4" xfId="51497"/>
    <cellStyle name="SAPBEXexcCritical5 4 5" xfId="49595"/>
    <cellStyle name="SAPBEXexcCritical5 5" xfId="45802"/>
    <cellStyle name="SAPBEXexcCritical5 5 2" xfId="50412"/>
    <cellStyle name="SAPBEXexcCritical5 5 3" xfId="50767"/>
    <cellStyle name="SAPBEXexcCritical5 5 4" xfId="49654"/>
    <cellStyle name="SAPBEXexcCritical5 6" xfId="45803"/>
    <cellStyle name="SAPBEXexcCritical5 6 2" xfId="51066"/>
    <cellStyle name="SAPBEXexcCritical5 6 3" xfId="51124"/>
    <cellStyle name="SAPBEXexcCritical5 6 4" xfId="50021"/>
    <cellStyle name="SAPBEXexcCritical5 7" xfId="45804"/>
    <cellStyle name="SAPBEXexcCritical5 7 2" xfId="50734"/>
    <cellStyle name="SAPBEXexcCritical5 8" xfId="45805"/>
    <cellStyle name="SAPBEXexcCritical5 8 2" xfId="51466"/>
    <cellStyle name="SAPBEXexcCritical5 9" xfId="45806"/>
    <cellStyle name="SAPBEXexcCritical5 9 2" xfId="50791"/>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2 2" xfId="50163"/>
    <cellStyle name="SAPBEXexcCritical6 2 2 3" xfId="51395"/>
    <cellStyle name="SAPBEXexcCritical6 2 2 4" xfId="49844"/>
    <cellStyle name="SAPBEXexcCritical6 2 3" xfId="45820"/>
    <cellStyle name="SAPBEXexcCritical6 2 3 2" xfId="50523"/>
    <cellStyle name="SAPBEXexcCritical6 2 4" xfId="51239"/>
    <cellStyle name="SAPBEXexcCritical6 2 5" xfId="49516"/>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 2" xfId="49772"/>
    <cellStyle name="SAPBEXexcCritical6 3 2 2" xfId="50225"/>
    <cellStyle name="SAPBEXexcCritical6 3 2 3" xfId="51162"/>
    <cellStyle name="SAPBEXexcCritical6 3 3" xfId="50594"/>
    <cellStyle name="SAPBEXexcCritical6 3 4" xfId="51201"/>
    <cellStyle name="SAPBEXexcCritical6 3 5" xfId="49444"/>
    <cellStyle name="SAPBEXexcCritical6 30" xfId="45832"/>
    <cellStyle name="SAPBEXexcCritical6 31" xfId="45833"/>
    <cellStyle name="SAPBEXexcCritical6 32" xfId="45834"/>
    <cellStyle name="SAPBEXexcCritical6 33" xfId="49272"/>
    <cellStyle name="SAPBEXexcCritical6 4" xfId="45835"/>
    <cellStyle name="SAPBEXexcCritical6 4 2" xfId="49829"/>
    <cellStyle name="SAPBEXexcCritical6 4 2 2" xfId="50835"/>
    <cellStyle name="SAPBEXexcCritical6 4 2 3" xfId="50745"/>
    <cellStyle name="SAPBEXexcCritical6 4 3" xfId="50538"/>
    <cellStyle name="SAPBEXexcCritical6 4 4" xfId="51493"/>
    <cellStyle name="SAPBEXexcCritical6 4 5" xfId="49501"/>
    <cellStyle name="SAPBEXexcCritical6 5" xfId="45836"/>
    <cellStyle name="SAPBEXexcCritical6 5 2" xfId="50411"/>
    <cellStyle name="SAPBEXexcCritical6 5 3" xfId="50068"/>
    <cellStyle name="SAPBEXexcCritical6 5 4" xfId="49655"/>
    <cellStyle name="SAPBEXexcCritical6 6" xfId="45837"/>
    <cellStyle name="SAPBEXexcCritical6 6 2" xfId="51065"/>
    <cellStyle name="SAPBEXexcCritical6 6 3" xfId="51123"/>
    <cellStyle name="SAPBEXexcCritical6 6 4" xfId="50020"/>
    <cellStyle name="SAPBEXexcCritical6 7" xfId="45838"/>
    <cellStyle name="SAPBEXexcCritical6 7 2" xfId="50733"/>
    <cellStyle name="SAPBEXexcCritical6 8" xfId="45839"/>
    <cellStyle name="SAPBEXexcCritical6 8 2" xfId="51213"/>
    <cellStyle name="SAPBEXexcCritical6 9" xfId="45840"/>
    <cellStyle name="SAPBEXexcCritical6 9 2" xfId="50675"/>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2 2" xfId="50162"/>
    <cellStyle name="SAPBEXexcGood1 2 2 3" xfId="51615"/>
    <cellStyle name="SAPBEXexcGood1 2 2 4" xfId="49845"/>
    <cellStyle name="SAPBEXexcGood1 2 3" xfId="45854"/>
    <cellStyle name="SAPBEXexcGood1 2 3 2" xfId="50522"/>
    <cellStyle name="SAPBEXexcGood1 2 4" xfId="51496"/>
    <cellStyle name="SAPBEXexcGood1 2 5" xfId="49517"/>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 2" xfId="49771"/>
    <cellStyle name="SAPBEXexcGood1 3 2 2" xfId="50226"/>
    <cellStyle name="SAPBEXexcGood1 3 2 3" xfId="51527"/>
    <cellStyle name="SAPBEXexcGood1 3 3" xfId="50595"/>
    <cellStyle name="SAPBEXexcGood1 3 4" xfId="51486"/>
    <cellStyle name="SAPBEXexcGood1 3 5" xfId="49443"/>
    <cellStyle name="SAPBEXexcGood1 30" xfId="45866"/>
    <cellStyle name="SAPBEXexcGood1 31" xfId="45867"/>
    <cellStyle name="SAPBEXexcGood1 32" xfId="45868"/>
    <cellStyle name="SAPBEXexcGood1 33" xfId="49273"/>
    <cellStyle name="SAPBEXexcGood1 4" xfId="45869"/>
    <cellStyle name="SAPBEXexcGood1 4 2" xfId="49926"/>
    <cellStyle name="SAPBEXexcGood1 4 2 2" xfId="50825"/>
    <cellStyle name="SAPBEXexcGood1 4 2 3" xfId="51148"/>
    <cellStyle name="SAPBEXexcGood1 4 3" xfId="50441"/>
    <cellStyle name="SAPBEXexcGood1 4 4" xfId="51358"/>
    <cellStyle name="SAPBEXexcGood1 4 5" xfId="49598"/>
    <cellStyle name="SAPBEXexcGood1 5" xfId="45870"/>
    <cellStyle name="SAPBEXexcGood1 5 2" xfId="50410"/>
    <cellStyle name="SAPBEXexcGood1 5 3" xfId="50912"/>
    <cellStyle name="SAPBEXexcGood1 5 4" xfId="49656"/>
    <cellStyle name="SAPBEXexcGood1 6" xfId="45871"/>
    <cellStyle name="SAPBEXexcGood1 6 2" xfId="51064"/>
    <cellStyle name="SAPBEXexcGood1 6 3" xfId="51122"/>
    <cellStyle name="SAPBEXexcGood1 6 4" xfId="50019"/>
    <cellStyle name="SAPBEXexcGood1 7" xfId="45872"/>
    <cellStyle name="SAPBEXexcGood1 7 2" xfId="50732"/>
    <cellStyle name="SAPBEXexcGood1 8" xfId="45873"/>
    <cellStyle name="SAPBEXexcGood1 8 2" xfId="51470"/>
    <cellStyle name="SAPBEXexcGood1 9" xfId="45874"/>
    <cellStyle name="SAPBEXexcGood1 9 2" xfId="51681"/>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2 2" xfId="50161"/>
    <cellStyle name="SAPBEXexcGood2 2 2 3" xfId="50645"/>
    <cellStyle name="SAPBEXexcGood2 2 2 4" xfId="49846"/>
    <cellStyle name="SAPBEXexcGood2 2 3" xfId="45888"/>
    <cellStyle name="SAPBEXexcGood2 2 3 2" xfId="50521"/>
    <cellStyle name="SAPBEXexcGood2 2 4" xfId="51191"/>
    <cellStyle name="SAPBEXexcGood2 2 5" xfId="4951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 2" xfId="49770"/>
    <cellStyle name="SAPBEXexcGood2 3 2 2" xfId="50227"/>
    <cellStyle name="SAPBEXexcGood2 3 2 3" xfId="51269"/>
    <cellStyle name="SAPBEXexcGood2 3 3" xfId="50596"/>
    <cellStyle name="SAPBEXexcGood2 3 4" xfId="51229"/>
    <cellStyle name="SAPBEXexcGood2 3 5" xfId="49442"/>
    <cellStyle name="SAPBEXexcGood2 30" xfId="45900"/>
    <cellStyle name="SAPBEXexcGood2 31" xfId="45901"/>
    <cellStyle name="SAPBEXexcGood2 32" xfId="45902"/>
    <cellStyle name="SAPBEXexcGood2 33" xfId="49274"/>
    <cellStyle name="SAPBEXexcGood2 4" xfId="45903"/>
    <cellStyle name="SAPBEXexcGood2 4 2" xfId="49830"/>
    <cellStyle name="SAPBEXexcGood2 4 2 2" xfId="50837"/>
    <cellStyle name="SAPBEXexcGood2 4 2 3" xfId="51658"/>
    <cellStyle name="SAPBEXexcGood2 4 3" xfId="50537"/>
    <cellStyle name="SAPBEXexcGood2 4 4" xfId="51194"/>
    <cellStyle name="SAPBEXexcGood2 4 5" xfId="49502"/>
    <cellStyle name="SAPBEXexcGood2 5" xfId="45904"/>
    <cellStyle name="SAPBEXexcGood2 5 2" xfId="50409"/>
    <cellStyle name="SAPBEXexcGood2 5 3" xfId="51255"/>
    <cellStyle name="SAPBEXexcGood2 5 4" xfId="49657"/>
    <cellStyle name="SAPBEXexcGood2 6" xfId="45905"/>
    <cellStyle name="SAPBEXexcGood2 6 2" xfId="51063"/>
    <cellStyle name="SAPBEXexcGood2 6 3" xfId="51602"/>
    <cellStyle name="SAPBEXexcGood2 6 4" xfId="50018"/>
    <cellStyle name="SAPBEXexcGood2 7" xfId="45906"/>
    <cellStyle name="SAPBEXexcGood2 7 2" xfId="50731"/>
    <cellStyle name="SAPBEXexcGood2 8" xfId="45907"/>
    <cellStyle name="SAPBEXexcGood2 8 2" xfId="51339"/>
    <cellStyle name="SAPBEXexcGood2 9" xfId="45908"/>
    <cellStyle name="SAPBEXexcGood2 9 2" xfId="50744"/>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2 2" xfId="50160"/>
    <cellStyle name="SAPBEXexcGood3 2 2 3" xfId="51309"/>
    <cellStyle name="SAPBEXexcGood3 2 2 4" xfId="49847"/>
    <cellStyle name="SAPBEXexcGood3 2 3" xfId="45922"/>
    <cellStyle name="SAPBEXexcGood3 2 3 2" xfId="50520"/>
    <cellStyle name="SAPBEXexcGood3 2 4" xfId="51449"/>
    <cellStyle name="SAPBEXexcGood3 2 5" xfId="49519"/>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 2" xfId="49769"/>
    <cellStyle name="SAPBEXexcGood3 3 2 2" xfId="50228"/>
    <cellStyle name="SAPBEXexcGood3 3 2 3" xfId="50815"/>
    <cellStyle name="SAPBEXexcGood3 3 3" xfId="50597"/>
    <cellStyle name="SAPBEXexcGood3 3 4" xfId="50909"/>
    <cellStyle name="SAPBEXexcGood3 3 5" xfId="49441"/>
    <cellStyle name="SAPBEXexcGood3 30" xfId="45934"/>
    <cellStyle name="SAPBEXexcGood3 31" xfId="45935"/>
    <cellStyle name="SAPBEXexcGood3 32" xfId="45936"/>
    <cellStyle name="SAPBEXexcGood3 33" xfId="49275"/>
    <cellStyle name="SAPBEXexcGood3 4" xfId="45937"/>
    <cellStyle name="SAPBEXexcGood3 4 2" xfId="49831"/>
    <cellStyle name="SAPBEXexcGood3 4 2 2" xfId="50834"/>
    <cellStyle name="SAPBEXexcGood3 4 2 3" xfId="50659"/>
    <cellStyle name="SAPBEXexcGood3 4 3" xfId="50536"/>
    <cellStyle name="SAPBEXexcGood3 4 4" xfId="51452"/>
    <cellStyle name="SAPBEXexcGood3 4 5" xfId="49503"/>
    <cellStyle name="SAPBEXexcGood3 5" xfId="45938"/>
    <cellStyle name="SAPBEXexcGood3 5 2" xfId="50408"/>
    <cellStyle name="SAPBEXexcGood3 5 3" xfId="51512"/>
    <cellStyle name="SAPBEXexcGood3 5 4" xfId="49658"/>
    <cellStyle name="SAPBEXexcGood3 6" xfId="45939"/>
    <cellStyle name="SAPBEXexcGood3 6 2" xfId="51062"/>
    <cellStyle name="SAPBEXexcGood3 6 3" xfId="51413"/>
    <cellStyle name="SAPBEXexcGood3 6 4" xfId="50017"/>
    <cellStyle name="SAPBEXexcGood3 7" xfId="45940"/>
    <cellStyle name="SAPBEXexcGood3 7 2" xfId="50730"/>
    <cellStyle name="SAPBEXexcGood3 8" xfId="45941"/>
    <cellStyle name="SAPBEXexcGood3 8 2" xfId="51657"/>
    <cellStyle name="SAPBEXexcGood3 9" xfId="45942"/>
    <cellStyle name="SAPBEXexcGood3 9 2" xfId="50921"/>
    <cellStyle name="SAPBEXexcGood3_SGN 10a Business Plan 2010v14 used for CF model v2" xfId="45943"/>
    <cellStyle name="SAPBEXfilterDrill" xfId="47"/>
    <cellStyle name="SAPBEXfilterDrill 2" xfId="45944"/>
    <cellStyle name="SAPBEXfilterDrill 2 2" xfId="49848"/>
    <cellStyle name="SAPBEXfilterDrill 2 2 2" xfId="50159"/>
    <cellStyle name="SAPBEXfilterDrill 2 2 3" xfId="51566"/>
    <cellStyle name="SAPBEXfilterDrill 2 3" xfId="50519"/>
    <cellStyle name="SAPBEXfilterDrill 2 4" xfId="51357"/>
    <cellStyle name="SAPBEXfilterDrill 2 5" xfId="49520"/>
    <cellStyle name="SAPBEXfilterDrill 3" xfId="49440"/>
    <cellStyle name="SAPBEXfilterDrill 3 2" xfId="49768"/>
    <cellStyle name="SAPBEXfilterDrill 3 2 2" xfId="50229"/>
    <cellStyle name="SAPBEXfilterDrill 3 2 3" xfId="51618"/>
    <cellStyle name="SAPBEXfilterDrill 3 3" xfId="50598"/>
    <cellStyle name="SAPBEXfilterDrill 3 4" xfId="51651"/>
    <cellStyle name="SAPBEXfilterDrill 4" xfId="49659"/>
    <cellStyle name="SAPBEXfilterDrill 4 2" xfId="50407"/>
    <cellStyle name="SAPBEXfilterDrill 4 3" xfId="51175"/>
    <cellStyle name="SAPBEXfilterDrill 5" xfId="50016"/>
    <cellStyle name="SAPBEXfilterDrill 5 2" xfId="51061"/>
    <cellStyle name="SAPBEXfilterDrill 5 3" xfId="51590"/>
    <cellStyle name="SAPBEXfilterDrill 6" xfId="50729"/>
    <cellStyle name="SAPBEXfilterDrill 7" xfId="51214"/>
    <cellStyle name="SAPBEXfilterDrill 8" xfId="49276"/>
    <cellStyle name="SAPBEXfilterDrill_SGN 10a Business Plan 2010v14 used for CF model v2" xfId="45945"/>
    <cellStyle name="SAPBEXfilterItem" xfId="48"/>
    <cellStyle name="SAPBEXfilterItem 2" xfId="45946"/>
    <cellStyle name="SAPBEXfilterItem 2 2" xfId="49849"/>
    <cellStyle name="SAPBEXfilterItem 2 2 2" xfId="50158"/>
    <cellStyle name="SAPBEXfilterItem 2 2 3" xfId="51396"/>
    <cellStyle name="SAPBEXfilterItem 2 3" xfId="50518"/>
    <cellStyle name="SAPBEXfilterItem 2 4" xfId="51641"/>
    <cellStyle name="SAPBEXfilterItem 2 5" xfId="49521"/>
    <cellStyle name="SAPBEXfilterItem 3" xfId="49439"/>
    <cellStyle name="SAPBEXfilterItem 3 2" xfId="49767"/>
    <cellStyle name="SAPBEXfilterItem 3 2 2" xfId="50230"/>
    <cellStyle name="SAPBEXfilterItem 3 2 3" xfId="51387"/>
    <cellStyle name="SAPBEXfilterItem 3 3" xfId="50599"/>
    <cellStyle name="SAPBEXfilterItem 3 4" xfId="51346"/>
    <cellStyle name="SAPBEXfilterItem 4" xfId="49660"/>
    <cellStyle name="SAPBEXfilterItem 4 2" xfId="50406"/>
    <cellStyle name="SAPBEXfilterItem 4 3" xfId="51434"/>
    <cellStyle name="SAPBEXfilterItem 5" xfId="50015"/>
    <cellStyle name="SAPBEXfilterItem 5 2" xfId="51060"/>
    <cellStyle name="SAPBEXfilterItem 5 3" xfId="51335"/>
    <cellStyle name="SAPBEXfilterItem 6" xfId="50728"/>
    <cellStyle name="SAPBEXfilterItem 7" xfId="51471"/>
    <cellStyle name="SAPBEXfilterItem 8" xfId="49277"/>
    <cellStyle name="SAPBEXfilterItem_SGN 10a Business Plan 2010v14 used for CF model v2" xfId="45947"/>
    <cellStyle name="SAPBEXfilterText" xfId="49"/>
    <cellStyle name="SAPBEXfilterText 2" xfId="45948"/>
    <cellStyle name="SAPBEXfilterText 2 2" xfId="49850"/>
    <cellStyle name="SAPBEXfilterText 2 2 2" xfId="50157"/>
    <cellStyle name="SAPBEXfilterText 2 2 3" xfId="51614"/>
    <cellStyle name="SAPBEXfilterText 2 3" xfId="50517"/>
    <cellStyle name="SAPBEXfilterText 2 4" xfId="51238"/>
    <cellStyle name="SAPBEXfilterText 2 5" xfId="49522"/>
    <cellStyle name="SAPBEXfilterText 3" xfId="49438"/>
    <cellStyle name="SAPBEXfilterText 3 2" xfId="49766"/>
    <cellStyle name="SAPBEXfilterText 3 2 2" xfId="50231"/>
    <cellStyle name="SAPBEXfilterText 3 2 3" xfId="51423"/>
    <cellStyle name="SAPBEXfilterText 3 3" xfId="50600"/>
    <cellStyle name="SAPBEXfilterText 3 4" xfId="51476"/>
    <cellStyle name="SAPBEXfilterText 4" xfId="49661"/>
    <cellStyle name="SAPBEXfilterText 4 2" xfId="50405"/>
    <cellStyle name="SAPBEXfilterText 4 3" xfId="51373"/>
    <cellStyle name="SAPBEXfilterText 5" xfId="50014"/>
    <cellStyle name="SAPBEXfilterText 5 2" xfId="51059"/>
    <cellStyle name="SAPBEXfilterText 5 3" xfId="51583"/>
    <cellStyle name="SAPBEXfilterText 6" xfId="50727"/>
    <cellStyle name="SAPBEXfilterText 7" xfId="50979"/>
    <cellStyle name="SAPBEXfilterText 8" xfId="4927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2 2" xfId="50156"/>
    <cellStyle name="SAPBEXformats 2 2 3" xfId="50949"/>
    <cellStyle name="SAPBEXformats 2 2 4" xfId="49851"/>
    <cellStyle name="SAPBEXformats 2 3" xfId="45962"/>
    <cellStyle name="SAPBEXformats 2 3 2" xfId="50516"/>
    <cellStyle name="SAPBEXformats 2 4" xfId="51495"/>
    <cellStyle name="SAPBEXformats 2 5" xfId="49523"/>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 2" xfId="49765"/>
    <cellStyle name="SAPBEXformats 3 2 2" xfId="50232"/>
    <cellStyle name="SAPBEXformats 3 2 3" xfId="51163"/>
    <cellStyle name="SAPBEXformats 3 3" xfId="50601"/>
    <cellStyle name="SAPBEXformats 3 4" xfId="51220"/>
    <cellStyle name="SAPBEXformats 3 5" xfId="49437"/>
    <cellStyle name="SAPBEXformats 30" xfId="45974"/>
    <cellStyle name="SAPBEXformats 31" xfId="45975"/>
    <cellStyle name="SAPBEXformats 32" xfId="45976"/>
    <cellStyle name="SAPBEXformats 33" xfId="49279"/>
    <cellStyle name="SAPBEXformats 4" xfId="45977"/>
    <cellStyle name="SAPBEXformats 4 2" xfId="49832"/>
    <cellStyle name="SAPBEXformats 4 2 2" xfId="50847"/>
    <cellStyle name="SAPBEXformats 4 2 3" xfId="50776"/>
    <cellStyle name="SAPBEXformats 4 3" xfId="50535"/>
    <cellStyle name="SAPBEXformats 4 4" xfId="51354"/>
    <cellStyle name="SAPBEXformats 4 5" xfId="49504"/>
    <cellStyle name="SAPBEXformats 5" xfId="45978"/>
    <cellStyle name="SAPBEXformats 5 2" xfId="50404"/>
    <cellStyle name="SAPBEXformats 5 3" xfId="51628"/>
    <cellStyle name="SAPBEXformats 5 4" xfId="49662"/>
    <cellStyle name="SAPBEXformats 6" xfId="45979"/>
    <cellStyle name="SAPBEXformats 6 2" xfId="51058"/>
    <cellStyle name="SAPBEXformats 6 3" xfId="51326"/>
    <cellStyle name="SAPBEXformats 6 4" xfId="50013"/>
    <cellStyle name="SAPBEXformats 7" xfId="45980"/>
    <cellStyle name="SAPBEXformats 7 2" xfId="50726"/>
    <cellStyle name="SAPBEXformats 8" xfId="45981"/>
    <cellStyle name="SAPBEXformats 8 2" xfId="51216"/>
    <cellStyle name="SAPBEXformats 9" xfId="45982"/>
    <cellStyle name="SAPBEXformats 9 2" xfId="50779"/>
    <cellStyle name="SAPBEXformats_SGN 10a Business Plan 2010v14 used for CF model v2" xfId="45983"/>
    <cellStyle name="SAPBEXheaderItem" xfId="51"/>
    <cellStyle name="SAPBEXheaderItem 2" xfId="45984"/>
    <cellStyle name="SAPBEXheaderItem 3" xfId="49524"/>
    <cellStyle name="SAPBEXheaderItem 3 2" xfId="49852"/>
    <cellStyle name="SAPBEXheaderItem 3 2 2" xfId="50155"/>
    <cellStyle name="SAPBEXheaderItem 3 2 3" xfId="51278"/>
    <cellStyle name="SAPBEXheaderItem 3 3" xfId="50515"/>
    <cellStyle name="SAPBEXheaderItem 3 4" xfId="51192"/>
    <cellStyle name="SAPBEXheaderItem 4" xfId="49436"/>
    <cellStyle name="SAPBEXheaderItem 4 2" xfId="49764"/>
    <cellStyle name="SAPBEXheaderItem 4 2 2" xfId="50233"/>
    <cellStyle name="SAPBEXheaderItem 4 2 3" xfId="51526"/>
    <cellStyle name="SAPBEXheaderItem 4 3" xfId="50602"/>
    <cellStyle name="SAPBEXheaderItem 4 4" xfId="51460"/>
    <cellStyle name="SAPBEXheaderItem 5" xfId="49663"/>
    <cellStyle name="SAPBEXheaderItem 5 2" xfId="50403"/>
    <cellStyle name="SAPBEXheaderItem 5 3" xfId="50974"/>
    <cellStyle name="SAPBEXheaderItem 6" xfId="50012"/>
    <cellStyle name="SAPBEXheaderItem 6 2" xfId="51057"/>
    <cellStyle name="SAPBEXheaderItem 6 3" xfId="51553"/>
    <cellStyle name="SAPBEXheaderItem 7" xfId="50725"/>
    <cellStyle name="SAPBEXheaderItem 8" xfId="51473"/>
    <cellStyle name="SAPBEXheaderItem 9" xfId="49280"/>
    <cellStyle name="SAPBEXheaderItem_0910 GSO Capex RRP - Final (Detail) v2 220710" xfId="45985"/>
    <cellStyle name="SAPBEXheaderText" xfId="52"/>
    <cellStyle name="SAPBEXheaderText 2" xfId="45986"/>
    <cellStyle name="SAPBEXheaderText 3" xfId="49525"/>
    <cellStyle name="SAPBEXheaderText 3 2" xfId="49853"/>
    <cellStyle name="SAPBEXheaderText 3 2 2" xfId="50067"/>
    <cellStyle name="SAPBEXheaderText 3 2 3" xfId="51536"/>
    <cellStyle name="SAPBEXheaderText 3 3" xfId="50514"/>
    <cellStyle name="SAPBEXheaderText 3 4" xfId="51450"/>
    <cellStyle name="SAPBEXheaderText 4" xfId="49435"/>
    <cellStyle name="SAPBEXheaderText 4 2" xfId="49763"/>
    <cellStyle name="SAPBEXheaderText 4 2 2" xfId="50234"/>
    <cellStyle name="SAPBEXheaderText 4 2 3" xfId="51268"/>
    <cellStyle name="SAPBEXheaderText 4 3" xfId="50603"/>
    <cellStyle name="SAPBEXheaderText 4 4" xfId="51202"/>
    <cellStyle name="SAPBEXheaderText 5" xfId="49664"/>
    <cellStyle name="SAPBEXheaderText 5 2" xfId="50402"/>
    <cellStyle name="SAPBEXheaderText 5 3" xfId="51256"/>
    <cellStyle name="SAPBEXheaderText 6" xfId="50011"/>
    <cellStyle name="SAPBEXheaderText 6 2" xfId="51056"/>
    <cellStyle name="SAPBEXheaderText 6 3" xfId="51295"/>
    <cellStyle name="SAPBEXheaderText 7" xfId="50724"/>
    <cellStyle name="SAPBEXheaderText 8" xfId="51340"/>
    <cellStyle name="SAPBEXheaderText 9" xfId="49281"/>
    <cellStyle name="SAPBEXheaderText_0910 GSO Capex RRP - Final (Detail) v2 220710" xfId="45987"/>
    <cellStyle name="SAPBEXHLevel0" xfId="53"/>
    <cellStyle name="SAPBEXHLevel0 10" xfId="45988"/>
    <cellStyle name="SAPBEXHLevel0 10 2" xfId="50771"/>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2 2" xfId="50154"/>
    <cellStyle name="SAPBEXHLevel0 2 2 2 3" xfId="51567"/>
    <cellStyle name="SAPBEXHLevel0 2 2 2 4" xfId="49855"/>
    <cellStyle name="SAPBEXHLevel0 2 2 3" xfId="46011"/>
    <cellStyle name="SAPBEXHLevel0 2 2 3 2" xfId="50512"/>
    <cellStyle name="SAPBEXHLevel0 2 2 4" xfId="51480"/>
    <cellStyle name="SAPBEXHLevel0 2 2 5" xfId="49527"/>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 2 2" xfId="50236"/>
    <cellStyle name="SAPBEXHLevel0 2 3 2 3" xfId="51619"/>
    <cellStyle name="SAPBEXHLevel0 2 3 2 4" xfId="49761"/>
    <cellStyle name="SAPBEXHLevel0 2 3 3" xfId="50605"/>
    <cellStyle name="SAPBEXHLevel0 2 3 4" xfId="51228"/>
    <cellStyle name="SAPBEXHLevel0 2 3 5" xfId="49433"/>
    <cellStyle name="SAPBEXHLevel0 2 30" xfId="46024"/>
    <cellStyle name="SAPBEXHLevel0 2 31" xfId="46025"/>
    <cellStyle name="SAPBEXHLevel0 2 32" xfId="46026"/>
    <cellStyle name="SAPBEXHLevel0 2 33" xfId="49283"/>
    <cellStyle name="SAPBEXHLevel0 2 4" xfId="46027"/>
    <cellStyle name="SAPBEXHLevel0 2 4 2" xfId="46028"/>
    <cellStyle name="SAPBEXHLevel0 2 4 2 2" xfId="50400"/>
    <cellStyle name="SAPBEXHLevel0 2 4 3" xfId="51302"/>
    <cellStyle name="SAPBEXHLevel0 2 4 4" xfId="49666"/>
    <cellStyle name="SAPBEXHLevel0 2 5" xfId="46029"/>
    <cellStyle name="SAPBEXHLevel0 2 5 2" xfId="46030"/>
    <cellStyle name="SAPBEXHLevel0 2 5 2 2" xfId="51054"/>
    <cellStyle name="SAPBEXHLevel0 2 5 3" xfId="51120"/>
    <cellStyle name="SAPBEXHLevel0 2 5 4" xfId="50009"/>
    <cellStyle name="SAPBEXHLevel0 2 6" xfId="46031"/>
    <cellStyle name="SAPBEXHLevel0 2 6 2" xfId="46032"/>
    <cellStyle name="SAPBEXHLevel0 2 6 3" xfId="50722"/>
    <cellStyle name="SAPBEXHLevel0 2 7" xfId="46033"/>
    <cellStyle name="SAPBEXHLevel0 2 7 2" xfId="46034"/>
    <cellStyle name="SAPBEXHLevel0 2 7 3" xfId="5147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2 2" xfId="50069"/>
    <cellStyle name="SAPBEXHLevel0 3 2 3" xfId="51310"/>
    <cellStyle name="SAPBEXHLevel0 3 2 4" xfId="49854"/>
    <cellStyle name="SAPBEXHLevel0 3 3" xfId="46050"/>
    <cellStyle name="SAPBEXHLevel0 3 3 2" xfId="50513"/>
    <cellStyle name="SAPBEXHLevel0 3 4" xfId="51224"/>
    <cellStyle name="SAPBEXHLevel0 3 5" xfId="49526"/>
    <cellStyle name="SAPBEXHLevel0 30" xfId="46051"/>
    <cellStyle name="SAPBEXHLevel0 31" xfId="46052"/>
    <cellStyle name="SAPBEXHLevel0 32" xfId="46053"/>
    <cellStyle name="SAPBEXHLevel0 33" xfId="46054"/>
    <cellStyle name="SAPBEXHLevel0 34" xfId="49282"/>
    <cellStyle name="SAPBEXHLevel0 4" xfId="46055"/>
    <cellStyle name="SAPBEXHLevel0 4 2" xfId="46056"/>
    <cellStyle name="SAPBEXHLevel0 4 2 2" xfId="50235"/>
    <cellStyle name="SAPBEXHLevel0 4 2 3" xfId="50814"/>
    <cellStyle name="SAPBEXHLevel0 4 2 4" xfId="49762"/>
    <cellStyle name="SAPBEXHLevel0 4 3" xfId="50604"/>
    <cellStyle name="SAPBEXHLevel0 4 4" xfId="51485"/>
    <cellStyle name="SAPBEXHLevel0 4 5" xfId="49434"/>
    <cellStyle name="SAPBEXHLevel0 5" xfId="46057"/>
    <cellStyle name="SAPBEXHLevel0 5 2" xfId="46058"/>
    <cellStyle name="SAPBEXHLevel0 5 2 2" xfId="50833"/>
    <cellStyle name="SAPBEXHLevel0 5 2 3" xfId="50747"/>
    <cellStyle name="SAPBEXHLevel0 5 2 4" xfId="49833"/>
    <cellStyle name="SAPBEXHLevel0 5 3" xfId="50534"/>
    <cellStyle name="SAPBEXHLevel0 5 4" xfId="51644"/>
    <cellStyle name="SAPBEXHLevel0 5 5" xfId="49505"/>
    <cellStyle name="SAPBEXHLevel0 6" xfId="46059"/>
    <cellStyle name="SAPBEXHLevel0 6 2" xfId="46060"/>
    <cellStyle name="SAPBEXHLevel0 6 2 2" xfId="50401"/>
    <cellStyle name="SAPBEXHLevel0 6 3" xfId="51513"/>
    <cellStyle name="SAPBEXHLevel0 6 4" xfId="49665"/>
    <cellStyle name="SAPBEXHLevel0 7" xfId="46061"/>
    <cellStyle name="SAPBEXHLevel0 7 2" xfId="46062"/>
    <cellStyle name="SAPBEXHLevel0 7 2 2" xfId="51055"/>
    <cellStyle name="SAPBEXHLevel0 7 3" xfId="51121"/>
    <cellStyle name="SAPBEXHLevel0 7 4" xfId="50010"/>
    <cellStyle name="SAPBEXHLevel0 8" xfId="46063"/>
    <cellStyle name="SAPBEXHLevel0 8 2" xfId="46064"/>
    <cellStyle name="SAPBEXHLevel0 8 3" xfId="50723"/>
    <cellStyle name="SAPBEXHLevel0 9" xfId="46065"/>
    <cellStyle name="SAPBEXHLevel0 9 2" xfId="46066"/>
    <cellStyle name="SAPBEXHLevel0 9 3" xfId="51217"/>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2 2" xfId="50152"/>
    <cellStyle name="SAPBEXHLevel0X 2 2 2 3" xfId="51613"/>
    <cellStyle name="SAPBEXHLevel0X 2 2 2 4" xfId="49857"/>
    <cellStyle name="SAPBEXHLevel0X 2 2 3" xfId="46091"/>
    <cellStyle name="SAPBEXHLevel0X 2 2 3 2" xfId="50510"/>
    <cellStyle name="SAPBEXHLevel0X 2 2 4" xfId="51642"/>
    <cellStyle name="SAPBEXHLevel0X 2 2 5" xfId="49529"/>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 2 2" xfId="50238"/>
    <cellStyle name="SAPBEXHLevel0X 2 3 2 3" xfId="51424"/>
    <cellStyle name="SAPBEXHLevel0X 2 3 2 4" xfId="49759"/>
    <cellStyle name="SAPBEXHLevel0X 2 3 3" xfId="50607"/>
    <cellStyle name="SAPBEXHLevel0X 2 3 4" xfId="51652"/>
    <cellStyle name="SAPBEXHLevel0X 2 3 5" xfId="49431"/>
    <cellStyle name="SAPBEXHLevel0X 2 30" xfId="46104"/>
    <cellStyle name="SAPBEXHLevel0X 2 31" xfId="46105"/>
    <cellStyle name="SAPBEXHLevel0X 2 32" xfId="46106"/>
    <cellStyle name="SAPBEXHLevel0X 2 33" xfId="49285"/>
    <cellStyle name="SAPBEXHLevel0X 2 4" xfId="46107"/>
    <cellStyle name="SAPBEXHLevel0X 2 4 2" xfId="46108"/>
    <cellStyle name="SAPBEXHLevel0X 2 4 2 2" xfId="50398"/>
    <cellStyle name="SAPBEXHLevel0X 2 4 3" xfId="51374"/>
    <cellStyle name="SAPBEXHLevel0X 2 4 4" xfId="49668"/>
    <cellStyle name="SAPBEXHLevel0X 2 5" xfId="46109"/>
    <cellStyle name="SAPBEXHLevel0X 2 5 2" xfId="46110"/>
    <cellStyle name="SAPBEXHLevel0X 2 5 2 2" xfId="51052"/>
    <cellStyle name="SAPBEXHLevel0X 2 5 3" xfId="51412"/>
    <cellStyle name="SAPBEXHLevel0X 2 5 4" xfId="50007"/>
    <cellStyle name="SAPBEXHLevel0X 2 6" xfId="46111"/>
    <cellStyle name="SAPBEXHLevel0X 2 6 2" xfId="46112"/>
    <cellStyle name="SAPBEXHLevel0X 2 6 3" xfId="50720"/>
    <cellStyle name="SAPBEXHLevel0X 2 7" xfId="46113"/>
    <cellStyle name="SAPBEXHLevel0X 2 7 2" xfId="46114"/>
    <cellStyle name="SAPBEXHLevel0X 2 7 3" xfId="51341"/>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10" xfId="49430"/>
    <cellStyle name="SAPBEXHLevel0X 3 10 2" xfId="49758"/>
    <cellStyle name="SAPBEXHLevel0X 3 10 2 2" xfId="50239"/>
    <cellStyle name="SAPBEXHLevel0X 3 10 2 3" xfId="51164"/>
    <cellStyle name="SAPBEXHLevel0X 3 10 3" xfId="50608"/>
    <cellStyle name="SAPBEXHLevel0X 3 10 4" xfId="51345"/>
    <cellStyle name="SAPBEXHLevel0X 3 11" xfId="49669"/>
    <cellStyle name="SAPBEXHLevel0X 3 11 2" xfId="50397"/>
    <cellStyle name="SAPBEXHLevel0X 3 11 3" xfId="51627"/>
    <cellStyle name="SAPBEXHLevel0X 3 12" xfId="50006"/>
    <cellStyle name="SAPBEXHLevel0X 3 12 2" xfId="51051"/>
    <cellStyle name="SAPBEXHLevel0X 3 12 3" xfId="51582"/>
    <cellStyle name="SAPBEXHLevel0X 3 13" xfId="50719"/>
    <cellStyle name="SAPBEXHLevel0X 3 14" xfId="51656"/>
    <cellStyle name="SAPBEXHLevel0X 3 15" xfId="49286"/>
    <cellStyle name="SAPBEXHLevel0X 3 2" xfId="46129"/>
    <cellStyle name="SAPBEXHLevel0X 3 2 2" xfId="49531"/>
    <cellStyle name="SAPBEXHLevel0X 3 2 2 2" xfId="49859"/>
    <cellStyle name="SAPBEXHLevel0X 3 2 2 2 2" xfId="50150"/>
    <cellStyle name="SAPBEXHLevel0X 3 2 2 2 3" xfId="51279"/>
    <cellStyle name="SAPBEXHLevel0X 3 2 2 3" xfId="50508"/>
    <cellStyle name="SAPBEXHLevel0X 3 2 2 4" xfId="50976"/>
    <cellStyle name="SAPBEXHLevel0X 3 2 3" xfId="49429"/>
    <cellStyle name="SAPBEXHLevel0X 3 2 3 2" xfId="49757"/>
    <cellStyle name="SAPBEXHLevel0X 3 2 3 2 2" xfId="50240"/>
    <cellStyle name="SAPBEXHLevel0X 3 2 3 2 3" xfId="51525"/>
    <cellStyle name="SAPBEXHLevel0X 3 2 3 3" xfId="50609"/>
    <cellStyle name="SAPBEXHLevel0X 3 2 3 4" xfId="51561"/>
    <cellStyle name="SAPBEXHLevel0X 3 2 4" xfId="49670"/>
    <cellStyle name="SAPBEXHLevel0X 3 2 4 2" xfId="50396"/>
    <cellStyle name="SAPBEXHLevel0X 3 2 4 3" xfId="50809"/>
    <cellStyle name="SAPBEXHLevel0X 3 2 5" xfId="50005"/>
    <cellStyle name="SAPBEXHLevel0X 3 2 5 2" xfId="51050"/>
    <cellStyle name="SAPBEXHLevel0X 3 2 5 3" xfId="51325"/>
    <cellStyle name="SAPBEXHLevel0X 3 2 6" xfId="50718"/>
    <cellStyle name="SAPBEXHLevel0X 3 2 7" xfId="50654"/>
    <cellStyle name="SAPBEXHLevel0X 3 2 8" xfId="49287"/>
    <cellStyle name="SAPBEXHLevel0X 3 3" xfId="46130"/>
    <cellStyle name="SAPBEXHLevel0X 3 3 2" xfId="49532"/>
    <cellStyle name="SAPBEXHLevel0X 3 3 2 2" xfId="49860"/>
    <cellStyle name="SAPBEXHLevel0X 3 3 2 2 2" xfId="50149"/>
    <cellStyle name="SAPBEXHLevel0X 3 3 2 2 3" xfId="51537"/>
    <cellStyle name="SAPBEXHLevel0X 3 3 2 3" xfId="50507"/>
    <cellStyle name="SAPBEXHLevel0X 3 3 2 4" xfId="51241"/>
    <cellStyle name="SAPBEXHLevel0X 3 3 3" xfId="49428"/>
    <cellStyle name="SAPBEXHLevel0X 3 3 3 2" xfId="49756"/>
    <cellStyle name="SAPBEXHLevel0X 3 3 3 2 2" xfId="50241"/>
    <cellStyle name="SAPBEXHLevel0X 3 3 3 2 3" xfId="51267"/>
    <cellStyle name="SAPBEXHLevel0X 3 3 3 3" xfId="50610"/>
    <cellStyle name="SAPBEXHLevel0X 3 3 3 4" xfId="51304"/>
    <cellStyle name="SAPBEXHLevel0X 3 3 4" xfId="49671"/>
    <cellStyle name="SAPBEXHLevel0X 3 3 4 2" xfId="50395"/>
    <cellStyle name="SAPBEXHLevel0X 3 3 4 3" xfId="51257"/>
    <cellStyle name="SAPBEXHLevel0X 3 3 5" xfId="50004"/>
    <cellStyle name="SAPBEXHLevel0X 3 3 5 2" xfId="51049"/>
    <cellStyle name="SAPBEXHLevel0X 3 3 5 3" xfId="51552"/>
    <cellStyle name="SAPBEXHLevel0X 3 3 6" xfId="50717"/>
    <cellStyle name="SAPBEXHLevel0X 3 3 7" xfId="50869"/>
    <cellStyle name="SAPBEXHLevel0X 3 3 8" xfId="49288"/>
    <cellStyle name="SAPBEXHLevel0X 3 4" xfId="49289"/>
    <cellStyle name="SAPBEXHLevel0X 3 4 2" xfId="49533"/>
    <cellStyle name="SAPBEXHLevel0X 3 4 2 2" xfId="49861"/>
    <cellStyle name="SAPBEXHLevel0X 3 4 2 2 2" xfId="50148"/>
    <cellStyle name="SAPBEXHLevel0X 3 4 2 2 3" xfId="51311"/>
    <cellStyle name="SAPBEXHLevel0X 3 4 2 3" xfId="50506"/>
    <cellStyle name="SAPBEXHLevel0X 3 4 2 4" xfId="51498"/>
    <cellStyle name="SAPBEXHLevel0X 3 4 3" xfId="49427"/>
    <cellStyle name="SAPBEXHLevel0X 3 4 3 2" xfId="49755"/>
    <cellStyle name="SAPBEXHLevel0X 3 4 3 2 2" xfId="50242"/>
    <cellStyle name="SAPBEXHLevel0X 3 4 3 2 3" xfId="50644"/>
    <cellStyle name="SAPBEXHLevel0X 3 4 3 3" xfId="50611"/>
    <cellStyle name="SAPBEXHLevel0X 3 4 3 4" xfId="51461"/>
    <cellStyle name="SAPBEXHLevel0X 3 4 4" xfId="49672"/>
    <cellStyle name="SAPBEXHLevel0X 3 4 4 2" xfId="50059"/>
    <cellStyle name="SAPBEXHLevel0X 3 4 4 3" xfId="51514"/>
    <cellStyle name="SAPBEXHLevel0X 3 4 5" xfId="50003"/>
    <cellStyle name="SAPBEXHLevel0X 3 4 5 2" xfId="51048"/>
    <cellStyle name="SAPBEXHLevel0X 3 4 5 3" xfId="51294"/>
    <cellStyle name="SAPBEXHLevel0X 3 4 6" xfId="50716"/>
    <cellStyle name="SAPBEXHLevel0X 3 4 7" xfId="50943"/>
    <cellStyle name="SAPBEXHLevel0X 3 5" xfId="49290"/>
    <cellStyle name="SAPBEXHLevel0X 3 5 2" xfId="49534"/>
    <cellStyle name="SAPBEXHLevel0X 3 5 2 2" xfId="49862"/>
    <cellStyle name="SAPBEXHLevel0X 3 5 2 2 2" xfId="50147"/>
    <cellStyle name="SAPBEXHLevel0X 3 5 2 2 3" xfId="51568"/>
    <cellStyle name="SAPBEXHLevel0X 3 5 2 3" xfId="50505"/>
    <cellStyle name="SAPBEXHLevel0X 3 5 2 4" xfId="51189"/>
    <cellStyle name="SAPBEXHLevel0X 3 5 3" xfId="49426"/>
    <cellStyle name="SAPBEXHLevel0X 3 5 3 2" xfId="49754"/>
    <cellStyle name="SAPBEXHLevel0X 3 5 3 2 2" xfId="50243"/>
    <cellStyle name="SAPBEXHLevel0X 3 5 3 2 3" xfId="51659"/>
    <cellStyle name="SAPBEXHLevel0X 3 5 3 3" xfId="50612"/>
    <cellStyle name="SAPBEXHLevel0X 3 5 3 4" xfId="51203"/>
    <cellStyle name="SAPBEXHLevel0X 3 5 4" xfId="49673"/>
    <cellStyle name="SAPBEXHLevel0X 3 5 4 2" xfId="50371"/>
    <cellStyle name="SAPBEXHLevel0X 3 5 4 3" xfId="51174"/>
    <cellStyle name="SAPBEXHLevel0X 3 5 5" xfId="49962"/>
    <cellStyle name="SAPBEXHLevel0X 3 5 5 2" xfId="51007"/>
    <cellStyle name="SAPBEXHLevel0X 3 5 5 3" xfId="51329"/>
    <cellStyle name="SAPBEXHLevel0X 3 5 6" xfId="50715"/>
    <cellStyle name="SAPBEXHLevel0X 3 5 7" xfId="50883"/>
    <cellStyle name="SAPBEXHLevel0X 3 6" xfId="49291"/>
    <cellStyle name="SAPBEXHLevel0X 3 6 2" xfId="49535"/>
    <cellStyle name="SAPBEXHLevel0X 3 6 2 2" xfId="49863"/>
    <cellStyle name="SAPBEXHLevel0X 3 6 2 2 2" xfId="50146"/>
    <cellStyle name="SAPBEXHLevel0X 3 6 2 2 3" xfId="51398"/>
    <cellStyle name="SAPBEXHLevel0X 3 6 2 3" xfId="50504"/>
    <cellStyle name="SAPBEXHLevel0X 3 6 2 4" xfId="51447"/>
    <cellStyle name="SAPBEXHLevel0X 3 6 3" xfId="49425"/>
    <cellStyle name="SAPBEXHLevel0X 3 6 3 2" xfId="49753"/>
    <cellStyle name="SAPBEXHLevel0X 3 6 3 2 2" xfId="50244"/>
    <cellStyle name="SAPBEXHLevel0X 3 6 3 2 3" xfId="51385"/>
    <cellStyle name="SAPBEXHLevel0X 3 6 3 3" xfId="50613"/>
    <cellStyle name="SAPBEXHLevel0X 3 6 3 4" xfId="51484"/>
    <cellStyle name="SAPBEXHLevel0X 3 6 4" xfId="49674"/>
    <cellStyle name="SAPBEXHLevel0X 3 6 4 2" xfId="50345"/>
    <cellStyle name="SAPBEXHLevel0X 3 6 4 3" xfId="51433"/>
    <cellStyle name="SAPBEXHLevel0X 3 6 5" xfId="50002"/>
    <cellStyle name="SAPBEXHLevel0X 3 6 5 2" xfId="51047"/>
    <cellStyle name="SAPBEXHLevel0X 3 6 5 3" xfId="51119"/>
    <cellStyle name="SAPBEXHLevel0X 3 6 6" xfId="50714"/>
    <cellStyle name="SAPBEXHLevel0X 3 6 7" xfId="50954"/>
    <cellStyle name="SAPBEXHLevel0X 3 7" xfId="49292"/>
    <cellStyle name="SAPBEXHLevel0X 3 7 2" xfId="49536"/>
    <cellStyle name="SAPBEXHLevel0X 3 7 2 2" xfId="49864"/>
    <cellStyle name="SAPBEXHLevel0X 3 7 2 2 2" xfId="50145"/>
    <cellStyle name="SAPBEXHLevel0X 3 7 2 2 3" xfId="51612"/>
    <cellStyle name="SAPBEXHLevel0X 3 7 2 3" xfId="50503"/>
    <cellStyle name="SAPBEXHLevel0X 3 7 2 4" xfId="51359"/>
    <cellStyle name="SAPBEXHLevel0X 3 7 3" xfId="49424"/>
    <cellStyle name="SAPBEXHLevel0X 3 7 3 2" xfId="49752"/>
    <cellStyle name="SAPBEXHLevel0X 3 7 3 2 2" xfId="50245"/>
    <cellStyle name="SAPBEXHLevel0X 3 7 3 2 3" xfId="51425"/>
    <cellStyle name="SAPBEXHLevel0X 3 7 3 3" xfId="50614"/>
    <cellStyle name="SAPBEXHLevel0X 3 7 3 4" xfId="51227"/>
    <cellStyle name="SAPBEXHLevel0X 3 7 4" xfId="49675"/>
    <cellStyle name="SAPBEXHLevel0X 3 7 4 2" xfId="50344"/>
    <cellStyle name="SAPBEXHLevel0X 3 7 4 3" xfId="51375"/>
    <cellStyle name="SAPBEXHLevel0X 3 7 5" xfId="50001"/>
    <cellStyle name="SAPBEXHLevel0X 3 7 5 2" xfId="51046"/>
    <cellStyle name="SAPBEXHLevel0X 3 7 5 3" xfId="51604"/>
    <cellStyle name="SAPBEXHLevel0X 3 7 6" xfId="50713"/>
    <cellStyle name="SAPBEXHLevel0X 3 7 7" xfId="50907"/>
    <cellStyle name="SAPBEXHLevel0X 3 8" xfId="49293"/>
    <cellStyle name="SAPBEXHLevel0X 3 8 2" xfId="49537"/>
    <cellStyle name="SAPBEXHLevel0X 3 8 2 2" xfId="49865"/>
    <cellStyle name="SAPBEXHLevel0X 3 8 2 2 2" xfId="50144"/>
    <cellStyle name="SAPBEXHLevel0X 3 8 2 2 3" xfId="50961"/>
    <cellStyle name="SAPBEXHLevel0X 3 8 2 3" xfId="50502"/>
    <cellStyle name="SAPBEXHLevel0X 3 8 2 4" xfId="51639"/>
    <cellStyle name="SAPBEXHLevel0X 3 8 3" xfId="49423"/>
    <cellStyle name="SAPBEXHLevel0X 3 8 3 2" xfId="49751"/>
    <cellStyle name="SAPBEXHLevel0X 3 8 3 2 2" xfId="50246"/>
    <cellStyle name="SAPBEXHLevel0X 3 8 3 2 3" xfId="51165"/>
    <cellStyle name="SAPBEXHLevel0X 3 8 3 3" xfId="50615"/>
    <cellStyle name="SAPBEXHLevel0X 3 8 3 4" xfId="50895"/>
    <cellStyle name="SAPBEXHLevel0X 3 8 4" xfId="49676"/>
    <cellStyle name="SAPBEXHLevel0X 3 8 4 2" xfId="50343"/>
    <cellStyle name="SAPBEXHLevel0X 3 8 4 3" xfId="51626"/>
    <cellStyle name="SAPBEXHLevel0X 3 8 5" xfId="50047"/>
    <cellStyle name="SAPBEXHLevel0X 3 8 5 2" xfId="51091"/>
    <cellStyle name="SAPBEXHLevel0X 3 8 5 3" xfId="51585"/>
    <cellStyle name="SAPBEXHLevel0X 3 8 6" xfId="50712"/>
    <cellStyle name="SAPBEXHLevel0X 3 8 7" xfId="50970"/>
    <cellStyle name="SAPBEXHLevel0X 3 9" xfId="49530"/>
    <cellStyle name="SAPBEXHLevel0X 3 9 2" xfId="49858"/>
    <cellStyle name="SAPBEXHLevel0X 3 9 2 2" xfId="50151"/>
    <cellStyle name="SAPBEXHLevel0X 3 9 2 3" xfId="50890"/>
    <cellStyle name="SAPBEXHLevel0X 3 9 3" xfId="50509"/>
    <cellStyle name="SAPBEXHLevel0X 3 9 4" xfId="50910"/>
    <cellStyle name="SAPBEXHLevel0X 30" xfId="46131"/>
    <cellStyle name="SAPBEXHLevel0X 31" xfId="46132"/>
    <cellStyle name="SAPBEXHLevel0X 32" xfId="46133"/>
    <cellStyle name="SAPBEXHLevel0X 33" xfId="46134"/>
    <cellStyle name="SAPBEXHLevel0X 34" xfId="49284"/>
    <cellStyle name="SAPBEXHLevel0X 4" xfId="46135"/>
    <cellStyle name="SAPBEXHLevel0X 4 2" xfId="46136"/>
    <cellStyle name="SAPBEXHLevel0X 4 2 2" xfId="50153"/>
    <cellStyle name="SAPBEXHLevel0X 4 2 3" xfId="51397"/>
    <cellStyle name="SAPBEXHLevel0X 4 2 4" xfId="49856"/>
    <cellStyle name="SAPBEXHLevel0X 4 3" xfId="50511"/>
    <cellStyle name="SAPBEXHLevel0X 4 4" xfId="51356"/>
    <cellStyle name="SAPBEXHLevel0X 4 5" xfId="49528"/>
    <cellStyle name="SAPBEXHLevel0X 5" xfId="46137"/>
    <cellStyle name="SAPBEXHLevel0X 5 2" xfId="46138"/>
    <cellStyle name="SAPBEXHLevel0X 5 2 2" xfId="50237"/>
    <cellStyle name="SAPBEXHLevel0X 5 2 3" xfId="51386"/>
    <cellStyle name="SAPBEXHLevel0X 5 2 4" xfId="49760"/>
    <cellStyle name="SAPBEXHLevel0X 5 3" xfId="50606"/>
    <cellStyle name="SAPBEXHLevel0X 5 4" xfId="50966"/>
    <cellStyle name="SAPBEXHLevel0X 5 5" xfId="49432"/>
    <cellStyle name="SAPBEXHLevel0X 6" xfId="46139"/>
    <cellStyle name="SAPBEXHLevel0X 6 2" xfId="46140"/>
    <cellStyle name="SAPBEXHLevel0X 6 2 2" xfId="50399"/>
    <cellStyle name="SAPBEXHLevel0X 6 3" xfId="51559"/>
    <cellStyle name="SAPBEXHLevel0X 6 4" xfId="49667"/>
    <cellStyle name="SAPBEXHLevel0X 7" xfId="46141"/>
    <cellStyle name="SAPBEXHLevel0X 7 2" xfId="46142"/>
    <cellStyle name="SAPBEXHLevel0X 7 2 2" xfId="51053"/>
    <cellStyle name="SAPBEXHLevel0X 7 3" xfId="51603"/>
    <cellStyle name="SAPBEXHLevel0X 7 4" xfId="50008"/>
    <cellStyle name="SAPBEXHLevel0X 8" xfId="46143"/>
    <cellStyle name="SAPBEXHLevel0X 8 2" xfId="46144"/>
    <cellStyle name="SAPBEXHLevel0X 8 3" xfId="50721"/>
    <cellStyle name="SAPBEXHLevel0X 9" xfId="46145"/>
    <cellStyle name="SAPBEXHLevel0X 9 2" xfId="46146"/>
    <cellStyle name="SAPBEXHLevel0X 9 3" xfId="51465"/>
    <cellStyle name="SAPBEXHLevel0X_0910 GSO Capex RRP - Final (Detail) v2 220710" xfId="46147"/>
    <cellStyle name="SAPBEXHLevel1" xfId="55"/>
    <cellStyle name="SAPBEXHLevel1 10" xfId="46148"/>
    <cellStyle name="SAPBEXHLevel1 10 2" xfId="5093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2 2" xfId="50142"/>
    <cellStyle name="SAPBEXHLevel1 2 2 2 3" xfId="51538"/>
    <cellStyle name="SAPBEXHLevel1 2 2 2 4" xfId="49867"/>
    <cellStyle name="SAPBEXHLevel1 2 2 3" xfId="46171"/>
    <cellStyle name="SAPBEXHLevel1 2 2 3 2" xfId="50500"/>
    <cellStyle name="SAPBEXHLevel1 2 2 4" xfId="51188"/>
    <cellStyle name="SAPBEXHLevel1 2 2 5" xfId="49539"/>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 2 2" xfId="50248"/>
    <cellStyle name="SAPBEXHLevel1 2 3 2 3" xfId="51266"/>
    <cellStyle name="SAPBEXHLevel1 2 3 2 4" xfId="49749"/>
    <cellStyle name="SAPBEXHLevel1 2 3 3" xfId="50617"/>
    <cellStyle name="SAPBEXHLevel1 2 3 4" xfId="51344"/>
    <cellStyle name="SAPBEXHLevel1 2 3 5" xfId="49421"/>
    <cellStyle name="SAPBEXHLevel1 2 30" xfId="46184"/>
    <cellStyle name="SAPBEXHLevel1 2 31" xfId="46185"/>
    <cellStyle name="SAPBEXHLevel1 2 32" xfId="46186"/>
    <cellStyle name="SAPBEXHLevel1 2 33" xfId="49295"/>
    <cellStyle name="SAPBEXHLevel1 2 4" xfId="46187"/>
    <cellStyle name="SAPBEXHLevel1 2 4 2" xfId="46188"/>
    <cellStyle name="SAPBEXHLevel1 2 4 2 2" xfId="50341"/>
    <cellStyle name="SAPBEXHLevel1 2 4 3" xfId="51258"/>
    <cellStyle name="SAPBEXHLevel1 2 4 4" xfId="49678"/>
    <cellStyle name="SAPBEXHLevel1 2 5" xfId="46189"/>
    <cellStyle name="SAPBEXHLevel1 2 5 2" xfId="46190"/>
    <cellStyle name="SAPBEXHLevel1 2 5 2 2" xfId="51044"/>
    <cellStyle name="SAPBEXHLevel1 2 5 3" xfId="51581"/>
    <cellStyle name="SAPBEXHLevel1 2 5 4" xfId="49999"/>
    <cellStyle name="SAPBEXHLevel1 2 6" xfId="46191"/>
    <cellStyle name="SAPBEXHLevel1 2 6 2" xfId="46192"/>
    <cellStyle name="SAPBEXHLevel1 2 6 3" xfId="50710"/>
    <cellStyle name="SAPBEXHLevel1 2 7" xfId="46193"/>
    <cellStyle name="SAPBEXHLevel1 2 7 2" xfId="46194"/>
    <cellStyle name="SAPBEXHLevel1 2 7 3" xfId="51140"/>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2 2" xfId="50143"/>
    <cellStyle name="SAPBEXHLevel1 3 2 3" xfId="51280"/>
    <cellStyle name="SAPBEXHLevel1 3 2 4" xfId="49866"/>
    <cellStyle name="SAPBEXHLevel1 3 3" xfId="46210"/>
    <cellStyle name="SAPBEXHLevel1 3 3 2" xfId="50501"/>
    <cellStyle name="SAPBEXHLevel1 3 4" xfId="50807"/>
    <cellStyle name="SAPBEXHLevel1 3 5" xfId="49538"/>
    <cellStyle name="SAPBEXHLevel1 30" xfId="46211"/>
    <cellStyle name="SAPBEXHLevel1 31" xfId="46212"/>
    <cellStyle name="SAPBEXHLevel1 32" xfId="46213"/>
    <cellStyle name="SAPBEXHLevel1 33" xfId="46214"/>
    <cellStyle name="SAPBEXHLevel1 34" xfId="49294"/>
    <cellStyle name="SAPBEXHLevel1 4" xfId="46215"/>
    <cellStyle name="SAPBEXHLevel1 4 2" xfId="46216"/>
    <cellStyle name="SAPBEXHLevel1 4 2 2" xfId="50247"/>
    <cellStyle name="SAPBEXHLevel1 4 2 3" xfId="51524"/>
    <cellStyle name="SAPBEXHLevel1 4 2 4" xfId="49750"/>
    <cellStyle name="SAPBEXHLevel1 4 3" xfId="50616"/>
    <cellStyle name="SAPBEXHLevel1 4 4" xfId="51653"/>
    <cellStyle name="SAPBEXHLevel1 4 5" xfId="49422"/>
    <cellStyle name="SAPBEXHLevel1 5" xfId="46217"/>
    <cellStyle name="SAPBEXHLevel1 5 2" xfId="46218"/>
    <cellStyle name="SAPBEXHLevel1 5 2 2" xfId="50087"/>
    <cellStyle name="SAPBEXHLevel1 5 2 3" xfId="51108"/>
    <cellStyle name="SAPBEXHLevel1 5 2 4" xfId="49924"/>
    <cellStyle name="SAPBEXHLevel1 5 3" xfId="50443"/>
    <cellStyle name="SAPBEXHLevel1 5 4" xfId="51190"/>
    <cellStyle name="SAPBEXHLevel1 5 5" xfId="49596"/>
    <cellStyle name="SAPBEXHLevel1 6" xfId="46219"/>
    <cellStyle name="SAPBEXHLevel1 6 2" xfId="46220"/>
    <cellStyle name="SAPBEXHLevel1 6 2 2" xfId="50342"/>
    <cellStyle name="SAPBEXHLevel1 6 3" xfId="50810"/>
    <cellStyle name="SAPBEXHLevel1 6 4" xfId="49677"/>
    <cellStyle name="SAPBEXHLevel1 7" xfId="46221"/>
    <cellStyle name="SAPBEXHLevel1 7 2" xfId="46222"/>
    <cellStyle name="SAPBEXHLevel1 7 2 2" xfId="51045"/>
    <cellStyle name="SAPBEXHLevel1 7 3" xfId="51411"/>
    <cellStyle name="SAPBEXHLevel1 7 4" xfId="50000"/>
    <cellStyle name="SAPBEXHLevel1 8" xfId="46223"/>
    <cellStyle name="SAPBEXHLevel1 8 2" xfId="46224"/>
    <cellStyle name="SAPBEXHLevel1 8 3" xfId="50711"/>
    <cellStyle name="SAPBEXHLevel1 9" xfId="46225"/>
    <cellStyle name="SAPBEXHLevel1 9 2" xfId="46226"/>
    <cellStyle name="SAPBEXHLevel1 9 3" xfId="50941"/>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2 2" xfId="50140"/>
    <cellStyle name="SAPBEXHLevel1X 2 2 2 3" xfId="51569"/>
    <cellStyle name="SAPBEXHLevel1X 2 2 2 4" xfId="49869"/>
    <cellStyle name="SAPBEXHLevel1X 2 2 3" xfId="46251"/>
    <cellStyle name="SAPBEXHLevel1X 2 2 3 2" xfId="50498"/>
    <cellStyle name="SAPBEXHLevel1X 2 2 4" xfId="51360"/>
    <cellStyle name="SAPBEXHLevel1X 2 2 5" xfId="4954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 2 2" xfId="50250"/>
    <cellStyle name="SAPBEXHLevel1X 2 3 2 3" xfId="51620"/>
    <cellStyle name="SAPBEXHLevel1X 2 3 2 4" xfId="49747"/>
    <cellStyle name="SAPBEXHLevel1X 2 3 3" xfId="50619"/>
    <cellStyle name="SAPBEXHLevel1X 2 3 4" xfId="51303"/>
    <cellStyle name="SAPBEXHLevel1X 2 3 5" xfId="49419"/>
    <cellStyle name="SAPBEXHLevel1X 2 30" xfId="46264"/>
    <cellStyle name="SAPBEXHLevel1X 2 31" xfId="46265"/>
    <cellStyle name="SAPBEXHLevel1X 2 32" xfId="46266"/>
    <cellStyle name="SAPBEXHLevel1X 2 33" xfId="49297"/>
    <cellStyle name="SAPBEXHLevel1X 2 4" xfId="46267"/>
    <cellStyle name="SAPBEXHLevel1X 2 4 2" xfId="46268"/>
    <cellStyle name="SAPBEXHLevel1X 2 4 2 2" xfId="50333"/>
    <cellStyle name="SAPBEXHLevel1X 2 4 3" xfId="51173"/>
    <cellStyle name="SAPBEXHLevel1X 2 4 4" xfId="49680"/>
    <cellStyle name="SAPBEXHLevel1X 2 5" xfId="46269"/>
    <cellStyle name="SAPBEXHLevel1X 2 5 2" xfId="46270"/>
    <cellStyle name="SAPBEXHLevel1X 2 5 2 2" xfId="51090"/>
    <cellStyle name="SAPBEXHLevel1X 2 5 3" xfId="50902"/>
    <cellStyle name="SAPBEXHLevel1X 2 5 4" xfId="50046"/>
    <cellStyle name="SAPBEXHLevel1X 2 6" xfId="46271"/>
    <cellStyle name="SAPBEXHLevel1X 2 6 2" xfId="46272"/>
    <cellStyle name="SAPBEXHLevel1X 2 6 3" xfId="50708"/>
    <cellStyle name="SAPBEXHLevel1X 2 7" xfId="46273"/>
    <cellStyle name="SAPBEXHLevel1X 2 7 2" xfId="46274"/>
    <cellStyle name="SAPBEXHLevel1X 2 7 3" xfId="50850"/>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10" xfId="49418"/>
    <cellStyle name="SAPBEXHLevel1X 3 10 2" xfId="49746"/>
    <cellStyle name="SAPBEXHLevel1X 3 10 2 2" xfId="50251"/>
    <cellStyle name="SAPBEXHLevel1X 3 10 2 3" xfId="51384"/>
    <cellStyle name="SAPBEXHLevel1X 3 10 3" xfId="50620"/>
    <cellStyle name="SAPBEXHLevel1X 3 10 4" xfId="51462"/>
    <cellStyle name="SAPBEXHLevel1X 3 11" xfId="49681"/>
    <cellStyle name="SAPBEXHLevel1X 3 11 2" xfId="50332"/>
    <cellStyle name="SAPBEXHLevel1X 3 11 3" xfId="51432"/>
    <cellStyle name="SAPBEXHLevel1X 3 12" xfId="49997"/>
    <cellStyle name="SAPBEXHLevel1X 3 12 2" xfId="51042"/>
    <cellStyle name="SAPBEXHLevel1X 3 12 3" xfId="51551"/>
    <cellStyle name="SAPBEXHLevel1X 3 13" xfId="50707"/>
    <cellStyle name="SAPBEXHLevel1X 3 14" xfId="51141"/>
    <cellStyle name="SAPBEXHLevel1X 3 15" xfId="49298"/>
    <cellStyle name="SAPBEXHLevel1X 3 2" xfId="46289"/>
    <cellStyle name="SAPBEXHLevel1X 3 2 2" xfId="49543"/>
    <cellStyle name="SAPBEXHLevel1X 3 2 2 2" xfId="49871"/>
    <cellStyle name="SAPBEXHLevel1X 3 2 2 2 2" xfId="50138"/>
    <cellStyle name="SAPBEXHLevel1X 3 2 2 2 3" xfId="51611"/>
    <cellStyle name="SAPBEXHLevel1X 3 2 2 3" xfId="50496"/>
    <cellStyle name="SAPBEXHLevel1X 3 2 2 4" xfId="50873"/>
    <cellStyle name="SAPBEXHLevel1X 3 2 3" xfId="49417"/>
    <cellStyle name="SAPBEXHLevel1X 3 2 3 2" xfId="49745"/>
    <cellStyle name="SAPBEXHLevel1X 3 2 3 2 2" xfId="50252"/>
    <cellStyle name="SAPBEXHLevel1X 3 2 3 2 3" xfId="51426"/>
    <cellStyle name="SAPBEXHLevel1X 3 2 3 3" xfId="50621"/>
    <cellStyle name="SAPBEXHLevel1X 3 2 3 4" xfId="51204"/>
    <cellStyle name="SAPBEXHLevel1X 3 2 4" xfId="49682"/>
    <cellStyle name="SAPBEXHLevel1X 3 2 4 2" xfId="50326"/>
    <cellStyle name="SAPBEXHLevel1X 3 2 4 3" xfId="51376"/>
    <cellStyle name="SAPBEXHLevel1X 3 2 5" xfId="49996"/>
    <cellStyle name="SAPBEXHLevel1X 3 2 5 2" xfId="51041"/>
    <cellStyle name="SAPBEXHLevel1X 3 2 5 3" xfId="51293"/>
    <cellStyle name="SAPBEXHLevel1X 3 2 6" xfId="50706"/>
    <cellStyle name="SAPBEXHLevel1X 3 2 7" xfId="50916"/>
    <cellStyle name="SAPBEXHLevel1X 3 2 8" xfId="49299"/>
    <cellStyle name="SAPBEXHLevel1X 3 3" xfId="46290"/>
    <cellStyle name="SAPBEXHLevel1X 3 3 2" xfId="49544"/>
    <cellStyle name="SAPBEXHLevel1X 3 3 2 2" xfId="49872"/>
    <cellStyle name="SAPBEXHLevel1X 3 3 2 2 2" xfId="50137"/>
    <cellStyle name="SAPBEXHLevel1X 3 3 2 2 3" xfId="50646"/>
    <cellStyle name="SAPBEXHLevel1X 3 3 2 3" xfId="50495"/>
    <cellStyle name="SAPBEXHLevel1X 3 3 2 4" xfId="51243"/>
    <cellStyle name="SAPBEXHLevel1X 3 3 3" xfId="49591"/>
    <cellStyle name="SAPBEXHLevel1X 3 3 3 2" xfId="49919"/>
    <cellStyle name="SAPBEXHLevel1X 3 3 3 2 2" xfId="50090"/>
    <cellStyle name="SAPBEXHLevel1X 3 3 3 2 3" xfId="51106"/>
    <cellStyle name="SAPBEXHLevel1X 3 3 3 3" xfId="50448"/>
    <cellStyle name="SAPBEXHLevel1X 3 3 3 4" xfId="51662"/>
    <cellStyle name="SAPBEXHLevel1X 3 3 4" xfId="49683"/>
    <cellStyle name="SAPBEXHLevel1X 3 3 4 2" xfId="50325"/>
    <cellStyle name="SAPBEXHLevel1X 3 3 4 3" xfId="51625"/>
    <cellStyle name="SAPBEXHLevel1X 3 3 5" xfId="49995"/>
    <cellStyle name="SAPBEXHLevel1X 3 3 5 2" xfId="51040"/>
    <cellStyle name="SAPBEXHLevel1X 3 3 5 3" xfId="51118"/>
    <cellStyle name="SAPBEXHLevel1X 3 3 6" xfId="50705"/>
    <cellStyle name="SAPBEXHLevel1X 3 3 7" xfId="50662"/>
    <cellStyle name="SAPBEXHLevel1X 3 3 8" xfId="49300"/>
    <cellStyle name="SAPBEXHLevel1X 3 4" xfId="49301"/>
    <cellStyle name="SAPBEXHLevel1X 3 4 2" xfId="49545"/>
    <cellStyle name="SAPBEXHLevel1X 3 4 2 2" xfId="49873"/>
    <cellStyle name="SAPBEXHLevel1X 3 4 2 2 2" xfId="50136"/>
    <cellStyle name="SAPBEXHLevel1X 3 4 2 2 3" xfId="51281"/>
    <cellStyle name="SAPBEXHLevel1X 3 4 2 3" xfId="50494"/>
    <cellStyle name="SAPBEXHLevel1X 3 4 2 4" xfId="51500"/>
    <cellStyle name="SAPBEXHLevel1X 3 4 3" xfId="49416"/>
    <cellStyle name="SAPBEXHLevel1X 3 4 3 2" xfId="49744"/>
    <cellStyle name="SAPBEXHLevel1X 3 4 3 2 2" xfId="50253"/>
    <cellStyle name="SAPBEXHLevel1X 3 4 3 2 3" xfId="51166"/>
    <cellStyle name="SAPBEXHLevel1X 3 4 3 3" xfId="50622"/>
    <cellStyle name="SAPBEXHLevel1X 3 4 3 4" xfId="51483"/>
    <cellStyle name="SAPBEXHLevel1X 3 4 4" xfId="49684"/>
    <cellStyle name="SAPBEXHLevel1X 3 4 4 2" xfId="50324"/>
    <cellStyle name="SAPBEXHLevel1X 3 4 4 3" xfId="50811"/>
    <cellStyle name="SAPBEXHLevel1X 3 4 5" xfId="49994"/>
    <cellStyle name="SAPBEXHLevel1X 3 4 5 2" xfId="51039"/>
    <cellStyle name="SAPBEXHLevel1X 3 4 5 3" xfId="51605"/>
    <cellStyle name="SAPBEXHLevel1X 3 4 6" xfId="50704"/>
    <cellStyle name="SAPBEXHLevel1X 3 4 7" xfId="50903"/>
    <cellStyle name="SAPBEXHLevel1X 3 5" xfId="49302"/>
    <cellStyle name="SAPBEXHLevel1X 3 5 2" xfId="49546"/>
    <cellStyle name="SAPBEXHLevel1X 3 5 2 2" xfId="49874"/>
    <cellStyle name="SAPBEXHLevel1X 3 5 2 2 2" xfId="50135"/>
    <cellStyle name="SAPBEXHLevel1X 3 5 2 2 3" xfId="51539"/>
    <cellStyle name="SAPBEXHLevel1X 3 5 2 3" xfId="50493"/>
    <cellStyle name="SAPBEXHLevel1X 3 5 2 4" xfId="51187"/>
    <cellStyle name="SAPBEXHLevel1X 3 5 3" xfId="49415"/>
    <cellStyle name="SAPBEXHLevel1X 3 5 3 2" xfId="49743"/>
    <cellStyle name="SAPBEXHLevel1X 3 5 3 2 2" xfId="50254"/>
    <cellStyle name="SAPBEXHLevel1X 3 5 3 2 3" xfId="50973"/>
    <cellStyle name="SAPBEXHLevel1X 3 5 3 3" xfId="50623"/>
    <cellStyle name="SAPBEXHLevel1X 3 5 3 4" xfId="51226"/>
    <cellStyle name="SAPBEXHLevel1X 3 5 4" xfId="49685"/>
    <cellStyle name="SAPBEXHLevel1X 3 5 4 2" xfId="50323"/>
    <cellStyle name="SAPBEXHLevel1X 3 5 4 3" xfId="51259"/>
    <cellStyle name="SAPBEXHLevel1X 3 5 5" xfId="49993"/>
    <cellStyle name="SAPBEXHLevel1X 3 5 5 2" xfId="51038"/>
    <cellStyle name="SAPBEXHLevel1X 3 5 5 3" xfId="51410"/>
    <cellStyle name="SAPBEXHLevel1X 3 5 6" xfId="50703"/>
    <cellStyle name="SAPBEXHLevel1X 3 5 7" xfId="50989"/>
    <cellStyle name="SAPBEXHLevel1X 3 6" xfId="49303"/>
    <cellStyle name="SAPBEXHLevel1X 3 6 2" xfId="49547"/>
    <cellStyle name="SAPBEXHLevel1X 3 6 2 2" xfId="49875"/>
    <cellStyle name="SAPBEXHLevel1X 3 6 2 2 2" xfId="50134"/>
    <cellStyle name="SAPBEXHLevel1X 3 6 2 2 3" xfId="51313"/>
    <cellStyle name="SAPBEXHLevel1X 3 6 2 3" xfId="50492"/>
    <cellStyle name="SAPBEXHLevel1X 3 6 2 4" xfId="51445"/>
    <cellStyle name="SAPBEXHLevel1X 3 6 3" xfId="49590"/>
    <cellStyle name="SAPBEXHLevel1X 3 6 3 2" xfId="49918"/>
    <cellStyle name="SAPBEXHLevel1X 3 6 3 2 2" xfId="50091"/>
    <cellStyle name="SAPBEXHLevel1X 3 6 3 2 3" xfId="51152"/>
    <cellStyle name="SAPBEXHLevel1X 3 6 3 3" xfId="50449"/>
    <cellStyle name="SAPBEXHLevel1X 3 6 3 4" xfId="51367"/>
    <cellStyle name="SAPBEXHLevel1X 3 6 4" xfId="49686"/>
    <cellStyle name="SAPBEXHLevel1X 3 6 4 2" xfId="50322"/>
    <cellStyle name="SAPBEXHLevel1X 3 6 4 3" xfId="51516"/>
    <cellStyle name="SAPBEXHLevel1X 3 6 5" xfId="49992"/>
    <cellStyle name="SAPBEXHLevel1X 3 6 5 2" xfId="51037"/>
    <cellStyle name="SAPBEXHLevel1X 3 6 5 3" xfId="51589"/>
    <cellStyle name="SAPBEXHLevel1X 3 6 6" xfId="50702"/>
    <cellStyle name="SAPBEXHLevel1X 3 6 7" xfId="50793"/>
    <cellStyle name="SAPBEXHLevel1X 3 7" xfId="49304"/>
    <cellStyle name="SAPBEXHLevel1X 3 7 2" xfId="49548"/>
    <cellStyle name="SAPBEXHLevel1X 3 7 2 2" xfId="49876"/>
    <cellStyle name="SAPBEXHLevel1X 3 7 2 2 2" xfId="50133"/>
    <cellStyle name="SAPBEXHLevel1X 3 7 2 2 3" xfId="51570"/>
    <cellStyle name="SAPBEXHLevel1X 3 7 2 3" xfId="50491"/>
    <cellStyle name="SAPBEXHLevel1X 3 7 2 4" xfId="51361"/>
    <cellStyle name="SAPBEXHLevel1X 3 7 3" xfId="49414"/>
    <cellStyle name="SAPBEXHLevel1X 3 7 3 2" xfId="49742"/>
    <cellStyle name="SAPBEXHLevel1X 3 7 3 2 2" xfId="50255"/>
    <cellStyle name="SAPBEXHLevel1X 3 7 3 2 3" xfId="51594"/>
    <cellStyle name="SAPBEXHLevel1X 3 7 3 3" xfId="50624"/>
    <cellStyle name="SAPBEXHLevel1X 3 7 3 4" xfId="50957"/>
    <cellStyle name="SAPBEXHLevel1X 3 7 4" xfId="49687"/>
    <cellStyle name="SAPBEXHLevel1X 3 7 4 2" xfId="50321"/>
    <cellStyle name="SAPBEXHLevel1X 3 7 4 3" xfId="50648"/>
    <cellStyle name="SAPBEXHLevel1X 3 7 5" xfId="49965"/>
    <cellStyle name="SAPBEXHLevel1X 3 7 5 2" xfId="51010"/>
    <cellStyle name="SAPBEXHLevel1X 3 7 5 3" xfId="51577"/>
    <cellStyle name="SAPBEXHLevel1X 3 7 6" xfId="50701"/>
    <cellStyle name="SAPBEXHLevel1X 3 7 7" xfId="50794"/>
    <cellStyle name="SAPBEXHLevel1X 3 8" xfId="49305"/>
    <cellStyle name="SAPBEXHLevel1X 3 8 2" xfId="49549"/>
    <cellStyle name="SAPBEXHLevel1X 3 8 2 2" xfId="49877"/>
    <cellStyle name="SAPBEXHLevel1X 3 8 2 2 2" xfId="50132"/>
    <cellStyle name="SAPBEXHLevel1X 3 8 2 2 3" xfId="51400"/>
    <cellStyle name="SAPBEXHLevel1X 3 8 2 3" xfId="50490"/>
    <cellStyle name="SAPBEXHLevel1X 3 8 2 4" xfId="51637"/>
    <cellStyle name="SAPBEXHLevel1X 3 8 3" xfId="49413"/>
    <cellStyle name="SAPBEXHLevel1X 3 8 3 2" xfId="49741"/>
    <cellStyle name="SAPBEXHLevel1X 3 8 3 2 2" xfId="50256"/>
    <cellStyle name="SAPBEXHLevel1X 3 8 3 2 3" xfId="51383"/>
    <cellStyle name="SAPBEXHLevel1X 3 8 3 3" xfId="50625"/>
    <cellStyle name="SAPBEXHLevel1X 3 8 3 4" xfId="51654"/>
    <cellStyle name="SAPBEXHLevel1X 3 8 4" xfId="49688"/>
    <cellStyle name="SAPBEXHLevel1X 3 8 4 2" xfId="50320"/>
    <cellStyle name="SAPBEXHLevel1X 3 8 4 3" xfId="51301"/>
    <cellStyle name="SAPBEXHLevel1X 3 8 5" xfId="49991"/>
    <cellStyle name="SAPBEXHLevel1X 3 8 5 2" xfId="51036"/>
    <cellStyle name="SAPBEXHLevel1X 3 8 5 3" xfId="51334"/>
    <cellStyle name="SAPBEXHLevel1X 3 8 6" xfId="50700"/>
    <cellStyle name="SAPBEXHLevel1X 3 8 7" xfId="50795"/>
    <cellStyle name="SAPBEXHLevel1X 3 9" xfId="49542"/>
    <cellStyle name="SAPBEXHLevel1X 3 9 2" xfId="49870"/>
    <cellStyle name="SAPBEXHLevel1X 3 9 2 2" xfId="50139"/>
    <cellStyle name="SAPBEXHLevel1X 3 9 2 3" xfId="51399"/>
    <cellStyle name="SAPBEXHLevel1X 3 9 3" xfId="50497"/>
    <cellStyle name="SAPBEXHLevel1X 3 9 4" xfId="51638"/>
    <cellStyle name="SAPBEXHLevel1X 30" xfId="46291"/>
    <cellStyle name="SAPBEXHLevel1X 31" xfId="46292"/>
    <cellStyle name="SAPBEXHLevel1X 32" xfId="46293"/>
    <cellStyle name="SAPBEXHLevel1X 33" xfId="46294"/>
    <cellStyle name="SAPBEXHLevel1X 34" xfId="49296"/>
    <cellStyle name="SAPBEXHLevel1X 4" xfId="46295"/>
    <cellStyle name="SAPBEXHLevel1X 4 2" xfId="46296"/>
    <cellStyle name="SAPBEXHLevel1X 4 2 2" xfId="50141"/>
    <cellStyle name="SAPBEXHLevel1X 4 2 3" xfId="51312"/>
    <cellStyle name="SAPBEXHLevel1X 4 2 4" xfId="49868"/>
    <cellStyle name="SAPBEXHLevel1X 4 3" xfId="50499"/>
    <cellStyle name="SAPBEXHLevel1X 4 4" xfId="51446"/>
    <cellStyle name="SAPBEXHLevel1X 4 5" xfId="49540"/>
    <cellStyle name="SAPBEXHLevel1X 5" xfId="46297"/>
    <cellStyle name="SAPBEXHLevel1X 5 2" xfId="46298"/>
    <cellStyle name="SAPBEXHLevel1X 5 2 2" xfId="50249"/>
    <cellStyle name="SAPBEXHLevel1X 5 2 3" xfId="50813"/>
    <cellStyle name="SAPBEXHLevel1X 5 2 4" xfId="49748"/>
    <cellStyle name="SAPBEXHLevel1X 5 3" xfId="50618"/>
    <cellStyle name="SAPBEXHLevel1X 5 4" xfId="51560"/>
    <cellStyle name="SAPBEXHLevel1X 5 5" xfId="49420"/>
    <cellStyle name="SAPBEXHLevel1X 6" xfId="46299"/>
    <cellStyle name="SAPBEXHLevel1X 6 2" xfId="46300"/>
    <cellStyle name="SAPBEXHLevel1X 6 2 2" xfId="50334"/>
    <cellStyle name="SAPBEXHLevel1X 6 3" xfId="51515"/>
    <cellStyle name="SAPBEXHLevel1X 6 4" xfId="49679"/>
    <cellStyle name="SAPBEXHLevel1X 7" xfId="46301"/>
    <cellStyle name="SAPBEXHLevel1X 7 2" xfId="46302"/>
    <cellStyle name="SAPBEXHLevel1X 7 2 2" xfId="51043"/>
    <cellStyle name="SAPBEXHLevel1X 7 3" xfId="51324"/>
    <cellStyle name="SAPBEXHLevel1X 7 4" xfId="49998"/>
    <cellStyle name="SAPBEXHLevel1X 8" xfId="46303"/>
    <cellStyle name="SAPBEXHLevel1X 8 2" xfId="46304"/>
    <cellStyle name="SAPBEXHLevel1X 8 3" xfId="50709"/>
    <cellStyle name="SAPBEXHLevel1X 9" xfId="46305"/>
    <cellStyle name="SAPBEXHLevel1X 9 2" xfId="46306"/>
    <cellStyle name="SAPBEXHLevel1X 9 3" xfId="50940"/>
    <cellStyle name="SAPBEXHLevel1X_0910 GSO Capex RRP - Final (Detail) v2 220710" xfId="46307"/>
    <cellStyle name="SAPBEXHLevel2" xfId="57"/>
    <cellStyle name="SAPBEXHLevel2 10" xfId="46308"/>
    <cellStyle name="SAPBEXHLevel2 10 2" xfId="50785"/>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2 2" xfId="50130"/>
    <cellStyle name="SAPBEXHLevel2 2 2 2 3" xfId="50914"/>
    <cellStyle name="SAPBEXHLevel2 2 2 2 4" xfId="49879"/>
    <cellStyle name="SAPBEXHLevel2 2 2 3" xfId="46331"/>
    <cellStyle name="SAPBEXHLevel2 2 2 3 2" xfId="50488"/>
    <cellStyle name="SAPBEXHLevel2 2 2 4" xfId="51244"/>
    <cellStyle name="SAPBEXHLevel2 2 2 5" xfId="4955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 2 2" xfId="50258"/>
    <cellStyle name="SAPBEXHLevel2 2 3 2 3" xfId="51167"/>
    <cellStyle name="SAPBEXHLevel2 2 3 2 4" xfId="49739"/>
    <cellStyle name="SAPBEXHLevel2 2 3 3" xfId="50627"/>
    <cellStyle name="SAPBEXHLevel2 2 3 4" xfId="51463"/>
    <cellStyle name="SAPBEXHLevel2 2 3 5" xfId="49411"/>
    <cellStyle name="SAPBEXHLevel2 2 30" xfId="46344"/>
    <cellStyle name="SAPBEXHLevel2 2 31" xfId="46345"/>
    <cellStyle name="SAPBEXHLevel2 2 32" xfId="46346"/>
    <cellStyle name="SAPBEXHLevel2 2 33" xfId="49307"/>
    <cellStyle name="SAPBEXHLevel2 2 4" xfId="46347"/>
    <cellStyle name="SAPBEXHLevel2 2 4 2" xfId="46348"/>
    <cellStyle name="SAPBEXHLevel2 2 4 2 2" xfId="50317"/>
    <cellStyle name="SAPBEXHLevel2 2 4 3" xfId="51377"/>
    <cellStyle name="SAPBEXHLevel2 2 4 4" xfId="49690"/>
    <cellStyle name="SAPBEXHLevel2 2 5" xfId="46349"/>
    <cellStyle name="SAPBEXHLevel2 2 5 2" xfId="46350"/>
    <cellStyle name="SAPBEXHLevel2 2 5 2 2" xfId="51035"/>
    <cellStyle name="SAPBEXHLevel2 2 5 3" xfId="51580"/>
    <cellStyle name="SAPBEXHLevel2 2 5 4" xfId="49990"/>
    <cellStyle name="SAPBEXHLevel2 2 6" xfId="46351"/>
    <cellStyle name="SAPBEXHLevel2 2 6 2" xfId="46352"/>
    <cellStyle name="SAPBEXHLevel2 2 6 3" xfId="50698"/>
    <cellStyle name="SAPBEXHLevel2 2 7" xfId="46353"/>
    <cellStyle name="SAPBEXHLevel2 2 7 2" xfId="46354"/>
    <cellStyle name="SAPBEXHLevel2 2 7 3" xfId="50796"/>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2 2" xfId="50131"/>
    <cellStyle name="SAPBEXHLevel2 3 2 3" xfId="51610"/>
    <cellStyle name="SAPBEXHLevel2 3 2 4" xfId="49878"/>
    <cellStyle name="SAPBEXHLevel2 3 3" xfId="46370"/>
    <cellStyle name="SAPBEXHLevel2 3 3 2" xfId="50489"/>
    <cellStyle name="SAPBEXHLevel2 3 4" xfId="50947"/>
    <cellStyle name="SAPBEXHLevel2 3 5" xfId="49550"/>
    <cellStyle name="SAPBEXHLevel2 30" xfId="46371"/>
    <cellStyle name="SAPBEXHLevel2 31" xfId="46372"/>
    <cellStyle name="SAPBEXHLevel2 32" xfId="46373"/>
    <cellStyle name="SAPBEXHLevel2 33" xfId="46374"/>
    <cellStyle name="SAPBEXHLevel2 34" xfId="49306"/>
    <cellStyle name="SAPBEXHLevel2 4" xfId="46375"/>
    <cellStyle name="SAPBEXHLevel2 4 2" xfId="46376"/>
    <cellStyle name="SAPBEXHLevel2 4 2 2" xfId="50257"/>
    <cellStyle name="SAPBEXHLevel2 4 2 3" xfId="51427"/>
    <cellStyle name="SAPBEXHLevel2 4 2 4" xfId="49740"/>
    <cellStyle name="SAPBEXHLevel2 4 3" xfId="50626"/>
    <cellStyle name="SAPBEXHLevel2 4 4" xfId="51343"/>
    <cellStyle name="SAPBEXHLevel2 4 5" xfId="49412"/>
    <cellStyle name="SAPBEXHLevel2 5" xfId="46377"/>
    <cellStyle name="SAPBEXHLevel2 5 2" xfId="46378"/>
    <cellStyle name="SAPBEXHLevel2 5 2 2" xfId="50107"/>
    <cellStyle name="SAPBEXHLevel2 5 2 3" xfId="51275"/>
    <cellStyle name="SAPBEXHLevel2 5 2 4" xfId="49902"/>
    <cellStyle name="SAPBEXHLevel2 5 3" xfId="50465"/>
    <cellStyle name="SAPBEXHLevel2 5 4" xfId="51183"/>
    <cellStyle name="SAPBEXHLevel2 5 5" xfId="49574"/>
    <cellStyle name="SAPBEXHLevel2 6" xfId="46379"/>
    <cellStyle name="SAPBEXHLevel2 6 2" xfId="46380"/>
    <cellStyle name="SAPBEXHLevel2 6 2 2" xfId="50318"/>
    <cellStyle name="SAPBEXHLevel2 6 3" xfId="51558"/>
    <cellStyle name="SAPBEXHLevel2 6 4" xfId="49689"/>
    <cellStyle name="SAPBEXHLevel2 7" xfId="46381"/>
    <cellStyle name="SAPBEXHLevel2 7 2" xfId="46382"/>
    <cellStyle name="SAPBEXHLevel2 7 2 2" xfId="51006"/>
    <cellStyle name="SAPBEXHLevel2 7 3" xfId="51416"/>
    <cellStyle name="SAPBEXHLevel2 7 4" xfId="49961"/>
    <cellStyle name="SAPBEXHLevel2 8" xfId="46383"/>
    <cellStyle name="SAPBEXHLevel2 8 2" xfId="46384"/>
    <cellStyle name="SAPBEXHLevel2 8 3" xfId="50699"/>
    <cellStyle name="SAPBEXHLevel2 9" xfId="46385"/>
    <cellStyle name="SAPBEXHLevel2 9 2" xfId="46386"/>
    <cellStyle name="SAPBEXHLevel2 9 3" xfId="50840"/>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2 2" xfId="50128"/>
    <cellStyle name="SAPBEXHLevel2X 2 2 2 3" xfId="51540"/>
    <cellStyle name="SAPBEXHLevel2X 2 2 2 4" xfId="49881"/>
    <cellStyle name="SAPBEXHLevel2X 2 2 3" xfId="46411"/>
    <cellStyle name="SAPBEXHLevel2X 2 2 3 2" xfId="50486"/>
    <cellStyle name="SAPBEXHLevel2X 2 2 4" xfId="51186"/>
    <cellStyle name="SAPBEXHLevel2X 2 2 5" xfId="49553"/>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 2 2" xfId="50260"/>
    <cellStyle name="SAPBEXHLevel2X 2 3 2 3" xfId="51264"/>
    <cellStyle name="SAPBEXHLevel2X 2 3 2 4" xfId="49737"/>
    <cellStyle name="SAPBEXHLevel2X 2 3 3" xfId="50629"/>
    <cellStyle name="SAPBEXHLevel2X 2 3 4" xfId="51482"/>
    <cellStyle name="SAPBEXHLevel2X 2 3 5" xfId="49409"/>
    <cellStyle name="SAPBEXHLevel2X 2 30" xfId="46424"/>
    <cellStyle name="SAPBEXHLevel2X 2 31" xfId="46425"/>
    <cellStyle name="SAPBEXHLevel2X 2 32" xfId="46426"/>
    <cellStyle name="SAPBEXHLevel2X 2 33" xfId="49309"/>
    <cellStyle name="SAPBEXHLevel2X 2 4" xfId="46427"/>
    <cellStyle name="SAPBEXHLevel2X 2 4 2" xfId="46428"/>
    <cellStyle name="SAPBEXHLevel2X 2 4 2 2" xfId="50315"/>
    <cellStyle name="SAPBEXHLevel2X 2 4 3" xfId="50812"/>
    <cellStyle name="SAPBEXHLevel2X 2 4 4" xfId="49692"/>
    <cellStyle name="SAPBEXHLevel2X 2 5" xfId="46429"/>
    <cellStyle name="SAPBEXHLevel2X 2 5 2" xfId="46430"/>
    <cellStyle name="SAPBEXHLevel2X 2 5 2 2" xfId="51005"/>
    <cellStyle name="SAPBEXHLevel2X 2 5 3" xfId="51289"/>
    <cellStyle name="SAPBEXHLevel2X 2 5 4" xfId="49960"/>
    <cellStyle name="SAPBEXHLevel2X 2 6" xfId="46431"/>
    <cellStyle name="SAPBEXHLevel2X 2 6 2" xfId="46432"/>
    <cellStyle name="SAPBEXHLevel2X 2 6 3" xfId="50696"/>
    <cellStyle name="SAPBEXHLevel2X 2 7" xfId="46433"/>
    <cellStyle name="SAPBEXHLevel2X 2 7 2" xfId="46434"/>
    <cellStyle name="SAPBEXHLevel2X 2 7 3" xfId="50841"/>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10" xfId="49408"/>
    <cellStyle name="SAPBEXHLevel2X 3 10 2" xfId="49736"/>
    <cellStyle name="SAPBEXHLevel2X 3 10 2 2" xfId="50261"/>
    <cellStyle name="SAPBEXHLevel2X 3 10 2 3" xfId="50643"/>
    <cellStyle name="SAPBEXHLevel2X 3 10 3" xfId="50630"/>
    <cellStyle name="SAPBEXHLevel2X 3 10 4" xfId="51225"/>
    <cellStyle name="SAPBEXHLevel2X 3 11" xfId="49693"/>
    <cellStyle name="SAPBEXHLevel2X 3 11 2" xfId="50314"/>
    <cellStyle name="SAPBEXHLevel2X 3 11 3" xfId="51134"/>
    <cellStyle name="SAPBEXHLevel2X 3 12" xfId="49988"/>
    <cellStyle name="SAPBEXHLevel2X 3 12 2" xfId="51033"/>
    <cellStyle name="SAPBEXHLevel2X 3 12 3" xfId="51550"/>
    <cellStyle name="SAPBEXHLevel2X 3 13" xfId="50695"/>
    <cellStyle name="SAPBEXHLevel2X 3 14" xfId="50656"/>
    <cellStyle name="SAPBEXHLevel2X 3 15" xfId="49310"/>
    <cellStyle name="SAPBEXHLevel2X 3 2" xfId="46449"/>
    <cellStyle name="SAPBEXHLevel2X 3 2 2" xfId="49555"/>
    <cellStyle name="SAPBEXHLevel2X 3 2 2 2" xfId="49883"/>
    <cellStyle name="SAPBEXHLevel2X 3 2 2 2 2" xfId="50126"/>
    <cellStyle name="SAPBEXHLevel2X 3 2 2 2 3" xfId="51571"/>
    <cellStyle name="SAPBEXHLevel2X 3 2 2 3" xfId="50484"/>
    <cellStyle name="SAPBEXHLevel2X 3 2 2 4" xfId="51362"/>
    <cellStyle name="SAPBEXHLevel2X 3 2 3" xfId="49407"/>
    <cellStyle name="SAPBEXHLevel2X 3 2 3 2" xfId="49735"/>
    <cellStyle name="SAPBEXHLevel2X 3 2 3 2 2" xfId="50262"/>
    <cellStyle name="SAPBEXHLevel2X 3 2 3 2 3" xfId="50913"/>
    <cellStyle name="SAPBEXHLevel2X 3 2 3 3" xfId="50631"/>
    <cellStyle name="SAPBEXHLevel2X 3 2 3 4" xfId="50885"/>
    <cellStyle name="SAPBEXHLevel2X 3 2 4" xfId="49694"/>
    <cellStyle name="SAPBEXHLevel2X 3 2 4 2" xfId="50313"/>
    <cellStyle name="SAPBEXHLevel2X 3 2 4 3" xfId="51260"/>
    <cellStyle name="SAPBEXHLevel2X 3 2 5" xfId="50044"/>
    <cellStyle name="SAPBEXHLevel2X 3 2 5 2" xfId="51088"/>
    <cellStyle name="SAPBEXHLevel2X 3 2 5 3" xfId="51555"/>
    <cellStyle name="SAPBEXHLevel2X 3 2 6" xfId="50694"/>
    <cellStyle name="SAPBEXHLevel2X 3 2 7" xfId="50798"/>
    <cellStyle name="SAPBEXHLevel2X 3 2 8" xfId="49311"/>
    <cellStyle name="SAPBEXHLevel2X 3 3" xfId="46450"/>
    <cellStyle name="SAPBEXHLevel2X 3 3 2" xfId="49556"/>
    <cellStyle name="SAPBEXHLevel2X 3 3 2 2" xfId="49884"/>
    <cellStyle name="SAPBEXHLevel2X 3 3 2 2 2" xfId="50125"/>
    <cellStyle name="SAPBEXHLevel2X 3 3 2 2 3" xfId="51401"/>
    <cellStyle name="SAPBEXHLevel2X 3 3 2 3" xfId="50483"/>
    <cellStyle name="SAPBEXHLevel2X 3 3 2 4" xfId="51636"/>
    <cellStyle name="SAPBEXHLevel2X 3 3 3" xfId="49406"/>
    <cellStyle name="SAPBEXHLevel2X 3 3 3 2" xfId="49734"/>
    <cellStyle name="SAPBEXHLevel2X 3 3 3 2 2" xfId="50263"/>
    <cellStyle name="SAPBEXHLevel2X 3 3 3 2 3" xfId="51595"/>
    <cellStyle name="SAPBEXHLevel2X 3 3 3 3" xfId="50632"/>
    <cellStyle name="SAPBEXHLevel2X 3 3 3 4" xfId="51655"/>
    <cellStyle name="SAPBEXHLevel2X 3 3 4" xfId="49695"/>
    <cellStyle name="SAPBEXHLevel2X 3 3 4 2" xfId="50312"/>
    <cellStyle name="SAPBEXHLevel2X 3 3 4 3" xfId="51517"/>
    <cellStyle name="SAPBEXHLevel2X 3 3 5" xfId="49987"/>
    <cellStyle name="SAPBEXHLevel2X 3 3 5 2" xfId="51032"/>
    <cellStyle name="SAPBEXHLevel2X 3 3 5 3" xfId="51292"/>
    <cellStyle name="SAPBEXHLevel2X 3 3 6" xfId="50693"/>
    <cellStyle name="SAPBEXHLevel2X 3 3 7" xfId="50962"/>
    <cellStyle name="SAPBEXHLevel2X 3 3 8" xfId="49312"/>
    <cellStyle name="SAPBEXHLevel2X 3 4" xfId="49313"/>
    <cellStyle name="SAPBEXHLevel2X 3 4 2" xfId="49557"/>
    <cellStyle name="SAPBEXHLevel2X 3 4 2 2" xfId="49885"/>
    <cellStyle name="SAPBEXHLevel2X 3 4 2 2 2" xfId="50124"/>
    <cellStyle name="SAPBEXHLevel2X 3 4 2 2 3" xfId="51660"/>
    <cellStyle name="SAPBEXHLevel2X 3 4 2 3" xfId="50482"/>
    <cellStyle name="SAPBEXHLevel2X 3 4 2 4" xfId="50888"/>
    <cellStyle name="SAPBEXHLevel2X 3 4 3" xfId="49405"/>
    <cellStyle name="SAPBEXHLevel2X 3 4 3 2" xfId="49733"/>
    <cellStyle name="SAPBEXHLevel2X 3 4 3 2 2" xfId="50264"/>
    <cellStyle name="SAPBEXHLevel2X 3 4 3 2 3" xfId="51380"/>
    <cellStyle name="SAPBEXHLevel2X 3 4 3 3" xfId="50633"/>
    <cellStyle name="SAPBEXHLevel2X 3 4 3 4" xfId="51342"/>
    <cellStyle name="SAPBEXHLevel2X 3 4 4" xfId="49696"/>
    <cellStyle name="SAPBEXHLevel2X 3 4 4 2" xfId="50311"/>
    <cellStyle name="SAPBEXHLevel2X 3 4 4 3" xfId="51172"/>
    <cellStyle name="SAPBEXHLevel2X 3 4 5" xfId="49986"/>
    <cellStyle name="SAPBEXHLevel2X 3 4 5 2" xfId="51031"/>
    <cellStyle name="SAPBEXHLevel2X 3 4 5 3" xfId="51117"/>
    <cellStyle name="SAPBEXHLevel2X 3 4 6" xfId="50692"/>
    <cellStyle name="SAPBEXHLevel2X 3 4 7" xfId="50842"/>
    <cellStyle name="SAPBEXHLevel2X 3 5" xfId="49314"/>
    <cellStyle name="SAPBEXHLevel2X 3 5 2" xfId="49558"/>
    <cellStyle name="SAPBEXHLevel2X 3 5 2 2" xfId="49886"/>
    <cellStyle name="SAPBEXHLevel2X 3 5 2 2 2" xfId="50123"/>
    <cellStyle name="SAPBEXHLevel2X 3 5 2 2 3" xfId="50972"/>
    <cellStyle name="SAPBEXHLevel2X 3 5 2 3" xfId="50481"/>
    <cellStyle name="SAPBEXHLevel2X 3 5 2 4" xfId="51245"/>
    <cellStyle name="SAPBEXHLevel2X 3 5 3" xfId="49404"/>
    <cellStyle name="SAPBEXHLevel2X 3 5 3 2" xfId="49732"/>
    <cellStyle name="SAPBEXHLevel2X 3 5 3 2 2" xfId="50265"/>
    <cellStyle name="SAPBEXHLevel2X 3 5 3 2 3" xfId="51543"/>
    <cellStyle name="SAPBEXHLevel2X 3 5 3 3" xfId="50634"/>
    <cellStyle name="SAPBEXHLevel2X 3 5 3 4" xfId="51475"/>
    <cellStyle name="SAPBEXHLevel2X 3 5 4" xfId="49697"/>
    <cellStyle name="SAPBEXHLevel2X 3 5 4 2" xfId="50310"/>
    <cellStyle name="SAPBEXHLevel2X 3 5 4 3" xfId="50865"/>
    <cellStyle name="SAPBEXHLevel2X 3 5 5" xfId="49957"/>
    <cellStyle name="SAPBEXHLevel2X 3 5 5 2" xfId="51002"/>
    <cellStyle name="SAPBEXHLevel2X 3 5 5 3" xfId="51406"/>
    <cellStyle name="SAPBEXHLevel2X 3 5 6" xfId="50691"/>
    <cellStyle name="SAPBEXHLevel2X 3 5 7" xfId="50799"/>
    <cellStyle name="SAPBEXHLevel2X 3 6" xfId="49315"/>
    <cellStyle name="SAPBEXHLevel2X 3 6 2" xfId="49559"/>
    <cellStyle name="SAPBEXHLevel2X 3 6 2 2" xfId="49887"/>
    <cellStyle name="SAPBEXHLevel2X 3 6 2 2 2" xfId="50122"/>
    <cellStyle name="SAPBEXHLevel2X 3 6 2 2 3" xfId="51283"/>
    <cellStyle name="SAPBEXHLevel2X 3 6 2 3" xfId="50480"/>
    <cellStyle name="SAPBEXHLevel2X 3 6 2 4" xfId="51502"/>
    <cellStyle name="SAPBEXHLevel2X 3 6 3" xfId="49403"/>
    <cellStyle name="SAPBEXHLevel2X 3 6 3 2" xfId="49731"/>
    <cellStyle name="SAPBEXHLevel2X 3 6 3 2 2" xfId="50266"/>
    <cellStyle name="SAPBEXHLevel2X 3 6 3 2 3" xfId="51285"/>
    <cellStyle name="SAPBEXHLevel2X 3 6 3 3" xfId="50635"/>
    <cellStyle name="SAPBEXHLevel2X 3 6 3 4" xfId="51219"/>
    <cellStyle name="SAPBEXHLevel2X 3 6 4" xfId="49698"/>
    <cellStyle name="SAPBEXHLevel2X 3 6 4 2" xfId="50309"/>
    <cellStyle name="SAPBEXHLevel2X 3 6 4 3" xfId="51431"/>
    <cellStyle name="SAPBEXHLevel2X 3 6 5" xfId="49985"/>
    <cellStyle name="SAPBEXHLevel2X 3 6 5 2" xfId="51030"/>
    <cellStyle name="SAPBEXHLevel2X 3 6 5 3" xfId="51606"/>
    <cellStyle name="SAPBEXHLevel2X 3 6 6" xfId="50690"/>
    <cellStyle name="SAPBEXHLevel2X 3 6 7" xfId="50843"/>
    <cellStyle name="SAPBEXHLevel2X 3 7" xfId="49316"/>
    <cellStyle name="SAPBEXHLevel2X 3 7 2" xfId="49560"/>
    <cellStyle name="SAPBEXHLevel2X 3 7 2 2" xfId="49888"/>
    <cellStyle name="SAPBEXHLevel2X 3 7 2 2 2" xfId="50121"/>
    <cellStyle name="SAPBEXHLevel2X 3 7 2 2 3" xfId="51541"/>
    <cellStyle name="SAPBEXHLevel2X 3 7 2 3" xfId="50479"/>
    <cellStyle name="SAPBEXHLevel2X 3 7 2 4" xfId="51185"/>
    <cellStyle name="SAPBEXHLevel2X 3 7 3" xfId="49589"/>
    <cellStyle name="SAPBEXHLevel2X 3 7 3 2" xfId="49917"/>
    <cellStyle name="SAPBEXHLevel2X 3 7 3 2 2" xfId="50092"/>
    <cellStyle name="SAPBEXHLevel2X 3 7 3 2 3" xfId="51105"/>
    <cellStyle name="SAPBEXHLevel2X 3 7 3 3" xfId="50450"/>
    <cellStyle name="SAPBEXHLevel2X 3 7 3 4" xfId="51439"/>
    <cellStyle name="SAPBEXHLevel2X 3 7 4" xfId="49699"/>
    <cellStyle name="SAPBEXHLevel2X 3 7 4 2" xfId="50282"/>
    <cellStyle name="SAPBEXHLevel2X 3 7 4 3" xfId="51378"/>
    <cellStyle name="SAPBEXHLevel2X 3 7 5" xfId="49984"/>
    <cellStyle name="SAPBEXHLevel2X 3 7 5 2" xfId="51029"/>
    <cellStyle name="SAPBEXHLevel2X 3 7 5 3" xfId="51409"/>
    <cellStyle name="SAPBEXHLevel2X 3 7 6" xfId="50689"/>
    <cellStyle name="SAPBEXHLevel2X 3 7 7" xfId="50800"/>
    <cellStyle name="SAPBEXHLevel2X 3 8" xfId="49317"/>
    <cellStyle name="SAPBEXHLevel2X 3 8 2" xfId="49561"/>
    <cellStyle name="SAPBEXHLevel2X 3 8 2 2" xfId="49889"/>
    <cellStyle name="SAPBEXHLevel2X 3 8 2 2 2" xfId="50120"/>
    <cellStyle name="SAPBEXHLevel2X 3 8 2 2 3" xfId="51315"/>
    <cellStyle name="SAPBEXHLevel2X 3 8 2 3" xfId="50478"/>
    <cellStyle name="SAPBEXHLevel2X 3 8 2 4" xfId="51443"/>
    <cellStyle name="SAPBEXHLevel2X 3 8 3" xfId="49402"/>
    <cellStyle name="SAPBEXHLevel2X 3 8 3 2" xfId="49730"/>
    <cellStyle name="SAPBEXHLevel2X 3 8 3 2 2" xfId="50267"/>
    <cellStyle name="SAPBEXHLevel2X 3 8 3 2 3" xfId="51429"/>
    <cellStyle name="SAPBEXHLevel2X 3 8 3 3" xfId="50636"/>
    <cellStyle name="SAPBEXHLevel2X 3 8 3 4" xfId="51464"/>
    <cellStyle name="SAPBEXHLevel2X 3 8 4" xfId="49700"/>
    <cellStyle name="SAPBEXHLevel2X 3 8 4 2" xfId="50281"/>
    <cellStyle name="SAPBEXHLevel2X 3 8 4 3" xfId="51598"/>
    <cellStyle name="SAPBEXHLevel2X 3 8 5" xfId="50052"/>
    <cellStyle name="SAPBEXHLevel2X 3 8 5 2" xfId="51096"/>
    <cellStyle name="SAPBEXHLevel2X 3 8 5 3" xfId="51298"/>
    <cellStyle name="SAPBEXHLevel2X 3 8 6" xfId="50688"/>
    <cellStyle name="SAPBEXHLevel2X 3 8 7" xfId="50844"/>
    <cellStyle name="SAPBEXHLevel2X 3 9" xfId="49554"/>
    <cellStyle name="SAPBEXHLevel2X 3 9 2" xfId="49882"/>
    <cellStyle name="SAPBEXHLevel2X 3 9 2 2" xfId="50127"/>
    <cellStyle name="SAPBEXHLevel2X 3 9 2 3" xfId="51314"/>
    <cellStyle name="SAPBEXHLevel2X 3 9 3" xfId="50485"/>
    <cellStyle name="SAPBEXHLevel2X 3 9 4" xfId="51444"/>
    <cellStyle name="SAPBEXHLevel2X 30" xfId="46451"/>
    <cellStyle name="SAPBEXHLevel2X 31" xfId="46452"/>
    <cellStyle name="SAPBEXHLevel2X 32" xfId="46453"/>
    <cellStyle name="SAPBEXHLevel2X 33" xfId="46454"/>
    <cellStyle name="SAPBEXHLevel2X 34" xfId="49308"/>
    <cellStyle name="SAPBEXHLevel2X 4" xfId="46455"/>
    <cellStyle name="SAPBEXHLevel2X 4 2" xfId="46456"/>
    <cellStyle name="SAPBEXHLevel2X 4 2 2" xfId="50129"/>
    <cellStyle name="SAPBEXHLevel2X 4 2 3" xfId="51282"/>
    <cellStyle name="SAPBEXHLevel2X 4 2 4" xfId="49880"/>
    <cellStyle name="SAPBEXHLevel2X 4 3" xfId="50487"/>
    <cellStyle name="SAPBEXHLevel2X 4 4" xfId="51501"/>
    <cellStyle name="SAPBEXHLevel2X 4 5" xfId="49552"/>
    <cellStyle name="SAPBEXHLevel2X 5" xfId="46457"/>
    <cellStyle name="SAPBEXHLevel2X 5 2" xfId="46458"/>
    <cellStyle name="SAPBEXHLevel2X 5 2 2" xfId="50259"/>
    <cellStyle name="SAPBEXHLevel2X 5 2 3" xfId="51522"/>
    <cellStyle name="SAPBEXHLevel2X 5 2 4" xfId="49738"/>
    <cellStyle name="SAPBEXHLevel2X 5 3" xfId="50628"/>
    <cellStyle name="SAPBEXHLevel2X 5 4" xfId="51205"/>
    <cellStyle name="SAPBEXHLevel2X 5 5" xfId="49410"/>
    <cellStyle name="SAPBEXHLevel2X 6" xfId="46459"/>
    <cellStyle name="SAPBEXHLevel2X 6 2" xfId="46460"/>
    <cellStyle name="SAPBEXHLevel2X 6 2 2" xfId="50316"/>
    <cellStyle name="SAPBEXHLevel2X 6 3" xfId="51624"/>
    <cellStyle name="SAPBEXHLevel2X 6 4" xfId="49691"/>
    <cellStyle name="SAPBEXHLevel2X 7" xfId="46461"/>
    <cellStyle name="SAPBEXHLevel2X 7 2" xfId="46462"/>
    <cellStyle name="SAPBEXHLevel2X 7 2 2" xfId="51034"/>
    <cellStyle name="SAPBEXHLevel2X 7 3" xfId="51323"/>
    <cellStyle name="SAPBEXHLevel2X 7 4" xfId="49989"/>
    <cellStyle name="SAPBEXHLevel2X 8" xfId="46463"/>
    <cellStyle name="SAPBEXHLevel2X 8 2" xfId="46464"/>
    <cellStyle name="SAPBEXHLevel2X 8 3" xfId="50697"/>
    <cellStyle name="SAPBEXHLevel2X 9" xfId="46465"/>
    <cellStyle name="SAPBEXHLevel2X 9 2" xfId="46466"/>
    <cellStyle name="SAPBEXHLevel2X 9 3" xfId="50797"/>
    <cellStyle name="SAPBEXHLevel2X_0910 GSO Capex RRP - Final (Detail) v2 220710" xfId="46467"/>
    <cellStyle name="SAPBEXHLevel3" xfId="59"/>
    <cellStyle name="SAPBEXHLevel3 10" xfId="46468"/>
    <cellStyle name="SAPBEXHLevel3 10 2" xfId="50937"/>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2 2" xfId="50118"/>
    <cellStyle name="SAPBEXHLevel3 2 2 2 3" xfId="51402"/>
    <cellStyle name="SAPBEXHLevel3 2 2 2 4" xfId="49891"/>
    <cellStyle name="SAPBEXHLevel3 2 2 3" xfId="46491"/>
    <cellStyle name="SAPBEXHLevel3 2 2 3 2" xfId="50476"/>
    <cellStyle name="SAPBEXHLevel3 2 2 4" xfId="51635"/>
    <cellStyle name="SAPBEXHLevel3 2 2 5" xfId="49563"/>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 2 2" xfId="50093"/>
    <cellStyle name="SAPBEXHLevel3 2 3 2 3" xfId="51151"/>
    <cellStyle name="SAPBEXHLevel3 2 3 2 4" xfId="49916"/>
    <cellStyle name="SAPBEXHLevel3 2 3 3" xfId="50451"/>
    <cellStyle name="SAPBEXHLevel3 2 3 4" xfId="51181"/>
    <cellStyle name="SAPBEXHLevel3 2 3 5" xfId="49588"/>
    <cellStyle name="SAPBEXHLevel3 2 30" xfId="46504"/>
    <cellStyle name="SAPBEXHLevel3 2 31" xfId="46505"/>
    <cellStyle name="SAPBEXHLevel3 2 32" xfId="46506"/>
    <cellStyle name="SAPBEXHLevel3 2 33" xfId="49319"/>
    <cellStyle name="SAPBEXHLevel3 2 4" xfId="46507"/>
    <cellStyle name="SAPBEXHLevel3 2 4 2" xfId="46508"/>
    <cellStyle name="SAPBEXHLevel3 2 4 2 2" xfId="50279"/>
    <cellStyle name="SAPBEXHLevel3 2 4 3" xfId="50935"/>
    <cellStyle name="SAPBEXHLevel3 2 4 4" xfId="49702"/>
    <cellStyle name="SAPBEXHLevel3 2 5" xfId="46509"/>
    <cellStyle name="SAPBEXHLevel3 2 5 2" xfId="46510"/>
    <cellStyle name="SAPBEXHLevel3 2 5 2 2" xfId="51095"/>
    <cellStyle name="SAPBEXHLevel3 2 5 3" xfId="51131"/>
    <cellStyle name="SAPBEXHLevel3 2 5 4" xfId="50051"/>
    <cellStyle name="SAPBEXHLevel3 2 6" xfId="46511"/>
    <cellStyle name="SAPBEXHLevel3 2 6 2" xfId="46512"/>
    <cellStyle name="SAPBEXHLevel3 2 6 3" xfId="50686"/>
    <cellStyle name="SAPBEXHLevel3 2 7" xfId="46513"/>
    <cellStyle name="SAPBEXHLevel3 2 7 2" xfId="46514"/>
    <cellStyle name="SAPBEXHLevel3 2 7 3" xfId="50839"/>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2 2" xfId="50119"/>
    <cellStyle name="SAPBEXHLevel3 3 2 3" xfId="51572"/>
    <cellStyle name="SAPBEXHLevel3 3 2 4" xfId="49890"/>
    <cellStyle name="SAPBEXHLevel3 3 3" xfId="46530"/>
    <cellStyle name="SAPBEXHLevel3 3 3 2" xfId="50477"/>
    <cellStyle name="SAPBEXHLevel3 3 4" xfId="51363"/>
    <cellStyle name="SAPBEXHLevel3 3 5" xfId="49562"/>
    <cellStyle name="SAPBEXHLevel3 30" xfId="46531"/>
    <cellStyle name="SAPBEXHLevel3 31" xfId="46532"/>
    <cellStyle name="SAPBEXHLevel3 32" xfId="46533"/>
    <cellStyle name="SAPBEXHLevel3 33" xfId="46534"/>
    <cellStyle name="SAPBEXHLevel3 34" xfId="49318"/>
    <cellStyle name="SAPBEXHLevel3 4" xfId="46535"/>
    <cellStyle name="SAPBEXHLevel3 4 2" xfId="46536"/>
    <cellStyle name="SAPBEXHLevel3 4 2 2" xfId="50268"/>
    <cellStyle name="SAPBEXHLevel3 4 2 3" xfId="51170"/>
    <cellStyle name="SAPBEXHLevel3 4 2 4" xfId="49729"/>
    <cellStyle name="SAPBEXHLevel3 4 3" xfId="50637"/>
    <cellStyle name="SAPBEXHLevel3 4 4" xfId="51206"/>
    <cellStyle name="SAPBEXHLevel3 4 5" xfId="49401"/>
    <cellStyle name="SAPBEXHLevel3 5" xfId="46537"/>
    <cellStyle name="SAPBEXHLevel3 5 2" xfId="46538"/>
    <cellStyle name="SAPBEXHLevel3 5 2 2" xfId="50994"/>
    <cellStyle name="SAPBEXHLevel3 5 2 3" xfId="51112"/>
    <cellStyle name="SAPBEXHLevel3 5 2 4" xfId="49949"/>
    <cellStyle name="SAPBEXHLevel3 5 3" xfId="50055"/>
    <cellStyle name="SAPBEXHLevel3 5 4" xfId="51133"/>
    <cellStyle name="SAPBEXHLevel3 5 5" xfId="49621"/>
    <cellStyle name="SAPBEXHLevel3 6" xfId="46539"/>
    <cellStyle name="SAPBEXHLevel3 6 2" xfId="46540"/>
    <cellStyle name="SAPBEXHLevel3 6 2 2" xfId="50280"/>
    <cellStyle name="SAPBEXHLevel3 6 3" xfId="50875"/>
    <cellStyle name="SAPBEXHLevel3 6 4" xfId="49701"/>
    <cellStyle name="SAPBEXHLevel3 7" xfId="46541"/>
    <cellStyle name="SAPBEXHLevel3 7 2" xfId="46542"/>
    <cellStyle name="SAPBEXHLevel3 7 2 2" xfId="51097"/>
    <cellStyle name="SAPBEXHLevel3 7 3" xfId="51670"/>
    <cellStyle name="SAPBEXHLevel3 7 4" xfId="50053"/>
    <cellStyle name="SAPBEXHLevel3 8" xfId="46543"/>
    <cellStyle name="SAPBEXHLevel3 8 2" xfId="46544"/>
    <cellStyle name="SAPBEXHLevel3 8 3" xfId="50687"/>
    <cellStyle name="SAPBEXHLevel3 9" xfId="46545"/>
    <cellStyle name="SAPBEXHLevel3 9 2" xfId="46546"/>
    <cellStyle name="SAPBEXHLevel3 9 3" xfId="50845"/>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2 2" xfId="50116"/>
    <cellStyle name="SAPBEXHLevel3X 2 2 2 3" xfId="51098"/>
    <cellStyle name="SAPBEXHLevel3X 2 2 2 4" xfId="49893"/>
    <cellStyle name="SAPBEXHLevel3X 2 2 3" xfId="46571"/>
    <cellStyle name="SAPBEXHLevel3X 2 2 3 2" xfId="50474"/>
    <cellStyle name="SAPBEXHLevel3X 2 2 4" xfId="51246"/>
    <cellStyle name="SAPBEXHLevel3X 2 2 5" xfId="49565"/>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 2 2" xfId="50085"/>
    <cellStyle name="SAPBEXHLevel3X 2 3 2 3" xfId="51147"/>
    <cellStyle name="SAPBEXHLevel3X 2 3 2 4" xfId="49927"/>
    <cellStyle name="SAPBEXHLevel3X 2 3 3" xfId="50440"/>
    <cellStyle name="SAPBEXHLevel3X 2 3 4" xfId="51640"/>
    <cellStyle name="SAPBEXHLevel3X 2 3 5" xfId="49599"/>
    <cellStyle name="SAPBEXHLevel3X 2 30" xfId="46584"/>
    <cellStyle name="SAPBEXHLevel3X 2 31" xfId="46585"/>
    <cellStyle name="SAPBEXHLevel3X 2 32" xfId="46586"/>
    <cellStyle name="SAPBEXHLevel3X 2 33" xfId="49321"/>
    <cellStyle name="SAPBEXHLevel3X 2 4" xfId="46587"/>
    <cellStyle name="SAPBEXHLevel3X 2 4 2" xfId="46588"/>
    <cellStyle name="SAPBEXHLevel3X 2 4 2 2" xfId="50277"/>
    <cellStyle name="SAPBEXHLevel3X 2 4 3" xfId="50853"/>
    <cellStyle name="SAPBEXHLevel3X 2 4 4" xfId="49704"/>
    <cellStyle name="SAPBEXHLevel3X 2 5" xfId="46589"/>
    <cellStyle name="SAPBEXHLevel3X 2 5 2" xfId="46590"/>
    <cellStyle name="SAPBEXHLevel3X 2 5 2 2" xfId="51028"/>
    <cellStyle name="SAPBEXHLevel3X 2 5 3" xfId="51588"/>
    <cellStyle name="SAPBEXHLevel3X 2 5 4" xfId="49983"/>
    <cellStyle name="SAPBEXHLevel3X 2 6" xfId="46591"/>
    <cellStyle name="SAPBEXHLevel3X 2 6 2" xfId="46592"/>
    <cellStyle name="SAPBEXHLevel3X 2 6 3" xfId="50684"/>
    <cellStyle name="SAPBEXHLevel3X 2 7" xfId="46593"/>
    <cellStyle name="SAPBEXHLevel3X 2 7 2" xfId="46594"/>
    <cellStyle name="SAPBEXHLevel3X 2 7 3" xfId="51142"/>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10" xfId="49600"/>
    <cellStyle name="SAPBEXHLevel3X 3 10 2" xfId="49928"/>
    <cellStyle name="SAPBEXHLevel3X 3 10 2 2" xfId="50084"/>
    <cellStyle name="SAPBEXHLevel3X 3 10 2 3" xfId="51109"/>
    <cellStyle name="SAPBEXHLevel3X 3 10 3" xfId="50439"/>
    <cellStyle name="SAPBEXHLevel3X 3 10 4" xfId="50874"/>
    <cellStyle name="SAPBEXHLevel3X 3 11" xfId="49705"/>
    <cellStyle name="SAPBEXHLevel3X 3 11 2" xfId="50276"/>
    <cellStyle name="SAPBEXHLevel3X 3 11 3" xfId="51518"/>
    <cellStyle name="SAPBEXHLevel3X 3 12" xfId="49982"/>
    <cellStyle name="SAPBEXHLevel3X 3 12 2" xfId="51027"/>
    <cellStyle name="SAPBEXHLevel3X 3 12 3" xfId="51333"/>
    <cellStyle name="SAPBEXHLevel3X 3 13" xfId="50683"/>
    <cellStyle name="SAPBEXHLevel3X 3 14" xfId="50838"/>
    <cellStyle name="SAPBEXHLevel3X 3 15" xfId="49322"/>
    <cellStyle name="SAPBEXHLevel3X 3 2" xfId="46609"/>
    <cellStyle name="SAPBEXHLevel3X 3 2 2" xfId="49567"/>
    <cellStyle name="SAPBEXHLevel3X 3 2 2 2" xfId="49895"/>
    <cellStyle name="SAPBEXHLevel3X 3 2 2 2 2" xfId="50114"/>
    <cellStyle name="SAPBEXHLevel3X 3 2 2 2 3" xfId="51542"/>
    <cellStyle name="SAPBEXHLevel3X 3 2 2 3" xfId="50472"/>
    <cellStyle name="SAPBEXHLevel3X 3 2 2 4" xfId="51184"/>
    <cellStyle name="SAPBEXHLevel3X 3 2 3" xfId="49601"/>
    <cellStyle name="SAPBEXHLevel3X 3 2 3 2" xfId="49929"/>
    <cellStyle name="SAPBEXHLevel3X 3 2 3 2 2" xfId="50083"/>
    <cellStyle name="SAPBEXHLevel3X 3 2 3 2 3" xfId="51110"/>
    <cellStyle name="SAPBEXHLevel3X 3 2 3 3" xfId="50438"/>
    <cellStyle name="SAPBEXHLevel3X 3 2 3 4" xfId="50948"/>
    <cellStyle name="SAPBEXHLevel3X 3 2 4" xfId="49706"/>
    <cellStyle name="SAPBEXHLevel3X 3 2 4 2" xfId="50275"/>
    <cellStyle name="SAPBEXHLevel3X 3 2 4 3" xfId="51171"/>
    <cellStyle name="SAPBEXHLevel3X 3 2 5" xfId="49981"/>
    <cellStyle name="SAPBEXHLevel3X 3 2 5 2" xfId="51026"/>
    <cellStyle name="SAPBEXHLevel3X 3 2 5 3" xfId="51579"/>
    <cellStyle name="SAPBEXHLevel3X 3 2 6" xfId="50682"/>
    <cellStyle name="SAPBEXHLevel3X 3 2 7" xfId="51143"/>
    <cellStyle name="SAPBEXHLevel3X 3 2 8" xfId="49323"/>
    <cellStyle name="SAPBEXHLevel3X 3 3" xfId="46610"/>
    <cellStyle name="SAPBEXHLevel3X 3 3 2" xfId="49568"/>
    <cellStyle name="SAPBEXHLevel3X 3 3 2 2" xfId="49896"/>
    <cellStyle name="SAPBEXHLevel3X 3 3 2 2 2" xfId="50113"/>
    <cellStyle name="SAPBEXHLevel3X 3 3 2 2 3" xfId="51316"/>
    <cellStyle name="SAPBEXHLevel3X 3 3 2 3" xfId="50471"/>
    <cellStyle name="SAPBEXHLevel3X 3 3 2 4" xfId="51442"/>
    <cellStyle name="SAPBEXHLevel3X 3 3 3" xfId="49602"/>
    <cellStyle name="SAPBEXHLevel3X 3 3 3 2" xfId="49930"/>
    <cellStyle name="SAPBEXHLevel3X 3 3 3 2 2" xfId="50082"/>
    <cellStyle name="SAPBEXHLevel3X 3 3 3 2 3" xfId="51286"/>
    <cellStyle name="SAPBEXHLevel3X 3 3 3 3" xfId="50437"/>
    <cellStyle name="SAPBEXHLevel3X 3 3 3 4" xfId="51251"/>
    <cellStyle name="SAPBEXHLevel3X 3 3 4" xfId="49707"/>
    <cellStyle name="SAPBEXHLevel3X 3 3 4 2" xfId="50274"/>
    <cellStyle name="SAPBEXHLevel3X 3 3 4 3" xfId="51430"/>
    <cellStyle name="SAPBEXHLevel3X 3 3 5" xfId="49980"/>
    <cellStyle name="SAPBEXHLevel3X 3 3 5 2" xfId="51025"/>
    <cellStyle name="SAPBEXHLevel3X 3 3 5 3" xfId="51322"/>
    <cellStyle name="SAPBEXHLevel3X 3 3 6" xfId="50681"/>
    <cellStyle name="SAPBEXHLevel3X 3 3 7" xfId="50801"/>
    <cellStyle name="SAPBEXHLevel3X 3 3 8" xfId="49324"/>
    <cellStyle name="SAPBEXHLevel3X 3 4" xfId="49325"/>
    <cellStyle name="SAPBEXHLevel3X 3 4 2" xfId="49569"/>
    <cellStyle name="SAPBEXHLevel3X 3 4 2 2" xfId="49897"/>
    <cellStyle name="SAPBEXHLevel3X 3 4 2 2 2" xfId="50112"/>
    <cellStyle name="SAPBEXHLevel3X 3 4 2 2 3" xfId="51573"/>
    <cellStyle name="SAPBEXHLevel3X 3 4 2 3" xfId="50470"/>
    <cellStyle name="SAPBEXHLevel3X 3 4 2 4" xfId="51364"/>
    <cellStyle name="SAPBEXHLevel3X 3 4 3" xfId="49603"/>
    <cellStyle name="SAPBEXHLevel3X 3 4 3 2" xfId="49931"/>
    <cellStyle name="SAPBEXHLevel3X 3 4 3 2 2" xfId="50081"/>
    <cellStyle name="SAPBEXHLevel3X 3 4 3 2 3" xfId="51544"/>
    <cellStyle name="SAPBEXHLevel3X 3 4 3 3" xfId="50060"/>
    <cellStyle name="SAPBEXHLevel3X 3 4 3 4" xfId="51508"/>
    <cellStyle name="SAPBEXHLevel3X 3 4 4" xfId="49708"/>
    <cellStyle name="SAPBEXHLevel3X 3 4 4 2" xfId="50273"/>
    <cellStyle name="SAPBEXHLevel3X 3 4 4 3" xfId="51379"/>
    <cellStyle name="SAPBEXHLevel3X 3 4 5" xfId="49979"/>
    <cellStyle name="SAPBEXHLevel3X 3 4 5 2" xfId="51024"/>
    <cellStyle name="SAPBEXHLevel3X 3 4 5 3" xfId="51549"/>
    <cellStyle name="SAPBEXHLevel3X 3 4 6" xfId="50680"/>
    <cellStyle name="SAPBEXHLevel3X 3 4 7" xfId="50870"/>
    <cellStyle name="SAPBEXHLevel3X 3 5" xfId="49326"/>
    <cellStyle name="SAPBEXHLevel3X 3 5 2" xfId="49570"/>
    <cellStyle name="SAPBEXHLevel3X 3 5 2 2" xfId="49898"/>
    <cellStyle name="SAPBEXHLevel3X 3 5 2 2 2" xfId="50111"/>
    <cellStyle name="SAPBEXHLevel3X 3 5 2 2 3" xfId="51403"/>
    <cellStyle name="SAPBEXHLevel3X 3 5 2 3" xfId="50469"/>
    <cellStyle name="SAPBEXHLevel3X 3 5 2 4" xfId="51596"/>
    <cellStyle name="SAPBEXHLevel3X 3 5 3" xfId="49604"/>
    <cellStyle name="SAPBEXHLevel3X 3 5 3 2" xfId="49932"/>
    <cellStyle name="SAPBEXHLevel3X 3 5 3 2 2" xfId="50080"/>
    <cellStyle name="SAPBEXHLevel3X 3 5 3 2 3" xfId="51317"/>
    <cellStyle name="SAPBEXHLevel3X 3 5 3 3" xfId="50821"/>
    <cellStyle name="SAPBEXHLevel3X 3 5 3 4" xfId="51179"/>
    <cellStyle name="SAPBEXHLevel3X 3 5 4" xfId="49709"/>
    <cellStyle name="SAPBEXHLevel3X 3 5 4 2" xfId="50272"/>
    <cellStyle name="SAPBEXHLevel3X 3 5 4 3" xfId="51623"/>
    <cellStyle name="SAPBEXHLevel3X 3 5 5" xfId="49978"/>
    <cellStyle name="SAPBEXHLevel3X 3 5 5 2" xfId="51023"/>
    <cellStyle name="SAPBEXHLevel3X 3 5 5 3" xfId="51291"/>
    <cellStyle name="SAPBEXHLevel3X 3 5 6" xfId="50679"/>
    <cellStyle name="SAPBEXHLevel3X 3 5 7" xfId="50944"/>
    <cellStyle name="SAPBEXHLevel3X 3 6" xfId="49327"/>
    <cellStyle name="SAPBEXHLevel3X 3 6 2" xfId="49571"/>
    <cellStyle name="SAPBEXHLevel3X 3 6 2 2" xfId="49899"/>
    <cellStyle name="SAPBEXHLevel3X 3 6 2 2 2" xfId="50110"/>
    <cellStyle name="SAPBEXHLevel3X 3 6 2 2 3" xfId="51597"/>
    <cellStyle name="SAPBEXHLevel3X 3 6 2 3" xfId="50468"/>
    <cellStyle name="SAPBEXHLevel3X 3 6 2 4" xfId="50911"/>
    <cellStyle name="SAPBEXHLevel3X 3 6 3" xfId="49605"/>
    <cellStyle name="SAPBEXHLevel3X 3 6 3 2" xfId="49933"/>
    <cellStyle name="SAPBEXHLevel3X 3 6 3 2 2" xfId="50079"/>
    <cellStyle name="SAPBEXHLevel3X 3 6 3 2 3" xfId="51574"/>
    <cellStyle name="SAPBEXHLevel3X 3 6 3 3" xfId="50062"/>
    <cellStyle name="SAPBEXHLevel3X 3 6 3 4" xfId="51437"/>
    <cellStyle name="SAPBEXHLevel3X 3 6 4" xfId="49710"/>
    <cellStyle name="SAPBEXHLevel3X 3 6 4 2" xfId="50271"/>
    <cellStyle name="SAPBEXHLevel3X 3 6 4 3" xfId="51254"/>
    <cellStyle name="SAPBEXHLevel3X 3 6 5" xfId="50045"/>
    <cellStyle name="SAPBEXHLevel3X 3 6 5 2" xfId="51089"/>
    <cellStyle name="SAPBEXHLevel3X 3 6 5 3" xfId="51328"/>
    <cellStyle name="SAPBEXHLevel3X 3 6 6" xfId="50678"/>
    <cellStyle name="SAPBEXHLevel3X 3 6 7" xfId="50884"/>
    <cellStyle name="SAPBEXHLevel3X 3 7" xfId="49328"/>
    <cellStyle name="SAPBEXHLevel3X 3 7 2" xfId="49572"/>
    <cellStyle name="SAPBEXHLevel3X 3 7 2 2" xfId="49900"/>
    <cellStyle name="SAPBEXHLevel3X 3 7 2 2 2" xfId="50109"/>
    <cellStyle name="SAPBEXHLevel3X 3 7 2 2 3" xfId="51277"/>
    <cellStyle name="SAPBEXHLevel3X 3 7 2 3" xfId="50467"/>
    <cellStyle name="SAPBEXHLevel3X 3 7 2 4" xfId="51247"/>
    <cellStyle name="SAPBEXHLevel3X 3 7 3" xfId="49606"/>
    <cellStyle name="SAPBEXHLevel3X 3 7 3 2" xfId="49934"/>
    <cellStyle name="SAPBEXHLevel3X 3 7 3 2 2" xfId="50078"/>
    <cellStyle name="SAPBEXHLevel3X 3 7 3 2 3" xfId="51404"/>
    <cellStyle name="SAPBEXHLevel3X 3 7 3 3" xfId="50830"/>
    <cellStyle name="SAPBEXHLevel3X 3 7 3 4" xfId="51369"/>
    <cellStyle name="SAPBEXHLevel3X 3 7 4" xfId="49711"/>
    <cellStyle name="SAPBEXHLevel3X 3 7 4 2" xfId="50270"/>
    <cellStyle name="SAPBEXHLevel3X 3 7 4 3" xfId="51511"/>
    <cellStyle name="SAPBEXHLevel3X 3 7 5" xfId="49977"/>
    <cellStyle name="SAPBEXHLevel3X 3 7 5 2" xfId="51022"/>
    <cellStyle name="SAPBEXHLevel3X 3 7 5 3" xfId="51116"/>
    <cellStyle name="SAPBEXHLevel3X 3 7 6" xfId="50677"/>
    <cellStyle name="SAPBEXHLevel3X 3 7 7" xfId="50955"/>
    <cellStyle name="SAPBEXHLevel3X 3 8" xfId="49329"/>
    <cellStyle name="SAPBEXHLevel3X 3 8 2" xfId="49573"/>
    <cellStyle name="SAPBEXHLevel3X 3 8 2 2" xfId="49901"/>
    <cellStyle name="SAPBEXHLevel3X 3 8 2 2 2" xfId="50108"/>
    <cellStyle name="SAPBEXHLevel3X 3 8 2 2 3" xfId="51535"/>
    <cellStyle name="SAPBEXHLevel3X 3 8 2 3" xfId="50466"/>
    <cellStyle name="SAPBEXHLevel3X 3 8 2 4" xfId="51504"/>
    <cellStyle name="SAPBEXHLevel3X 3 8 3" xfId="49607"/>
    <cellStyle name="SAPBEXHLevel3X 3 8 3 2" xfId="49935"/>
    <cellStyle name="SAPBEXHLevel3X 3 8 3 2 2" xfId="50077"/>
    <cellStyle name="SAPBEXHLevel3X 3 8 3 2 3" xfId="51663"/>
    <cellStyle name="SAPBEXHLevel3X 3 8 3 3" xfId="50820"/>
    <cellStyle name="SAPBEXHLevel3X 3 8 3 4" xfId="51631"/>
    <cellStyle name="SAPBEXHLevel3X 3 8 4" xfId="49712"/>
    <cellStyle name="SAPBEXHLevel3X 3 8 4 2" xfId="50988"/>
    <cellStyle name="SAPBEXHLevel3X 3 8 4 3" xfId="51252"/>
    <cellStyle name="SAPBEXHLevel3X 3 8 5" xfId="49964"/>
    <cellStyle name="SAPBEXHLevel3X 3 8 5 2" xfId="51009"/>
    <cellStyle name="SAPBEXHLevel3X 3 8 5 3" xfId="51320"/>
    <cellStyle name="SAPBEXHLevel3X 3 8 6" xfId="50676"/>
    <cellStyle name="SAPBEXHLevel3X 3 8 7" xfId="50641"/>
    <cellStyle name="SAPBEXHLevel3X 3 9" xfId="49566"/>
    <cellStyle name="SAPBEXHLevel3X 3 9 2" xfId="49894"/>
    <cellStyle name="SAPBEXHLevel3X 3 9 2 2" xfId="50115"/>
    <cellStyle name="SAPBEXHLevel3X 3 9 2 3" xfId="51284"/>
    <cellStyle name="SAPBEXHLevel3X 3 9 3" xfId="50473"/>
    <cellStyle name="SAPBEXHLevel3X 3 9 4" xfId="51503"/>
    <cellStyle name="SAPBEXHLevel3X 30" xfId="46611"/>
    <cellStyle name="SAPBEXHLevel3X 31" xfId="46612"/>
    <cellStyle name="SAPBEXHLevel3X 32" xfId="46613"/>
    <cellStyle name="SAPBEXHLevel3X 33" xfId="46614"/>
    <cellStyle name="SAPBEXHLevel3X 34" xfId="49320"/>
    <cellStyle name="SAPBEXHLevel3X 4" xfId="46615"/>
    <cellStyle name="SAPBEXHLevel3X 4 2" xfId="46616"/>
    <cellStyle name="SAPBEXHLevel3X 4 2 2" xfId="50117"/>
    <cellStyle name="SAPBEXHLevel3X 4 2 3" xfId="51609"/>
    <cellStyle name="SAPBEXHLevel3X 4 2 4" xfId="49892"/>
    <cellStyle name="SAPBEXHLevel3X 4 3" xfId="50475"/>
    <cellStyle name="SAPBEXHLevel3X 4 4" xfId="50959"/>
    <cellStyle name="SAPBEXHLevel3X 4 5" xfId="49564"/>
    <cellStyle name="SAPBEXHLevel3X 5" xfId="46617"/>
    <cellStyle name="SAPBEXHLevel3X 5 2" xfId="46618"/>
    <cellStyle name="SAPBEXHLevel3X 5 2 2" xfId="50856"/>
    <cellStyle name="SAPBEXHLevel3X 5 2 3" xfId="51519"/>
    <cellStyle name="SAPBEXHLevel3X 5 2 4" xfId="49728"/>
    <cellStyle name="SAPBEXHLevel3X 5 3" xfId="50638"/>
    <cellStyle name="SAPBEXHLevel3X 5 4" xfId="51481"/>
    <cellStyle name="SAPBEXHLevel3X 5 5" xfId="49400"/>
    <cellStyle name="SAPBEXHLevel3X 6" xfId="46619"/>
    <cellStyle name="SAPBEXHLevel3X 6 2" xfId="46620"/>
    <cellStyle name="SAPBEXHLevel3X 6 2 2" xfId="50278"/>
    <cellStyle name="SAPBEXHLevel3X 6 3" xfId="51261"/>
    <cellStyle name="SAPBEXHLevel3X 6 4" xfId="49703"/>
    <cellStyle name="SAPBEXHLevel3X 7" xfId="46621"/>
    <cellStyle name="SAPBEXHLevel3X 7 2" xfId="46622"/>
    <cellStyle name="SAPBEXHLevel3X 7 2 2" xfId="51094"/>
    <cellStyle name="SAPBEXHLevel3X 7 3" xfId="50984"/>
    <cellStyle name="SAPBEXHLevel3X 7 4" xfId="50050"/>
    <cellStyle name="SAPBEXHLevel3X 8" xfId="46623"/>
    <cellStyle name="SAPBEXHLevel3X 8 2" xfId="46624"/>
    <cellStyle name="SAPBEXHLevel3X 8 3" xfId="50685"/>
    <cellStyle name="SAPBEXHLevel3X 9" xfId="46625"/>
    <cellStyle name="SAPBEXHLevel3X 9 2" xfId="46626"/>
    <cellStyle name="SAPBEXHLevel3X 9 3" xfId="50660"/>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19" xfId="4933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18" xfId="4933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14" xfId="49333"/>
    <cellStyle name="SAPBEXinputData 3 2 2" xfId="46872"/>
    <cellStyle name="SAPBEXinputData 3 2 2 2" xfId="46873"/>
    <cellStyle name="SAPBEXinputData 3 2 2 3" xfId="46874"/>
    <cellStyle name="SAPBEXinputData 3 2 2 4" xfId="49388"/>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2 2" xfId="49389"/>
    <cellStyle name="SAPBEXinputData 3 3 3" xfId="46900"/>
    <cellStyle name="SAPBEXinputData 3 3 4" xfId="49334"/>
    <cellStyle name="SAPBEXinputData 3 30" xfId="46901"/>
    <cellStyle name="SAPBEXinputData 3 31" xfId="49332"/>
    <cellStyle name="SAPBEXinputData 3 4" xfId="46902"/>
    <cellStyle name="SAPBEXinputData 3 4 2" xfId="46903"/>
    <cellStyle name="SAPBEXinputData 3 4 2 2" xfId="49390"/>
    <cellStyle name="SAPBEXinputData 3 4 3" xfId="49335"/>
    <cellStyle name="SAPBEXinputData 3 5" xfId="46904"/>
    <cellStyle name="SAPBEXinputData 3 5 2" xfId="46905"/>
    <cellStyle name="SAPBEXinputData 3 5 2 2" xfId="49391"/>
    <cellStyle name="SAPBEXinputData 3 5 3" xfId="49336"/>
    <cellStyle name="SAPBEXinputData 3 6" xfId="46906"/>
    <cellStyle name="SAPBEXinputData 3 6 2" xfId="46907"/>
    <cellStyle name="SAPBEXinputData 3 6 2 2" xfId="49392"/>
    <cellStyle name="SAPBEXinputData 3 6 3" xfId="49337"/>
    <cellStyle name="SAPBEXinputData 3 7" xfId="46908"/>
    <cellStyle name="SAPBEXinputData 3 7 2" xfId="46909"/>
    <cellStyle name="SAPBEXinputData 3 7 2 2" xfId="49393"/>
    <cellStyle name="SAPBEXinputData 3 7 3" xfId="49338"/>
    <cellStyle name="SAPBEXinputData 3 8" xfId="46910"/>
    <cellStyle name="SAPBEXinputData 3 8 2" xfId="46911"/>
    <cellStyle name="SAPBEXinputData 3 8 2 2" xfId="49394"/>
    <cellStyle name="SAPBEXinputData 3 8 3" xfId="49339"/>
    <cellStyle name="SAPBEXinputData 3 9" xfId="46912"/>
    <cellStyle name="SAPBEXinputData 3 9 2" xfId="46913"/>
    <cellStyle name="SAPBEXinputData 3 9 3" xfId="49387"/>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31" xfId="49386"/>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2 2" xfId="50106"/>
    <cellStyle name="SAPBEXItemHeader 2 2 3" xfId="51533"/>
    <cellStyle name="SAPBEXItemHeader 2 2 4" xfId="49903"/>
    <cellStyle name="SAPBEXItemHeader 2 3" xfId="47072"/>
    <cellStyle name="SAPBEXItemHeader 2 3 2" xfId="50464"/>
    <cellStyle name="SAPBEXItemHeader 2 4" xfId="51441"/>
    <cellStyle name="SAPBEXItemHeader 2 5" xfId="49575"/>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 2" xfId="49936"/>
    <cellStyle name="SAPBEXItemHeader 3 2 2" xfId="50076"/>
    <cellStyle name="SAPBEXItemHeader 3 2 3" xfId="50787"/>
    <cellStyle name="SAPBEXItemHeader 3 3" xfId="50064"/>
    <cellStyle name="SAPBEXItemHeader 3 4" xfId="51250"/>
    <cellStyle name="SAPBEXItemHeader 3 5" xfId="49608"/>
    <cellStyle name="SAPBEXItemHeader 30" xfId="47084"/>
    <cellStyle name="SAPBEXItemHeader 31" xfId="47085"/>
    <cellStyle name="SAPBEXItemHeader 32" xfId="47086"/>
    <cellStyle name="SAPBEXItemHeader 33" xfId="49340"/>
    <cellStyle name="SAPBEXItemHeader 4" xfId="47087"/>
    <cellStyle name="SAPBEXItemHeader 4 2" xfId="50899"/>
    <cellStyle name="SAPBEXItemHeader 4 3" xfId="51509"/>
    <cellStyle name="SAPBEXItemHeader 4 4" xfId="49713"/>
    <cellStyle name="SAPBEXItemHeader 5" xfId="47088"/>
    <cellStyle name="SAPBEXItemHeader 5 2" xfId="51092"/>
    <cellStyle name="SAPBEXItemHeader 5 3" xfId="51415"/>
    <cellStyle name="SAPBEXItemHeader 5 4" xfId="50048"/>
    <cellStyle name="SAPBEXItemHeader 6" xfId="47089"/>
    <cellStyle name="SAPBEXItemHeader 6 2" xfId="50674"/>
    <cellStyle name="SAPBEXItemHeader 7" xfId="47090"/>
    <cellStyle name="SAPBEXItemHeader 7 2" xfId="50908"/>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2 2" xfId="50105"/>
    <cellStyle name="SAPBEXresData 2 2 3" xfId="51158"/>
    <cellStyle name="SAPBEXresData 2 2 4" xfId="49904"/>
    <cellStyle name="SAPBEXresData 2 3" xfId="47105"/>
    <cellStyle name="SAPBEXresData 2 3 2" xfId="50463"/>
    <cellStyle name="SAPBEXresData 2 4" xfId="51365"/>
    <cellStyle name="SAPBEXresData 2 5" xfId="49576"/>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 2" xfId="49937"/>
    <cellStyle name="SAPBEXresData 3 2 2" xfId="50075"/>
    <cellStyle name="SAPBEXresData 3 2 3" xfId="50864"/>
    <cellStyle name="SAPBEXresData 3 3" xfId="50436"/>
    <cellStyle name="SAPBEXresData 3 4" xfId="51507"/>
    <cellStyle name="SAPBEXresData 3 5" xfId="49609"/>
    <cellStyle name="SAPBEXresData 30" xfId="47117"/>
    <cellStyle name="SAPBEXresData 31" xfId="47118"/>
    <cellStyle name="SAPBEXresData 32" xfId="47119"/>
    <cellStyle name="SAPBEXresData 33" xfId="49341"/>
    <cellStyle name="SAPBEXresData 4" xfId="47120"/>
    <cellStyle name="SAPBEXresData 4 2" xfId="50963"/>
    <cellStyle name="SAPBEXresData 4 3" xfId="51178"/>
    <cellStyle name="SAPBEXresData 4 4" xfId="49714"/>
    <cellStyle name="SAPBEXresData 5" xfId="47121"/>
    <cellStyle name="SAPBEXresData 5 2" xfId="51004"/>
    <cellStyle name="SAPBEXresData 5 3" xfId="51114"/>
    <cellStyle name="SAPBEXresData 5 4" xfId="49959"/>
    <cellStyle name="SAPBEXresData 6" xfId="47122"/>
    <cellStyle name="SAPBEXresData 6 2" xfId="50673"/>
    <cellStyle name="SAPBEXresData 7" xfId="47123"/>
    <cellStyle name="SAPBEXresData 7 2" xfId="51144"/>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33" xfId="49342"/>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2 2" xfId="50104"/>
    <cellStyle name="SAPBEXresItem 2 2 3" xfId="51418"/>
    <cellStyle name="SAPBEXresItem 2 2 4" xfId="49905"/>
    <cellStyle name="SAPBEXresItem 2 3" xfId="47173"/>
    <cellStyle name="SAPBEXresItem 2 3 2" xfId="50462"/>
    <cellStyle name="SAPBEXresItem 2 4" xfId="51634"/>
    <cellStyle name="SAPBEXresItem 2 5" xfId="49577"/>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 2" xfId="49938"/>
    <cellStyle name="SAPBEXresItem 3 2 2" xfId="50824"/>
    <cellStyle name="SAPBEXresItem 3 2 3" xfId="50985"/>
    <cellStyle name="SAPBEXresItem 3 3" xfId="50435"/>
    <cellStyle name="SAPBEXresItem 3 4" xfId="51180"/>
    <cellStyle name="SAPBEXresItem 3 5" xfId="49610"/>
    <cellStyle name="SAPBEXresItem 30" xfId="47185"/>
    <cellStyle name="SAPBEXresItem 31" xfId="47186"/>
    <cellStyle name="SAPBEXresItem 32" xfId="47187"/>
    <cellStyle name="SAPBEXresItem 33" xfId="49343"/>
    <cellStyle name="SAPBEXresItem 4" xfId="47188"/>
    <cellStyle name="SAPBEXresItem 4 2" xfId="50892"/>
    <cellStyle name="SAPBEXresItem 4 3" xfId="50920"/>
    <cellStyle name="SAPBEXresItem 4 4" xfId="49715"/>
    <cellStyle name="SAPBEXresItem 5" xfId="47189"/>
    <cellStyle name="SAPBEXresItem 5 2" xfId="51003"/>
    <cellStyle name="SAPBEXresItem 5 3" xfId="51592"/>
    <cellStyle name="SAPBEXresItem 5 4" xfId="49958"/>
    <cellStyle name="SAPBEXresItem 6" xfId="47190"/>
    <cellStyle name="SAPBEXresItem 6 2" xfId="50672"/>
    <cellStyle name="SAPBEXresItem 7" xfId="47191"/>
    <cellStyle name="SAPBEXresItem 7 2" xfId="50639"/>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2 2" xfId="50103"/>
    <cellStyle name="SAPBEXresItemX 2 2 3" xfId="51394"/>
    <cellStyle name="SAPBEXresItemX 2 2 4" xfId="49906"/>
    <cellStyle name="SAPBEXresItemX 2 3" xfId="47207"/>
    <cellStyle name="SAPBEXresItemX 2 3 2" xfId="50461"/>
    <cellStyle name="SAPBEXresItemX 2 4" xfId="50975"/>
    <cellStyle name="SAPBEXresItemX 2 5" xfId="49578"/>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 2" xfId="49939"/>
    <cellStyle name="SAPBEXresItemX 3 2 2" xfId="50074"/>
    <cellStyle name="SAPBEXresItemX 3 2 3" xfId="50934"/>
    <cellStyle name="SAPBEXresItemX 3 3" xfId="50434"/>
    <cellStyle name="SAPBEXresItemX 3 4" xfId="51438"/>
    <cellStyle name="SAPBEXresItemX 3 5" xfId="49611"/>
    <cellStyle name="SAPBEXresItemX 30" xfId="47219"/>
    <cellStyle name="SAPBEXresItemX 31" xfId="47220"/>
    <cellStyle name="SAPBEXresItemX 32" xfId="47221"/>
    <cellStyle name="SAPBEXresItemX 33" xfId="49344"/>
    <cellStyle name="SAPBEXresItemX 4" xfId="47222"/>
    <cellStyle name="SAPBEXresItemX 4 2" xfId="50950"/>
    <cellStyle name="SAPBEXresItemX 4 3" xfId="51436"/>
    <cellStyle name="SAPBEXresItemX 4 4" xfId="49716"/>
    <cellStyle name="SAPBEXresItemX 5" xfId="47223"/>
    <cellStyle name="SAPBEXresItemX 5 2" xfId="51021"/>
    <cellStyle name="SAPBEXresItemX 5 3" xfId="51607"/>
    <cellStyle name="SAPBEXresItemX 5 4" xfId="49976"/>
    <cellStyle name="SAPBEXresItemX 6" xfId="47224"/>
    <cellStyle name="SAPBEXresItemX 6 2" xfId="50671"/>
    <cellStyle name="SAPBEXresItemX 7" xfId="47225"/>
    <cellStyle name="SAPBEXresItemX 7 2" xfId="51157"/>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2 2" xfId="50102"/>
    <cellStyle name="SAPBEXstdData 2 2 3" xfId="51665"/>
    <cellStyle name="SAPBEXstdData 2 2 4" xfId="49907"/>
    <cellStyle name="SAPBEXstdData 2 3" xfId="47240"/>
    <cellStyle name="SAPBEXstdData 2 3 2" xfId="50460"/>
    <cellStyle name="SAPBEXstdData 2 4" xfId="51248"/>
    <cellStyle name="SAPBEXstdData 2 5" xfId="49579"/>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 2" xfId="49940"/>
    <cellStyle name="SAPBEXstdData 3 2 2" xfId="50073"/>
    <cellStyle name="SAPBEXstdData 3 2 3" xfId="50930"/>
    <cellStyle name="SAPBEXstdData 3 3" xfId="50433"/>
    <cellStyle name="SAPBEXstdData 3 4" xfId="51305"/>
    <cellStyle name="SAPBEXstdData 3 5" xfId="49612"/>
    <cellStyle name="SAPBEXstdData 30" xfId="47252"/>
    <cellStyle name="SAPBEXstdData 31" xfId="47253"/>
    <cellStyle name="SAPBEXstdData 32" xfId="47254"/>
    <cellStyle name="SAPBEXstdData 33" xfId="49345"/>
    <cellStyle name="SAPBEXstdData 4" xfId="47255"/>
    <cellStyle name="SAPBEXstdData 4 2" xfId="49953"/>
    <cellStyle name="SAPBEXstdData 4 2 2" xfId="50998"/>
    <cellStyle name="SAPBEXstdData 4 2 3" xfId="51288"/>
    <cellStyle name="SAPBEXstdData 4 3" xfId="50425"/>
    <cellStyle name="SAPBEXstdData 4 4" xfId="51510"/>
    <cellStyle name="SAPBEXstdData 4 5" xfId="49625"/>
    <cellStyle name="SAPBEXstdData 5" xfId="47256"/>
    <cellStyle name="SAPBEXstdData 5 2" xfId="50877"/>
    <cellStyle name="SAPBEXstdData 5 3" xfId="51370"/>
    <cellStyle name="SAPBEXstdData 5 4" xfId="49717"/>
    <cellStyle name="SAPBEXstdData 6" xfId="47257"/>
    <cellStyle name="SAPBEXstdData 6 2" xfId="51020"/>
    <cellStyle name="SAPBEXstdData 6 3" xfId="51408"/>
    <cellStyle name="SAPBEXstdData 6 4" xfId="49975"/>
    <cellStyle name="SAPBEXstdData 7" xfId="47258"/>
    <cellStyle name="SAPBEXstdData 7 2" xfId="50670"/>
    <cellStyle name="SAPBEXstdData 8" xfId="47259"/>
    <cellStyle name="SAPBEXstdData 8 2" xfId="50915"/>
    <cellStyle name="SAPBEXstdData 9" xfId="47260"/>
    <cellStyle name="SAPBEXstdData 9 2" xfId="50868"/>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2 2" xfId="50101"/>
    <cellStyle name="SAPBEXstdDataEmph 2 2 3" xfId="51099"/>
    <cellStyle name="SAPBEXstdDataEmph 2 2 4" xfId="49908"/>
    <cellStyle name="SAPBEXstdDataEmph 2 3" xfId="47274"/>
    <cellStyle name="SAPBEXstdDataEmph 2 3 2" xfId="50459"/>
    <cellStyle name="SAPBEXstdDataEmph 2 4" xfId="51505"/>
    <cellStyle name="SAPBEXstdDataEmph 2 5" xfId="49580"/>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 2" xfId="49941"/>
    <cellStyle name="SAPBEXstdDataEmph 3 2 2" xfId="50072"/>
    <cellStyle name="SAPBEXstdDataEmph 3 2 3" xfId="50854"/>
    <cellStyle name="SAPBEXstdDataEmph 3 3" xfId="50432"/>
    <cellStyle name="SAPBEXstdDataEmph 3 4" xfId="51562"/>
    <cellStyle name="SAPBEXstdDataEmph 3 5" xfId="49613"/>
    <cellStyle name="SAPBEXstdDataEmph 30" xfId="47286"/>
    <cellStyle name="SAPBEXstdDataEmph 31" xfId="47287"/>
    <cellStyle name="SAPBEXstdDataEmph 32" xfId="47288"/>
    <cellStyle name="SAPBEXstdDataEmph 33" xfId="49346"/>
    <cellStyle name="SAPBEXstdDataEmph 4" xfId="47289"/>
    <cellStyle name="SAPBEXstdDataEmph 4 2" xfId="49954"/>
    <cellStyle name="SAPBEXstdDataEmph 4 2 2" xfId="50999"/>
    <cellStyle name="SAPBEXstdDataEmph 4 2 3" xfId="51546"/>
    <cellStyle name="SAPBEXstdDataEmph 4 3" xfId="50986"/>
    <cellStyle name="SAPBEXstdDataEmph 4 4" xfId="51177"/>
    <cellStyle name="SAPBEXstdDataEmph 4 5" xfId="49626"/>
    <cellStyle name="SAPBEXstdDataEmph 5" xfId="47290"/>
    <cellStyle name="SAPBEXstdDataEmph 5 2" xfId="50922"/>
    <cellStyle name="SAPBEXstdDataEmph 5 3" xfId="51630"/>
    <cellStyle name="SAPBEXstdDataEmph 5 4" xfId="49718"/>
    <cellStyle name="SAPBEXstdDataEmph 6" xfId="47291"/>
    <cellStyle name="SAPBEXstdDataEmph 6 2" xfId="51019"/>
    <cellStyle name="SAPBEXstdDataEmph 6 3" xfId="51587"/>
    <cellStyle name="SAPBEXstdDataEmph 6 4" xfId="49974"/>
    <cellStyle name="SAPBEXstdDataEmph 7" xfId="47292"/>
    <cellStyle name="SAPBEXstdDataEmph 7 2" xfId="50669"/>
    <cellStyle name="SAPBEXstdDataEmph 8" xfId="47293"/>
    <cellStyle name="SAPBEXstdDataEmph 8 2" xfId="50969"/>
    <cellStyle name="SAPBEXstdDataEmph 9" xfId="47294"/>
    <cellStyle name="SAPBEXstdDataEmph 9 2" xfId="5167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2 2" xfId="50100"/>
    <cellStyle name="SAPBEXstdItem 2 2 3" xfId="51100"/>
    <cellStyle name="SAPBEXstdItem 2 2 4" xfId="49909"/>
    <cellStyle name="SAPBEXstdItem 2 3" xfId="47308"/>
    <cellStyle name="SAPBEXstdItem 2 3 2" xfId="50458"/>
    <cellStyle name="SAPBEXstdItem 2 4" xfId="51182"/>
    <cellStyle name="SAPBEXstdItem 2 5" xfId="49581"/>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 2" xfId="49942"/>
    <cellStyle name="SAPBEXstdItem 3 2 2" xfId="50823"/>
    <cellStyle name="SAPBEXstdItem 3 2 3" xfId="51111"/>
    <cellStyle name="SAPBEXstdItem 3 3" xfId="50431"/>
    <cellStyle name="SAPBEXstdItem 3 4" xfId="51368"/>
    <cellStyle name="SAPBEXstdItem 3 5" xfId="49614"/>
    <cellStyle name="SAPBEXstdItem 30" xfId="47320"/>
    <cellStyle name="SAPBEXstdItem 31" xfId="47321"/>
    <cellStyle name="SAPBEXstdItem 32" xfId="47322"/>
    <cellStyle name="SAPBEXstdItem 33" xfId="49347"/>
    <cellStyle name="SAPBEXstdItem 4" xfId="47323"/>
    <cellStyle name="SAPBEXstdItem 4 2" xfId="49955"/>
    <cellStyle name="SAPBEXstdItem 4 2 2" xfId="51000"/>
    <cellStyle name="SAPBEXstdItem 4 2 3" xfId="51319"/>
    <cellStyle name="SAPBEXstdItem 4 3" xfId="50901"/>
    <cellStyle name="SAPBEXstdItem 4 4" xfId="51435"/>
    <cellStyle name="SAPBEXstdItem 4 5" xfId="49627"/>
    <cellStyle name="SAPBEXstdItem 5" xfId="47324"/>
    <cellStyle name="SAPBEXstdItem 5 2" xfId="50857"/>
    <cellStyle name="SAPBEXstdItem 5 3" xfId="50889"/>
    <cellStyle name="SAPBEXstdItem 5 4" xfId="49719"/>
    <cellStyle name="SAPBEXstdItem 6" xfId="47325"/>
    <cellStyle name="SAPBEXstdItem 6 2" xfId="51018"/>
    <cellStyle name="SAPBEXstdItem 6 3" xfId="51332"/>
    <cellStyle name="SAPBEXstdItem 6 4" xfId="49973"/>
    <cellStyle name="SAPBEXstdItem 7" xfId="47326"/>
    <cellStyle name="SAPBEXstdItem 7 2" xfId="50668"/>
    <cellStyle name="SAPBEXstdItem 8" xfId="47327"/>
    <cellStyle name="SAPBEXstdItem 8 2" xfId="50802"/>
    <cellStyle name="SAPBEXstdItem 9" xfId="47328"/>
    <cellStyle name="SAPBEXstdItem 9 2" xfId="50880"/>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2 2" xfId="50099"/>
    <cellStyle name="SAPBEXstdItemX 2 2 3" xfId="51101"/>
    <cellStyle name="SAPBEXstdItemX 2 2 4" xfId="49910"/>
    <cellStyle name="SAPBEXstdItemX 2 3" xfId="47342"/>
    <cellStyle name="SAPBEXstdItemX 2 3 2" xfId="50457"/>
    <cellStyle name="SAPBEXstdItemX 2 4" xfId="51440"/>
    <cellStyle name="SAPBEXstdItemX 2 5" xfId="4958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 2" xfId="49943"/>
    <cellStyle name="SAPBEXstdItemX 3 2 2" xfId="50071"/>
    <cellStyle name="SAPBEXstdItemX 3 2 3" xfId="51287"/>
    <cellStyle name="SAPBEXstdItemX 3 3" xfId="50054"/>
    <cellStyle name="SAPBEXstdItemX 3 4" xfId="51632"/>
    <cellStyle name="SAPBEXstdItemX 3 5" xfId="49615"/>
    <cellStyle name="SAPBEXstdItemX 30" xfId="47354"/>
    <cellStyle name="SAPBEXstdItemX 31" xfId="47355"/>
    <cellStyle name="SAPBEXstdItemX 32" xfId="47356"/>
    <cellStyle name="SAPBEXstdItemX 33" xfId="49348"/>
    <cellStyle name="SAPBEXstdItemX 4" xfId="47357"/>
    <cellStyle name="SAPBEXstdItemX 4 2" xfId="50269"/>
    <cellStyle name="SAPBEXstdItemX 4 3" xfId="50642"/>
    <cellStyle name="SAPBEXstdItemX 4 4" xfId="49720"/>
    <cellStyle name="SAPBEXstdItemX 5" xfId="47358"/>
    <cellStyle name="SAPBEXstdItemX 5 2" xfId="51017"/>
    <cellStyle name="SAPBEXstdItemX 5 3" xfId="51578"/>
    <cellStyle name="SAPBEXstdItemX 5 4" xfId="49972"/>
    <cellStyle name="SAPBEXstdItemX 6" xfId="47359"/>
    <cellStyle name="SAPBEXstdItemX 6 2" xfId="50667"/>
    <cellStyle name="SAPBEXstdItemX 7" xfId="47360"/>
    <cellStyle name="SAPBEXstdItemX 7 2" xfId="50803"/>
    <cellStyle name="SAPBEXstdItemX 8" xfId="47361"/>
    <cellStyle name="SAPBEXstdItemX 9" xfId="47362"/>
    <cellStyle name="SAPBEXtitle" xfId="70"/>
    <cellStyle name="SAPBEXtitle 2" xfId="47363"/>
    <cellStyle name="SAPBEXtitle 2 2" xfId="47364"/>
    <cellStyle name="SAPBEXtitle 2 2 2" xfId="50098"/>
    <cellStyle name="SAPBEXtitle 2 2 3" xfId="51102"/>
    <cellStyle name="SAPBEXtitle 2 2 4" xfId="49911"/>
    <cellStyle name="SAPBEXtitle 2 3" xfId="50456"/>
    <cellStyle name="SAPBEXtitle 2 4" xfId="51366"/>
    <cellStyle name="SAPBEXtitle 2 5" xfId="49583"/>
    <cellStyle name="SAPBEXtitle 3" xfId="49616"/>
    <cellStyle name="SAPBEXtitle 3 2" xfId="49944"/>
    <cellStyle name="SAPBEXtitle 3 2 2" xfId="50070"/>
    <cellStyle name="SAPBEXtitle 3 2 3" xfId="51545"/>
    <cellStyle name="SAPBEXtitle 3 3" xfId="50430"/>
    <cellStyle name="SAPBEXtitle 3 4" xfId="51137"/>
    <cellStyle name="SAPBEXtitle 4" xfId="49721"/>
    <cellStyle name="SAPBEXtitle 4 2" xfId="50971"/>
    <cellStyle name="SAPBEXtitle 4 3" xfId="51262"/>
    <cellStyle name="SAPBEXtitle 5" xfId="49971"/>
    <cellStyle name="SAPBEXtitle 5 2" xfId="51016"/>
    <cellStyle name="SAPBEXtitle 5 3" xfId="51321"/>
    <cellStyle name="SAPBEXtitle 6" xfId="50666"/>
    <cellStyle name="SAPBEXtitle 7" xfId="50871"/>
    <cellStyle name="SAPBEXtitle 8" xfId="49349"/>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18" xfId="49350"/>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2 2" xfId="50097"/>
    <cellStyle name="SAPBEXundefined 2 2 3" xfId="47596"/>
    <cellStyle name="SAPBEXundefined 2 2 3 2" xfId="51149"/>
    <cellStyle name="SAPBEXundefined 2 2 4" xfId="49912"/>
    <cellStyle name="SAPBEXundefined 2 3" xfId="47597"/>
    <cellStyle name="SAPBEXundefined 2 3 2" xfId="47598"/>
    <cellStyle name="SAPBEXundefined 2 3 3" xfId="50455"/>
    <cellStyle name="SAPBEXundefined 2 4" xfId="47599"/>
    <cellStyle name="SAPBEXundefined 2 4 2" xfId="51633"/>
    <cellStyle name="SAPBEXundefined 2 5" xfId="49584"/>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2 2" xfId="50990"/>
    <cellStyle name="SAPBEXundefined 3 2 3" xfId="51318"/>
    <cellStyle name="SAPBEXundefined 3 2 4" xfId="49945"/>
    <cellStyle name="SAPBEXundefined 3 3" xfId="47612"/>
    <cellStyle name="SAPBEXundefined 3 3 2" xfId="50429"/>
    <cellStyle name="SAPBEXundefined 3 4" xfId="50936"/>
    <cellStyle name="SAPBEXundefined 3 5" xfId="49617"/>
    <cellStyle name="SAPBEXundefined 30" xfId="47613"/>
    <cellStyle name="SAPBEXundefined 31" xfId="47614"/>
    <cellStyle name="SAPBEXundefined 32" xfId="47615"/>
    <cellStyle name="SAPBEXundefined 33" xfId="49351"/>
    <cellStyle name="SAPBEXundefined 4" xfId="47616"/>
    <cellStyle name="SAPBEXundefined 4 2" xfId="47617"/>
    <cellStyle name="SAPBEXundefined 4 2 2" xfId="51001"/>
    <cellStyle name="SAPBEXundefined 4 2 3" xfId="51576"/>
    <cellStyle name="SAPBEXundefined 4 2 4" xfId="49956"/>
    <cellStyle name="SAPBEXundefined 4 3" xfId="50926"/>
    <cellStyle name="SAPBEXundefined 4 4" xfId="50819"/>
    <cellStyle name="SAPBEXundefined 4 5" xfId="49628"/>
    <cellStyle name="SAPBEXundefined 5" xfId="47618"/>
    <cellStyle name="SAPBEXundefined 5 2" xfId="50898"/>
    <cellStyle name="SAPBEXundefined 5 3" xfId="51520"/>
    <cellStyle name="SAPBEXundefined 5 4" xfId="49722"/>
    <cellStyle name="SAPBEXundefined 6" xfId="47619"/>
    <cellStyle name="SAPBEXundefined 6 2" xfId="51015"/>
    <cellStyle name="SAPBEXundefined 6 3" xfId="51548"/>
    <cellStyle name="SAPBEXundefined 6 4" xfId="49970"/>
    <cellStyle name="SAPBEXundefined 7" xfId="47620"/>
    <cellStyle name="SAPBEXundefined 7 2" xfId="50665"/>
    <cellStyle name="SAPBEXundefined 8" xfId="47621"/>
    <cellStyle name="SAPBEXundefined 8 2" xfId="51145"/>
    <cellStyle name="SAPBEXundefined 9" xfId="47622"/>
    <cellStyle name="SAPBEXundefined 9 2" xfId="51683"/>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eet Title 8" xfId="49352"/>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11" xfId="49353"/>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 2" xfId="49585"/>
    <cellStyle name="Sub-total 2 2" xfId="49913"/>
    <cellStyle name="Sub-total 2 2 2" xfId="50096"/>
    <cellStyle name="Sub-total 2 2 3" xfId="51103"/>
    <cellStyle name="Sub-total 2 3" xfId="50454"/>
    <cellStyle name="Sub-total 2 4" xfId="50808"/>
    <cellStyle name="Sub-total 3" xfId="49618"/>
    <cellStyle name="Sub-total 3 2" xfId="49946"/>
    <cellStyle name="Sub-total 3 2 2" xfId="50991"/>
    <cellStyle name="Sub-total 3 2 3" xfId="51575"/>
    <cellStyle name="Sub-total 3 3" xfId="50428"/>
    <cellStyle name="Sub-total 3 4" xfId="51135"/>
    <cellStyle name="Sub-total 4" xfId="49723"/>
    <cellStyle name="Sub-total 4 2" xfId="50964"/>
    <cellStyle name="Sub-total 4 3" xfId="51169"/>
    <cellStyle name="Sub-total 5" xfId="49969"/>
    <cellStyle name="Sub-total 5 2" xfId="51014"/>
    <cellStyle name="Sub-total 5 3" xfId="51290"/>
    <cellStyle name="Sub-total 6" xfId="50661"/>
    <cellStyle name="Sub-total 7" xfId="50956"/>
    <cellStyle name="Sub-total 8" xfId="4935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wpBody01 9" xfId="4935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18" xfId="49356"/>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3 4" xfId="49357"/>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14" xfId="49597"/>
    <cellStyle name="Total 1 2 2 2" xfId="47897"/>
    <cellStyle name="Total 1 2 2 2 2" xfId="47898"/>
    <cellStyle name="Total 1 2 2 2 2 2" xfId="50086"/>
    <cellStyle name="Total 1 2 2 2 3" xfId="47899"/>
    <cellStyle name="Total 1 2 2 2 3 2" xfId="51155"/>
    <cellStyle name="Total 1 2 2 2 4" xfId="49925"/>
    <cellStyle name="Total 1 2 2 3" xfId="47900"/>
    <cellStyle name="Total 1 2 2 3 2" xfId="47901"/>
    <cellStyle name="Total 1 2 2 3 3" xfId="47902"/>
    <cellStyle name="Total 1 2 2 3 4" xfId="50442"/>
    <cellStyle name="Total 1 2 2 4" xfId="47903"/>
    <cellStyle name="Total 1 2 2 4 2" xfId="47904"/>
    <cellStyle name="Total 1 2 2 4 3" xfId="47905"/>
    <cellStyle name="Total 1 2 2 4 4" xfId="51448"/>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2 2" xfId="50997"/>
    <cellStyle name="Total 1 2 3 2 3" xfId="51113"/>
    <cellStyle name="Total 1 2 3 2 4" xfId="49952"/>
    <cellStyle name="Total 1 2 3 3" xfId="47923"/>
    <cellStyle name="Total 1 2 3 3 2" xfId="50056"/>
    <cellStyle name="Total 1 2 3 4" xfId="51253"/>
    <cellStyle name="Total 1 2 3 5" xfId="49624"/>
    <cellStyle name="Total 1 2 30" xfId="47924"/>
    <cellStyle name="Total 1 2 31" xfId="49395"/>
    <cellStyle name="Total 1 2 4" xfId="47925"/>
    <cellStyle name="Total 1 2 4 2" xfId="47926"/>
    <cellStyle name="Total 1 2 4 2 2" xfId="50878"/>
    <cellStyle name="Total 1 2 4 3" xfId="47927"/>
    <cellStyle name="Total 1 2 4 3 2" xfId="51622"/>
    <cellStyle name="Total 1 2 4 4" xfId="49726"/>
    <cellStyle name="Total 1 2 5" xfId="47928"/>
    <cellStyle name="Total 1 2 5 2" xfId="47929"/>
    <cellStyle name="Total 1 2 5 3" xfId="47930"/>
    <cellStyle name="Total 1 2 5 4" xfId="50640"/>
    <cellStyle name="Total 1 2 6" xfId="47931"/>
    <cellStyle name="Total 1 2 6 2" xfId="51218"/>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79" xfId="49358"/>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2 2" xfId="50095"/>
    <cellStyle name="Total 2 2 2 3" xfId="51150"/>
    <cellStyle name="Total 2 2 2 4" xfId="49914"/>
    <cellStyle name="Total 2 2 3" xfId="48145"/>
    <cellStyle name="Total 2 2 3 2" xfId="50453"/>
    <cellStyle name="Total 2 2 4" xfId="51249"/>
    <cellStyle name="Total 2 2 5" xfId="49586"/>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2 2" xfId="50992"/>
    <cellStyle name="Total 2 3 2 3" xfId="51405"/>
    <cellStyle name="Total 2 3 2 4" xfId="49947"/>
    <cellStyle name="Total 2 3 3" xfId="48158"/>
    <cellStyle name="Total 2 3 3 2" xfId="50427"/>
    <cellStyle name="Total 2 3 4" xfId="50788"/>
    <cellStyle name="Total 2 3 5" xfId="49619"/>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 2" xfId="50893"/>
    <cellStyle name="Total 2 4 3" xfId="51428"/>
    <cellStyle name="Total 2 4 4" xfId="49724"/>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49" xfId="49359"/>
    <cellStyle name="Total 2 5" xfId="48179"/>
    <cellStyle name="Total 2 5 2" xfId="51013"/>
    <cellStyle name="Total 2 5 3" xfId="51115"/>
    <cellStyle name="Total 2 5 4" xfId="49968"/>
    <cellStyle name="Total 2 6" xfId="48180"/>
    <cellStyle name="Total 2 6 2" xfId="50658"/>
    <cellStyle name="Total 2 7" xfId="48181"/>
    <cellStyle name="Total 2 7 2" xfId="50804"/>
    <cellStyle name="Total 2 8" xfId="48182"/>
    <cellStyle name="Total 2 9" xfId="48183"/>
    <cellStyle name="Total 3" xfId="48184"/>
    <cellStyle name="Total 3 2" xfId="48185"/>
    <cellStyle name="Total 3 2 2" xfId="49915"/>
    <cellStyle name="Total 3 2 2 2" xfId="50094"/>
    <cellStyle name="Total 3 2 2 3" xfId="51104"/>
    <cellStyle name="Total 3 2 3" xfId="50452"/>
    <cellStyle name="Total 3 2 4" xfId="51506"/>
    <cellStyle name="Total 3 2 5" xfId="49587"/>
    <cellStyle name="Total 3 3" xfId="48186"/>
    <cellStyle name="Total 3 3 2" xfId="49948"/>
    <cellStyle name="Total 3 3 2 2" xfId="50993"/>
    <cellStyle name="Total 3 3 2 3" xfId="51593"/>
    <cellStyle name="Total 3 3 3" xfId="50426"/>
    <cellStyle name="Total 3 3 4" xfId="50852"/>
    <cellStyle name="Total 3 3 5" xfId="49620"/>
    <cellStyle name="Total 3 4" xfId="49725"/>
    <cellStyle name="Total 3 4 2" xfId="50951"/>
    <cellStyle name="Total 3 4 3" xfId="51381"/>
    <cellStyle name="Total 3 5" xfId="49967"/>
    <cellStyle name="Total 3 5 2" xfId="51012"/>
    <cellStyle name="Total 3 5 3" xfId="51608"/>
    <cellStyle name="Total 3 6" xfId="50657"/>
    <cellStyle name="Total 3 7" xfId="51146"/>
    <cellStyle name="Total 3 8" xfId="49360"/>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18" xfId="49361"/>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Warning Text 3 2" xfId="49362"/>
    <cellStyle name="Yellow" xfId="48233"/>
    <cellStyle name="Yellow 2" xfId="49364"/>
    <cellStyle name="Yellow 2 2" xfId="49365"/>
    <cellStyle name="Yellow 2 3" xfId="49366"/>
    <cellStyle name="Yellow 2 4" xfId="49367"/>
    <cellStyle name="Yellow 2 5" xfId="49368"/>
    <cellStyle name="Yellow 2 6" xfId="49369"/>
    <cellStyle name="Yellow 2 7" xfId="49370"/>
    <cellStyle name="Yellow 2 8" xfId="49371"/>
    <cellStyle name="Yellow 3" xfId="49363"/>
  </cellStyles>
  <dxfs count="124">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FFFFCC"/>
      <color rgb="FFCCFFFF"/>
      <color rgb="FFCCFFCC"/>
      <color rgb="FFCCECFF"/>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1076294/Forecomp_May_2022__002_.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80" zoomScaleNormal="80" zoomScaleSheetLayoutView="90" workbookViewId="0">
      <pane ySplit="3" topLeftCell="A4" activePane="bottomLeft" state="frozen"/>
      <selection activeCell="D85" sqref="D85:N85"/>
      <selection pane="bottomLeft" activeCell="D26" sqref="D26"/>
    </sheetView>
  </sheetViews>
  <sheetFormatPr defaultRowHeight="12.6"/>
  <cols>
    <col min="1" max="1" width="8.36328125" customWidth="1"/>
    <col min="2" max="2" width="27.08984375" customWidth="1"/>
    <col min="3" max="6" width="14.08984375" customWidth="1"/>
    <col min="7" max="7" width="14.08984375" style="213" customWidth="1"/>
    <col min="8" max="11" width="14.08984375" customWidth="1"/>
  </cols>
  <sheetData>
    <row r="1" spans="1:11" s="31" customFormat="1" ht="21">
      <c r="A1" s="900" t="s">
        <v>307</v>
      </c>
      <c r="B1" s="901"/>
      <c r="C1" s="901"/>
      <c r="D1" s="902"/>
      <c r="E1" s="903"/>
      <c r="F1" s="901"/>
      <c r="G1" s="904"/>
      <c r="H1" s="901"/>
      <c r="I1" s="901"/>
      <c r="J1" s="901"/>
      <c r="K1" s="901"/>
    </row>
    <row r="2" spans="1:11" s="31" customFormat="1" ht="21">
      <c r="A2" s="900" t="str">
        <f>'RFPR cover'!C5</f>
        <v>WPD-SWEST</v>
      </c>
      <c r="B2" s="901"/>
      <c r="C2" s="901"/>
      <c r="D2" s="903"/>
      <c r="E2" s="903"/>
      <c r="F2" s="901"/>
      <c r="G2" s="904"/>
      <c r="H2" s="901"/>
      <c r="I2" s="901"/>
      <c r="J2" s="901"/>
      <c r="K2" s="901"/>
    </row>
    <row r="3" spans="1:11" s="31" customFormat="1" ht="21">
      <c r="A3" s="900">
        <f>'RFPR cover'!C7</f>
        <v>2022</v>
      </c>
      <c r="B3" s="901"/>
      <c r="C3" s="901"/>
      <c r="D3" s="903"/>
      <c r="E3" s="903"/>
      <c r="F3" s="901"/>
      <c r="G3" s="904"/>
      <c r="H3" s="901"/>
      <c r="I3" s="901"/>
      <c r="J3" s="901"/>
      <c r="K3" s="901"/>
    </row>
    <row r="4" spans="1:11" ht="13.8">
      <c r="A4" s="30"/>
      <c r="B4" s="30"/>
      <c r="C4" s="30"/>
      <c r="D4" s="30"/>
      <c r="E4" s="30"/>
      <c r="H4" s="10"/>
      <c r="I4" s="10"/>
      <c r="J4" s="10"/>
    </row>
    <row r="5" spans="1:11" ht="13.5" customHeight="1">
      <c r="A5" s="30"/>
      <c r="B5" s="78" t="s">
        <v>62</v>
      </c>
      <c r="C5" s="45" t="s">
        <v>249</v>
      </c>
      <c r="D5" s="339"/>
      <c r="E5" s="19"/>
      <c r="F5" s="11"/>
      <c r="G5" s="547" t="s">
        <v>0</v>
      </c>
      <c r="H5" s="10"/>
      <c r="I5" s="10"/>
      <c r="J5" s="10"/>
    </row>
    <row r="6" spans="1:11" ht="13.5" customHeight="1">
      <c r="A6" s="30"/>
      <c r="B6" s="78" t="s">
        <v>189</v>
      </c>
      <c r="C6" s="83" t="str">
        <f>INDEX(Data!$A$73:$A$100,MATCH($C$5,Data!$B$73:$B$100,0),0)&amp;"1"</f>
        <v>ED1</v>
      </c>
      <c r="D6" s="19"/>
      <c r="E6" s="19"/>
      <c r="F6" s="9"/>
      <c r="G6" s="547" t="s">
        <v>1</v>
      </c>
      <c r="H6" s="10"/>
      <c r="I6" s="10"/>
      <c r="J6" s="10"/>
    </row>
    <row r="7" spans="1:11" ht="25.8">
      <c r="A7" s="30"/>
      <c r="B7" s="79" t="s">
        <v>188</v>
      </c>
      <c r="C7" s="84">
        <v>2022</v>
      </c>
      <c r="D7" s="18"/>
      <c r="E7" s="19"/>
      <c r="F7" s="8"/>
      <c r="G7" s="548" t="s">
        <v>2</v>
      </c>
      <c r="H7" s="10"/>
      <c r="I7" s="10"/>
      <c r="J7" s="10"/>
    </row>
    <row r="8" spans="1:11" ht="13.8">
      <c r="A8" s="30"/>
      <c r="B8" s="78" t="s">
        <v>37</v>
      </c>
      <c r="C8" s="85">
        <v>1</v>
      </c>
      <c r="D8" s="19"/>
      <c r="E8" s="18"/>
      <c r="F8" s="7"/>
      <c r="G8" s="547" t="s">
        <v>3</v>
      </c>
      <c r="H8" s="10"/>
      <c r="I8" s="10"/>
      <c r="J8" s="10"/>
    </row>
    <row r="9" spans="1:11" ht="13.8">
      <c r="A9" s="30"/>
      <c r="B9" s="969" t="s">
        <v>38</v>
      </c>
      <c r="C9" s="970">
        <v>44773</v>
      </c>
      <c r="D9" s="18"/>
      <c r="E9" s="18"/>
      <c r="F9" s="6"/>
      <c r="G9" s="547" t="s">
        <v>4</v>
      </c>
      <c r="H9" s="10"/>
      <c r="I9" s="10"/>
      <c r="J9" s="10"/>
    </row>
    <row r="10" spans="1:11" ht="13.8">
      <c r="A10" s="30"/>
      <c r="B10" s="78" t="s">
        <v>70</v>
      </c>
      <c r="C10" s="86">
        <f>SUMIF(Data!$B$72:$B$100,C5,Data!$C$72:$C$100)</f>
        <v>6.4000000000000001E-2</v>
      </c>
      <c r="D10" s="18"/>
      <c r="E10" s="18"/>
      <c r="F10" s="5"/>
      <c r="G10" s="547" t="s">
        <v>5</v>
      </c>
      <c r="H10" s="10"/>
      <c r="I10" s="10"/>
      <c r="J10" s="10"/>
    </row>
    <row r="11" spans="1:11" ht="13.8">
      <c r="A11" s="30"/>
      <c r="B11" s="78" t="s">
        <v>71</v>
      </c>
      <c r="C11" s="87">
        <f>SUMIF(Data!$B$72:$B$100,C5,Data!$D$72:$D$100)</f>
        <v>0.7</v>
      </c>
      <c r="D11" s="19"/>
      <c r="E11" s="19"/>
      <c r="F11" s="4"/>
      <c r="G11" s="547" t="s">
        <v>6</v>
      </c>
      <c r="H11" s="10"/>
      <c r="I11" s="10"/>
      <c r="J11" s="10"/>
    </row>
    <row r="12" spans="1:11">
      <c r="A12" s="30"/>
      <c r="B12" s="78" t="s">
        <v>115</v>
      </c>
      <c r="C12" s="86">
        <f>SUMIF(Data!$B$72:$B$100,C5,Data!$E$72:$E$100)</f>
        <v>0.65</v>
      </c>
      <c r="D12" s="18"/>
      <c r="E12" s="18"/>
      <c r="F12" s="18"/>
      <c r="G12" s="549"/>
    </row>
    <row r="13" spans="1:11">
      <c r="A13" s="30"/>
      <c r="B13" s="78" t="s">
        <v>509</v>
      </c>
      <c r="C13" s="83">
        <f>INDEX(Data!$G$73:$G$100,MATCH($C$5,Data!$B$73:$B$100,0),0)</f>
        <v>2016</v>
      </c>
      <c r="D13" s="18"/>
      <c r="E13" s="18"/>
      <c r="F13" s="77" t="s">
        <v>191</v>
      </c>
    </row>
    <row r="14" spans="1:11">
      <c r="A14" s="30"/>
      <c r="B14" s="80" t="s">
        <v>185</v>
      </c>
      <c r="C14" s="83" t="str">
        <f>INDEX(Data!$H$73:$H$100,MATCH($C$5,Data!$B$73:$B$100,0),0)</f>
        <v>£m 12/13</v>
      </c>
      <c r="D14" s="18"/>
      <c r="E14" s="18"/>
      <c r="F14" s="89">
        <v>0.1</v>
      </c>
      <c r="G14" s="549"/>
    </row>
    <row r="15" spans="1:11">
      <c r="A15" s="30"/>
      <c r="B15" s="18"/>
      <c r="C15" s="18"/>
      <c r="D15" s="18"/>
      <c r="E15" s="18"/>
      <c r="F15" s="18"/>
      <c r="G15" s="549"/>
    </row>
    <row r="85" spans="1:1">
      <c r="A85" s="204"/>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M29"/>
  <sheetViews>
    <sheetView showGridLines="0" zoomScale="60" zoomScaleNormal="60" workbookViewId="0">
      <pane ySplit="6" topLeftCell="A7" activePane="bottomLeft" state="frozen"/>
      <selection activeCell="D85" sqref="D85:N85"/>
      <selection pane="bottomLeft" activeCell="N41" sqref="N41"/>
    </sheetView>
  </sheetViews>
  <sheetFormatPr defaultRowHeight="12.6"/>
  <cols>
    <col min="1" max="1" width="8.36328125" customWidth="1"/>
    <col min="2" max="2" width="79.6328125" customWidth="1"/>
    <col min="3" max="3" width="14.08984375" style="136" customWidth="1"/>
    <col min="4" max="11" width="11.08984375" customWidth="1"/>
    <col min="12" max="12" width="5" customWidth="1"/>
  </cols>
  <sheetData>
    <row r="1" spans="1:13" s="31" customFormat="1" ht="21">
      <c r="A1" s="919" t="s">
        <v>100</v>
      </c>
      <c r="B1" s="915"/>
      <c r="C1" s="278"/>
      <c r="D1" s="256"/>
      <c r="E1" s="256"/>
      <c r="F1" s="256"/>
      <c r="G1" s="256"/>
      <c r="H1" s="256"/>
      <c r="I1" s="257"/>
      <c r="J1" s="257"/>
      <c r="K1" s="258"/>
      <c r="L1" s="259"/>
    </row>
    <row r="2" spans="1:13" s="31" customFormat="1" ht="21">
      <c r="A2" s="908" t="str">
        <f>'RFPR cover'!C5</f>
        <v>WPD-SWEST</v>
      </c>
      <c r="B2" s="900"/>
      <c r="C2" s="134"/>
      <c r="D2" s="29"/>
      <c r="E2" s="29"/>
      <c r="F2" s="29"/>
      <c r="G2" s="29"/>
      <c r="H2" s="29"/>
      <c r="I2" s="27"/>
      <c r="J2" s="27"/>
      <c r="K2" s="27"/>
      <c r="L2" s="123"/>
    </row>
    <row r="3" spans="1:13" s="37" customFormat="1" ht="22.8">
      <c r="A3" s="911">
        <f>'RFPR cover'!C7</f>
        <v>2022</v>
      </c>
      <c r="B3" s="917" t="str">
        <f>'R1 - RoRE'!B3</f>
        <v/>
      </c>
      <c r="C3" s="280"/>
      <c r="D3" s="279"/>
      <c r="E3" s="279"/>
      <c r="F3" s="279"/>
      <c r="G3" s="279"/>
      <c r="H3" s="279"/>
      <c r="I3" s="255"/>
      <c r="J3" s="255"/>
      <c r="K3" s="255"/>
      <c r="L3" s="261"/>
    </row>
    <row r="4" spans="1:13" s="2" customFormat="1" ht="12.75" customHeight="1">
      <c r="C4" s="136"/>
    </row>
    <row r="5" spans="1:13" s="2" customForma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row>
    <row r="6" spans="1:13"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row>
    <row r="7" spans="1:13" s="2" customFormat="1">
      <c r="C7" s="136"/>
    </row>
    <row r="8" spans="1:13" s="2" customFormat="1">
      <c r="B8" s="51" t="s">
        <v>134</v>
      </c>
      <c r="C8" s="137"/>
      <c r="D8" s="57"/>
      <c r="E8" s="57"/>
      <c r="F8" s="57"/>
      <c r="G8" s="57"/>
      <c r="H8" s="57"/>
      <c r="I8" s="57"/>
      <c r="J8" s="57"/>
      <c r="K8" s="57"/>
    </row>
    <row r="9" spans="1:13" s="2" customFormat="1">
      <c r="B9" s="225" t="s">
        <v>516</v>
      </c>
      <c r="C9" s="152" t="s">
        <v>128</v>
      </c>
      <c r="D9" s="593">
        <v>0.49966421000000005</v>
      </c>
      <c r="E9" s="594">
        <v>1.2242102500000003</v>
      </c>
      <c r="F9" s="594">
        <v>1.6018000000000001</v>
      </c>
      <c r="G9" s="594">
        <v>1.0066999999999999</v>
      </c>
      <c r="H9" s="594">
        <v>1.5001570000000002</v>
      </c>
      <c r="I9" s="594">
        <v>1.1888369999999999</v>
      </c>
      <c r="J9" s="594">
        <v>1.3768990000000001</v>
      </c>
      <c r="K9" s="594">
        <v>1.4637079369960457</v>
      </c>
    </row>
    <row r="10" spans="1:13" s="2" customFormat="1">
      <c r="B10" s="225" t="s">
        <v>497</v>
      </c>
      <c r="C10" s="152" t="s">
        <v>128</v>
      </c>
      <c r="D10" s="595">
        <v>0</v>
      </c>
      <c r="E10" s="596">
        <v>0</v>
      </c>
      <c r="F10" s="596">
        <v>0</v>
      </c>
      <c r="G10" s="596">
        <v>0</v>
      </c>
      <c r="H10" s="596">
        <v>0</v>
      </c>
      <c r="I10" s="596">
        <v>0</v>
      </c>
      <c r="J10" s="596">
        <v>0</v>
      </c>
      <c r="K10" s="596">
        <v>0</v>
      </c>
    </row>
    <row r="11" spans="1:13" s="2" customFormat="1">
      <c r="B11" s="225" t="s">
        <v>515</v>
      </c>
      <c r="C11" s="152" t="s">
        <v>128</v>
      </c>
      <c r="D11" s="845">
        <v>4.1040129000000009E-2</v>
      </c>
      <c r="E11" s="846">
        <v>0.12242102500000003</v>
      </c>
      <c r="F11" s="846">
        <v>0.15378000000000003</v>
      </c>
      <c r="G11" s="846">
        <v>0.10067</v>
      </c>
      <c r="H11" s="846">
        <v>0.15001570000000003</v>
      </c>
      <c r="I11" s="846">
        <v>0.11888369999999999</v>
      </c>
      <c r="J11" s="846">
        <v>0.1376899</v>
      </c>
      <c r="K11" s="846">
        <f t="shared" ref="K11" si="1">+K9*0.1</f>
        <v>0.14637079369960457</v>
      </c>
    </row>
    <row r="12" spans="1:13" s="12" customFormat="1">
      <c r="B12" s="51" t="s">
        <v>132</v>
      </c>
      <c r="C12" s="152" t="s">
        <v>128</v>
      </c>
      <c r="D12" s="609">
        <f>D9-D10-D11</f>
        <v>0.45862408100000007</v>
      </c>
      <c r="E12" s="610">
        <f t="shared" ref="E12:K12" si="2">E9-E10-E11</f>
        <v>1.1017892250000003</v>
      </c>
      <c r="F12" s="610">
        <f t="shared" si="2"/>
        <v>1.4480200000000001</v>
      </c>
      <c r="G12" s="610">
        <f t="shared" si="2"/>
        <v>0.90602999999999989</v>
      </c>
      <c r="H12" s="610">
        <f t="shared" si="2"/>
        <v>1.3501413000000002</v>
      </c>
      <c r="I12" s="610">
        <f t="shared" si="2"/>
        <v>1.0699532999999999</v>
      </c>
      <c r="J12" s="610">
        <f t="shared" si="2"/>
        <v>1.2392091000000001</v>
      </c>
      <c r="K12" s="610">
        <f t="shared" si="2"/>
        <v>1.3173371432964411</v>
      </c>
      <c r="L12" s="2"/>
      <c r="M12" s="2"/>
    </row>
    <row r="13" spans="1:13" s="12" customFormat="1">
      <c r="B13" s="51"/>
      <c r="C13" s="136"/>
      <c r="D13" s="52"/>
      <c r="E13" s="52"/>
      <c r="F13" s="52"/>
      <c r="G13" s="52"/>
      <c r="H13" s="52"/>
      <c r="I13" s="52"/>
      <c r="J13" s="52"/>
      <c r="K13" s="52"/>
      <c r="L13" s="2"/>
      <c r="M13" s="2"/>
    </row>
    <row r="14" spans="1:13" s="2" customFormat="1">
      <c r="B14" s="51" t="s">
        <v>156</v>
      </c>
      <c r="C14" s="137"/>
      <c r="D14" s="57"/>
      <c r="E14" s="57"/>
      <c r="F14" s="57"/>
      <c r="G14" s="57"/>
      <c r="H14" s="57"/>
      <c r="I14" s="57"/>
      <c r="J14" s="57"/>
      <c r="K14" s="57"/>
    </row>
    <row r="15" spans="1:13" s="2" customFormat="1" ht="13.2" customHeight="1">
      <c r="B15" s="225" t="s">
        <v>518</v>
      </c>
      <c r="C15" s="152" t="s">
        <v>128</v>
      </c>
      <c r="D15" s="593">
        <v>1.0900995600000001</v>
      </c>
      <c r="E15" s="594">
        <v>5.799675E-2</v>
      </c>
      <c r="F15" s="594">
        <v>0.16837228000000001</v>
      </c>
      <c r="G15" s="594">
        <v>0.45837662000000001</v>
      </c>
      <c r="H15" s="594">
        <v>6.3094600000000001E-2</v>
      </c>
      <c r="I15" s="594">
        <v>-0.17071215000000001</v>
      </c>
      <c r="J15" s="594">
        <v>3.7759010000000003E-2</v>
      </c>
      <c r="K15" s="594">
        <v>0</v>
      </c>
    </row>
    <row r="16" spans="1:13" s="2" customFormat="1">
      <c r="B16" s="225" t="s">
        <v>517</v>
      </c>
      <c r="C16" s="152" t="s">
        <v>128</v>
      </c>
      <c r="D16" s="595">
        <v>0</v>
      </c>
      <c r="E16" s="596">
        <v>0</v>
      </c>
      <c r="F16" s="596">
        <v>0</v>
      </c>
      <c r="G16" s="596">
        <v>0</v>
      </c>
      <c r="H16" s="596">
        <v>0</v>
      </c>
      <c r="I16" s="596">
        <v>0</v>
      </c>
      <c r="J16" s="596">
        <v>0</v>
      </c>
      <c r="K16" s="596">
        <v>0</v>
      </c>
    </row>
    <row r="17" spans="2:13" s="12" customFormat="1">
      <c r="B17" s="51" t="s">
        <v>133</v>
      </c>
      <c r="C17" s="152" t="s">
        <v>128</v>
      </c>
      <c r="D17" s="609">
        <f>D15-D16</f>
        <v>1.0900995600000001</v>
      </c>
      <c r="E17" s="609">
        <f t="shared" ref="E17:K17" si="3">E15-E16</f>
        <v>5.799675E-2</v>
      </c>
      <c r="F17" s="609">
        <f t="shared" si="3"/>
        <v>0.16837228000000001</v>
      </c>
      <c r="G17" s="609">
        <f t="shared" si="3"/>
        <v>0.45837662000000001</v>
      </c>
      <c r="H17" s="609">
        <f t="shared" si="3"/>
        <v>6.3094600000000001E-2</v>
      </c>
      <c r="I17" s="609">
        <f t="shared" si="3"/>
        <v>-0.17071215000000001</v>
      </c>
      <c r="J17" s="609">
        <f t="shared" si="3"/>
        <v>3.7759010000000003E-2</v>
      </c>
      <c r="K17" s="609">
        <f t="shared" si="3"/>
        <v>0</v>
      </c>
      <c r="L17" s="2"/>
      <c r="M17" s="2"/>
    </row>
    <row r="18" spans="2:13" s="12" customFormat="1">
      <c r="B18" s="51"/>
      <c r="C18" s="136"/>
      <c r="D18" s="52"/>
      <c r="E18" s="52"/>
      <c r="F18" s="52"/>
      <c r="G18" s="52"/>
      <c r="H18" s="52"/>
      <c r="I18" s="52"/>
      <c r="J18" s="52"/>
      <c r="K18" s="52"/>
      <c r="L18" s="2"/>
      <c r="M18" s="2"/>
    </row>
    <row r="19" spans="2:13" s="2" customFormat="1">
      <c r="B19" s="51" t="s">
        <v>157</v>
      </c>
      <c r="C19" s="137"/>
      <c r="D19" s="57"/>
      <c r="E19" s="57"/>
      <c r="F19" s="57"/>
      <c r="G19" s="57"/>
      <c r="H19" s="57"/>
      <c r="I19" s="57"/>
      <c r="J19" s="57"/>
      <c r="K19" s="57"/>
    </row>
    <row r="20" spans="2:13" s="2" customFormat="1">
      <c r="B20" s="225" t="s">
        <v>446</v>
      </c>
      <c r="C20" s="152" t="s">
        <v>128</v>
      </c>
      <c r="D20" s="593">
        <v>0</v>
      </c>
      <c r="E20" s="594">
        <v>0</v>
      </c>
      <c r="F20" s="594">
        <v>0</v>
      </c>
      <c r="G20" s="594">
        <v>0</v>
      </c>
      <c r="H20" s="594">
        <v>0</v>
      </c>
      <c r="I20" s="594">
        <v>0</v>
      </c>
      <c r="J20" s="594">
        <v>-1E-3</v>
      </c>
      <c r="K20" s="594">
        <v>0</v>
      </c>
    </row>
    <row r="21" spans="2:13" s="2" customFormat="1">
      <c r="B21" s="225" t="s">
        <v>515</v>
      </c>
      <c r="C21" s="152" t="s">
        <v>128</v>
      </c>
      <c r="D21" s="631">
        <v>0</v>
      </c>
      <c r="E21" s="632">
        <v>0</v>
      </c>
      <c r="F21" s="632">
        <v>0</v>
      </c>
      <c r="G21" s="632">
        <v>0</v>
      </c>
      <c r="H21" s="632">
        <v>0</v>
      </c>
      <c r="I21" s="632">
        <v>0</v>
      </c>
      <c r="J21" s="632">
        <v>0</v>
      </c>
      <c r="K21" s="632">
        <v>0</v>
      </c>
    </row>
    <row r="22" spans="2:13" s="2" customFormat="1">
      <c r="B22" s="35"/>
      <c r="C22" s="138"/>
      <c r="D22" s="35"/>
      <c r="E22" s="35"/>
      <c r="F22" s="35"/>
      <c r="G22" s="35"/>
      <c r="H22" s="35"/>
      <c r="I22" s="35"/>
      <c r="J22" s="35"/>
      <c r="K22" s="35"/>
    </row>
    <row r="23" spans="2:13" s="2" customFormat="1">
      <c r="B23" s="225" t="s">
        <v>500</v>
      </c>
      <c r="C23" s="152" t="s">
        <v>128</v>
      </c>
      <c r="D23" s="631">
        <v>0</v>
      </c>
      <c r="E23" s="632">
        <v>0.2</v>
      </c>
      <c r="F23" s="632">
        <v>0.4375</v>
      </c>
      <c r="G23" s="632">
        <v>0</v>
      </c>
      <c r="H23" s="632">
        <v>0</v>
      </c>
      <c r="I23" s="632">
        <v>0.981823</v>
      </c>
      <c r="J23" s="632">
        <v>0</v>
      </c>
      <c r="K23" s="632">
        <v>0</v>
      </c>
    </row>
    <row r="24" spans="2:13" s="2" customFormat="1">
      <c r="B24" s="35"/>
      <c r="C24" s="138"/>
      <c r="D24" s="35"/>
      <c r="E24" s="35"/>
      <c r="F24" s="35"/>
      <c r="G24" s="35"/>
      <c r="H24" s="35"/>
      <c r="I24" s="35"/>
      <c r="J24" s="35"/>
      <c r="K24" s="35"/>
    </row>
    <row r="25" spans="2:13" s="2" customFormat="1">
      <c r="B25" s="81"/>
      <c r="C25" s="150"/>
      <c r="D25" s="81"/>
      <c r="E25" s="81"/>
      <c r="F25" s="81"/>
      <c r="G25" s="81"/>
      <c r="H25" s="81"/>
      <c r="I25" s="81"/>
      <c r="J25" s="81"/>
      <c r="K25" s="81"/>
      <c r="L25" s="81"/>
    </row>
    <row r="26" spans="2:13" s="2" customFormat="1">
      <c r="B26" s="35"/>
      <c r="C26" s="138"/>
      <c r="D26" s="35"/>
      <c r="E26" s="35"/>
      <c r="F26" s="35"/>
      <c r="G26" s="35"/>
      <c r="H26" s="35"/>
      <c r="I26" s="35"/>
      <c r="J26" s="35"/>
      <c r="K26" s="35"/>
    </row>
    <row r="27" spans="2:13" s="2" customFormat="1">
      <c r="B27" s="51" t="s">
        <v>392</v>
      </c>
      <c r="C27" s="138"/>
      <c r="D27" s="35"/>
      <c r="E27" s="35"/>
      <c r="F27" s="35"/>
      <c r="G27" s="35"/>
      <c r="H27" s="35"/>
      <c r="I27" s="35"/>
      <c r="J27" s="35"/>
      <c r="K27" s="35"/>
    </row>
    <row r="28" spans="2:13" s="2" customFormat="1">
      <c r="B28" s="225" t="s">
        <v>498</v>
      </c>
      <c r="C28" s="155" t="str">
        <f>'RFPR cover'!$C$14</f>
        <v>£m 12/13</v>
      </c>
      <c r="D28" s="679">
        <f>(SUM(D10,D11,D21)-D23)/Data!C34</f>
        <v>3.8705536932753359E-2</v>
      </c>
      <c r="E28" s="679">
        <f>(SUM(E10,E11,E21)-E23)/Data!D34</f>
        <v>-7.1630976437496205E-2</v>
      </c>
      <c r="F28" s="679">
        <f>(SUM(F10,F11,F21)-F23)/Data!E34</f>
        <v>-0.25251790053399681</v>
      </c>
      <c r="G28" s="679">
        <f>(SUM(G10,G11,G21)-G23)/Data!F34</f>
        <v>8.6942240423849668E-2</v>
      </c>
      <c r="H28" s="679">
        <f>(SUM(H10,H11,H21)-H23)/Data!G34</f>
        <v>0.12628970141101425</v>
      </c>
      <c r="I28" s="679">
        <f>(SUM(I10,I11,I21)-I23)/Data!H34</f>
        <v>-0.71775444977682745</v>
      </c>
      <c r="J28" s="679">
        <f>(SUM(J10,J11,J21)-J23)/Data!I34</f>
        <v>0.1082706415470597</v>
      </c>
      <c r="K28" s="679">
        <f>(SUM(K10,K11,K21)-K23)/Data!J34</f>
        <v>0.10627585236392109</v>
      </c>
      <c r="L28" s="35"/>
    </row>
    <row r="29" spans="2:13">
      <c r="M29" s="2"/>
    </row>
  </sheetData>
  <conditionalFormatting sqref="D6:K6">
    <cfRule type="expression" dxfId="70" priority="24">
      <formula>AND(D$5="Actuals",E$5="Forecast")</formula>
    </cfRule>
  </conditionalFormatting>
  <conditionalFormatting sqref="D5:K5">
    <cfRule type="expression" dxfId="69"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91"/>
  <sheetViews>
    <sheetView showGridLines="0" zoomScale="60" zoomScaleNormal="60" workbookViewId="0">
      <pane ySplit="6" topLeftCell="A54" activePane="bottomLeft" state="frozen"/>
      <selection activeCell="D85" sqref="D85:N85"/>
      <selection pane="bottomLeft" activeCell="B70" sqref="B70"/>
    </sheetView>
  </sheetViews>
  <sheetFormatPr defaultRowHeight="12.6"/>
  <cols>
    <col min="1" max="1" width="8.36328125" customWidth="1"/>
    <col min="2" max="2" width="101.7265625" customWidth="1"/>
    <col min="3" max="3" width="14.08984375" customWidth="1"/>
    <col min="4" max="11" width="11.08984375" customWidth="1"/>
    <col min="12" max="13" width="12.90625" customWidth="1"/>
    <col min="14" max="14" width="5" customWidth="1"/>
  </cols>
  <sheetData>
    <row r="1" spans="1:14" s="31" customFormat="1" ht="21">
      <c r="A1" s="919" t="s">
        <v>265</v>
      </c>
      <c r="B1" s="915"/>
      <c r="C1" s="256"/>
      <c r="D1" s="256"/>
      <c r="E1" s="256"/>
      <c r="F1" s="256"/>
      <c r="G1" s="256"/>
      <c r="H1" s="256"/>
      <c r="I1" s="257"/>
      <c r="J1" s="257"/>
      <c r="K1" s="258"/>
      <c r="L1" s="258"/>
      <c r="M1" s="258"/>
      <c r="N1" s="259"/>
    </row>
    <row r="2" spans="1:14" s="31" customFormat="1" ht="21">
      <c r="A2" s="908" t="s">
        <v>249</v>
      </c>
      <c r="B2" s="900"/>
      <c r="C2" s="29"/>
      <c r="D2" s="29"/>
      <c r="E2" s="29"/>
      <c r="F2" s="29"/>
      <c r="G2" s="29"/>
      <c r="H2" s="29"/>
      <c r="I2" s="27"/>
      <c r="J2" s="27"/>
      <c r="K2" s="27"/>
      <c r="L2" s="27"/>
      <c r="M2" s="27"/>
      <c r="N2" s="123"/>
    </row>
    <row r="3" spans="1:14" s="31" customFormat="1" ht="22.8">
      <c r="A3" s="911">
        <v>2022</v>
      </c>
      <c r="B3" s="917" t="s">
        <v>663</v>
      </c>
      <c r="C3" s="260"/>
      <c r="D3" s="260"/>
      <c r="E3" s="260"/>
      <c r="F3" s="260"/>
      <c r="G3" s="260"/>
      <c r="H3" s="260"/>
      <c r="I3" s="255"/>
      <c r="J3" s="255"/>
      <c r="K3" s="255"/>
      <c r="L3" s="255"/>
      <c r="M3" s="255"/>
      <c r="N3" s="261"/>
    </row>
    <row r="4" spans="1:14" s="31" customFormat="1" ht="12.75" customHeight="1">
      <c r="A4" s="39"/>
      <c r="B4" s="39"/>
      <c r="C4" s="39"/>
      <c r="D4" s="39"/>
      <c r="E4" s="39"/>
      <c r="F4" s="39"/>
      <c r="G4" s="39"/>
      <c r="H4" s="39"/>
      <c r="I4" s="34"/>
      <c r="J4" s="34"/>
      <c r="K4" s="34"/>
      <c r="L4" s="33"/>
    </row>
    <row r="5" spans="1:14" s="2" customFormat="1">
      <c r="B5" s="3"/>
      <c r="C5" s="3"/>
      <c r="D5" s="389" t="s">
        <v>664</v>
      </c>
      <c r="E5" s="390" t="s">
        <v>664</v>
      </c>
      <c r="F5" s="390" t="s">
        <v>664</v>
      </c>
      <c r="G5" s="390" t="s">
        <v>664</v>
      </c>
      <c r="H5" s="390" t="s">
        <v>664</v>
      </c>
      <c r="I5" s="390" t="s">
        <v>664</v>
      </c>
      <c r="J5" s="390" t="s">
        <v>664</v>
      </c>
      <c r="K5" s="391" t="s">
        <v>665</v>
      </c>
    </row>
    <row r="6" spans="1:14" s="2" customFormat="1" ht="25.2">
      <c r="D6" s="117">
        <v>2016</v>
      </c>
      <c r="E6" s="118">
        <v>2017</v>
      </c>
      <c r="F6" s="118">
        <v>2018</v>
      </c>
      <c r="G6" s="118">
        <v>2019</v>
      </c>
      <c r="H6" s="118">
        <v>2020</v>
      </c>
      <c r="I6" s="118">
        <v>2021</v>
      </c>
      <c r="J6" s="118">
        <v>2022</v>
      </c>
      <c r="K6" s="195">
        <v>2023</v>
      </c>
      <c r="L6" s="101" t="s">
        <v>666</v>
      </c>
      <c r="M6" s="281" t="s">
        <v>109</v>
      </c>
    </row>
    <row r="7" spans="1:14" s="2" customFormat="1"/>
    <row r="8" spans="1:14">
      <c r="B8" s="479" t="s">
        <v>304</v>
      </c>
      <c r="C8" s="152" t="s">
        <v>128</v>
      </c>
      <c r="D8" s="348">
        <v>40.500406810000015</v>
      </c>
      <c r="E8" s="385">
        <v>40.643425529999988</v>
      </c>
      <c r="F8" s="385">
        <v>44.395337319999996</v>
      </c>
      <c r="G8" s="385">
        <v>42.347055789999999</v>
      </c>
      <c r="H8" s="385">
        <v>43.585552189999994</v>
      </c>
      <c r="I8" s="385">
        <v>37.575304939999988</v>
      </c>
      <c r="J8" s="385">
        <v>60.244144659999996</v>
      </c>
      <c r="K8" s="386">
        <v>65.097314412129393</v>
      </c>
      <c r="L8" s="35"/>
      <c r="M8" s="35"/>
    </row>
    <row r="9" spans="1:14">
      <c r="B9" s="14"/>
      <c r="C9" s="152"/>
      <c r="D9" s="229"/>
      <c r="E9" s="229"/>
      <c r="F9" s="229"/>
      <c r="G9" s="229"/>
      <c r="H9" s="229"/>
      <c r="I9" s="229"/>
      <c r="J9" s="229"/>
      <c r="K9" s="229"/>
      <c r="L9" s="35"/>
      <c r="M9" s="35"/>
    </row>
    <row r="10" spans="1:14">
      <c r="B10" s="14" t="s">
        <v>476</v>
      </c>
      <c r="C10" s="16"/>
      <c r="D10" s="230"/>
      <c r="E10" s="230"/>
      <c r="F10" s="230"/>
      <c r="G10" s="230"/>
      <c r="H10" s="230"/>
      <c r="I10" s="230"/>
      <c r="J10" s="230"/>
      <c r="K10" s="230"/>
      <c r="L10" s="35"/>
      <c r="M10" s="35"/>
    </row>
    <row r="11" spans="1:14">
      <c r="B11" s="369" t="s">
        <v>12</v>
      </c>
      <c r="C11" s="152" t="s">
        <v>128</v>
      </c>
      <c r="D11" s="377">
        <v>0</v>
      </c>
      <c r="E11" s="378">
        <v>0</v>
      </c>
      <c r="F11" s="378">
        <v>0</v>
      </c>
      <c r="G11" s="378">
        <v>0</v>
      </c>
      <c r="H11" s="378">
        <v>0</v>
      </c>
      <c r="I11" s="378">
        <v>0</v>
      </c>
      <c r="J11" s="378">
        <v>0</v>
      </c>
      <c r="K11" s="382">
        <v>0</v>
      </c>
      <c r="L11" s="35"/>
      <c r="M11" s="35"/>
    </row>
    <row r="12" spans="1:14">
      <c r="B12" s="369" t="s">
        <v>13</v>
      </c>
      <c r="C12" s="152" t="s">
        <v>128</v>
      </c>
      <c r="D12" s="347">
        <v>8.7971999999999995E-2</v>
      </c>
      <c r="E12" s="379">
        <v>8.7971999999999995E-2</v>
      </c>
      <c r="F12" s="379">
        <v>0.13120000000000001</v>
      </c>
      <c r="G12" s="379">
        <v>0.21774611999999999</v>
      </c>
      <c r="H12" s="379">
        <v>0.21774611999999999</v>
      </c>
      <c r="I12" s="379">
        <v>0.21774611999999999</v>
      </c>
      <c r="J12" s="379">
        <v>0.21774611999999999</v>
      </c>
      <c r="K12" s="383">
        <v>0.21774612000000002</v>
      </c>
      <c r="L12" s="35"/>
      <c r="M12" s="35"/>
    </row>
    <row r="13" spans="1:14">
      <c r="B13" s="369" t="s">
        <v>14</v>
      </c>
      <c r="C13" s="152" t="s">
        <v>128</v>
      </c>
      <c r="D13" s="347">
        <v>0</v>
      </c>
      <c r="E13" s="379">
        <v>0</v>
      </c>
      <c r="F13" s="379">
        <v>0</v>
      </c>
      <c r="G13" s="379">
        <v>0</v>
      </c>
      <c r="H13" s="379">
        <v>0</v>
      </c>
      <c r="I13" s="379">
        <v>0</v>
      </c>
      <c r="J13" s="379">
        <v>0</v>
      </c>
      <c r="K13" s="383">
        <v>0</v>
      </c>
      <c r="L13" s="35"/>
      <c r="M13" s="35"/>
    </row>
    <row r="14" spans="1:14">
      <c r="B14" s="369" t="s">
        <v>15</v>
      </c>
      <c r="C14" s="152" t="s">
        <v>128</v>
      </c>
      <c r="D14" s="347">
        <v>0</v>
      </c>
      <c r="E14" s="379">
        <v>0</v>
      </c>
      <c r="F14" s="379">
        <v>0</v>
      </c>
      <c r="G14" s="379">
        <v>0</v>
      </c>
      <c r="H14" s="379">
        <v>0</v>
      </c>
      <c r="I14" s="379">
        <v>0</v>
      </c>
      <c r="J14" s="379">
        <v>0</v>
      </c>
      <c r="K14" s="383">
        <v>0</v>
      </c>
      <c r="L14" s="35"/>
      <c r="M14" s="35"/>
    </row>
    <row r="15" spans="1:14">
      <c r="B15" s="369" t="s">
        <v>16</v>
      </c>
      <c r="C15" s="152" t="s">
        <v>128</v>
      </c>
      <c r="D15" s="347">
        <v>0</v>
      </c>
      <c r="E15" s="379">
        <v>0</v>
      </c>
      <c r="F15" s="379">
        <v>0</v>
      </c>
      <c r="G15" s="379">
        <v>0</v>
      </c>
      <c r="H15" s="379">
        <v>0</v>
      </c>
      <c r="I15" s="379">
        <v>0</v>
      </c>
      <c r="J15" s="379">
        <v>0</v>
      </c>
      <c r="K15" s="383">
        <v>0</v>
      </c>
      <c r="L15" s="35"/>
      <c r="M15" s="35"/>
    </row>
    <row r="16" spans="1:14">
      <c r="B16" s="369" t="s">
        <v>17</v>
      </c>
      <c r="C16" s="152" t="s">
        <v>128</v>
      </c>
      <c r="D16" s="347">
        <v>-7.7999999999999972</v>
      </c>
      <c r="E16" s="379">
        <v>-3.6968999999999994</v>
      </c>
      <c r="F16" s="379">
        <v>-1.962</v>
      </c>
      <c r="G16" s="379">
        <v>-2.044000000000004</v>
      </c>
      <c r="H16" s="379">
        <v>-0.19999999999999574</v>
      </c>
      <c r="I16" s="379">
        <v>2.5</v>
      </c>
      <c r="J16" s="379">
        <v>0.39999999999999858</v>
      </c>
      <c r="K16" s="383">
        <v>1.6956455618177699</v>
      </c>
      <c r="L16" s="35"/>
    </row>
    <row r="17" spans="2:13">
      <c r="B17" s="369" t="s">
        <v>283</v>
      </c>
      <c r="C17" s="152" t="s">
        <v>128</v>
      </c>
      <c r="D17" s="347">
        <v>-0.28404911999999999</v>
      </c>
      <c r="E17" s="379">
        <v>-0.28404912000000004</v>
      </c>
      <c r="F17" s="379">
        <v>-0.39200000000000002</v>
      </c>
      <c r="G17" s="379">
        <v>-0.60703012000000012</v>
      </c>
      <c r="H17" s="379">
        <v>-0.60702912000000009</v>
      </c>
      <c r="I17" s="379">
        <v>-0.60702912000000009</v>
      </c>
      <c r="J17" s="379">
        <v>-0.60702912000000009</v>
      </c>
      <c r="K17" s="383">
        <v>-0.61019262770215543</v>
      </c>
      <c r="L17" s="35"/>
    </row>
    <row r="18" spans="2:13" ht="12.75" customHeight="1">
      <c r="B18" s="369" t="s">
        <v>18</v>
      </c>
      <c r="C18" s="152" t="s">
        <v>128</v>
      </c>
      <c r="D18" s="347">
        <v>-0.35897534000000003</v>
      </c>
      <c r="E18" s="379">
        <v>-0.19304656000000001</v>
      </c>
      <c r="F18" s="379">
        <v>-0.29749999999999999</v>
      </c>
      <c r="G18" s="379">
        <v>-0.34300001000000002</v>
      </c>
      <c r="H18" s="379">
        <v>-0.32764603000000003</v>
      </c>
      <c r="I18" s="379">
        <v>-0.32939890999999999</v>
      </c>
      <c r="J18" s="379">
        <v>0</v>
      </c>
      <c r="K18" s="383">
        <v>-0.42349999849315073</v>
      </c>
      <c r="L18" s="35"/>
    </row>
    <row r="19" spans="2:13">
      <c r="B19" s="369" t="s">
        <v>627</v>
      </c>
      <c r="C19" s="152" t="s">
        <v>128</v>
      </c>
      <c r="D19" s="347">
        <v>0.30099999999999999</v>
      </c>
      <c r="E19" s="379">
        <v>0.46400000000000002</v>
      </c>
      <c r="F19" s="379">
        <v>0.64200000000000002</v>
      </c>
      <c r="G19" s="379">
        <v>2.0569999999999999</v>
      </c>
      <c r="H19" s="379">
        <v>0.45300000000000001</v>
      </c>
      <c r="I19" s="379">
        <v>0.77800000000000002</v>
      </c>
      <c r="J19" s="379">
        <v>1.37</v>
      </c>
      <c r="K19" s="383">
        <v>1.3695000000000002</v>
      </c>
      <c r="L19" s="35"/>
    </row>
    <row r="20" spans="2:13">
      <c r="B20" s="369" t="s">
        <v>624</v>
      </c>
      <c r="C20" s="152" t="s">
        <v>128</v>
      </c>
      <c r="D20" s="347">
        <v>-0.22619999999999998</v>
      </c>
      <c r="E20" s="379">
        <v>-0.14218733000000003</v>
      </c>
      <c r="F20" s="379">
        <v>-0.16009999999999999</v>
      </c>
      <c r="G20" s="379">
        <v>-0.24894366000000004</v>
      </c>
      <c r="H20" s="379">
        <v>-0.19022700000000001</v>
      </c>
      <c r="I20" s="379">
        <v>-0.19571566999999998</v>
      </c>
      <c r="J20" s="379">
        <v>-0.23290266000000001</v>
      </c>
      <c r="K20" s="383">
        <v>0.27769596000000007</v>
      </c>
      <c r="L20" s="35"/>
    </row>
    <row r="21" spans="2:13">
      <c r="B21" s="369" t="s">
        <v>628</v>
      </c>
      <c r="C21" s="152" t="s">
        <v>128</v>
      </c>
      <c r="D21" s="347">
        <v>0</v>
      </c>
      <c r="E21" s="379">
        <v>0</v>
      </c>
      <c r="F21" s="379">
        <v>0</v>
      </c>
      <c r="G21" s="379">
        <v>0.22053096</v>
      </c>
      <c r="H21" s="379">
        <v>0</v>
      </c>
      <c r="I21" s="379">
        <v>0</v>
      </c>
      <c r="J21" s="379">
        <v>0</v>
      </c>
      <c r="K21" s="383">
        <v>0</v>
      </c>
      <c r="L21" s="35"/>
    </row>
    <row r="22" spans="2:13">
      <c r="B22" s="369" t="s">
        <v>626</v>
      </c>
      <c r="C22" s="152" t="s">
        <v>128</v>
      </c>
      <c r="D22" s="347">
        <v>0</v>
      </c>
      <c r="E22" s="379">
        <v>0</v>
      </c>
      <c r="F22" s="379">
        <v>0</v>
      </c>
      <c r="G22" s="379">
        <v>0</v>
      </c>
      <c r="H22" s="379">
        <v>-3.3546410000000006E-2</v>
      </c>
      <c r="I22" s="379">
        <v>-2.8166939999999994E-2</v>
      </c>
      <c r="J22" s="379">
        <v>-3.4323269999999996E-2</v>
      </c>
      <c r="K22" s="383">
        <v>-4.8198999999999999E-2</v>
      </c>
      <c r="L22" s="35"/>
    </row>
    <row r="23" spans="2:13">
      <c r="B23" s="369" t="s">
        <v>625</v>
      </c>
      <c r="C23" s="152" t="s">
        <v>128</v>
      </c>
      <c r="D23" s="347">
        <v>-0.44084682000000019</v>
      </c>
      <c r="E23" s="379">
        <v>-0.48430667000000005</v>
      </c>
      <c r="F23" s="379">
        <v>-0.1125</v>
      </c>
      <c r="G23" s="379">
        <v>-3.5192210000000002E-2</v>
      </c>
      <c r="H23" s="379">
        <v>-2.4368120000000004E-2</v>
      </c>
      <c r="I23" s="379">
        <v>-0.84407664000000004</v>
      </c>
      <c r="J23" s="379">
        <v>-2.2435220000000002E-2</v>
      </c>
      <c r="K23" s="383">
        <v>-0.16184258000000001</v>
      </c>
      <c r="L23" s="35"/>
    </row>
    <row r="24" spans="2:13">
      <c r="B24" s="369" t="s">
        <v>352</v>
      </c>
      <c r="C24" s="152" t="s">
        <v>128</v>
      </c>
      <c r="D24" s="347">
        <v>0</v>
      </c>
      <c r="E24" s="379">
        <v>0</v>
      </c>
      <c r="F24" s="379">
        <v>0</v>
      </c>
      <c r="G24" s="379">
        <v>0</v>
      </c>
      <c r="H24" s="379">
        <v>0</v>
      </c>
      <c r="I24" s="379">
        <v>0</v>
      </c>
      <c r="J24" s="379">
        <v>0</v>
      </c>
      <c r="K24" s="383">
        <v>0</v>
      </c>
      <c r="L24" s="35"/>
    </row>
    <row r="25" spans="2:13">
      <c r="B25" s="369" t="s">
        <v>353</v>
      </c>
      <c r="C25" s="152" t="s">
        <v>128</v>
      </c>
      <c r="D25" s="347">
        <v>0</v>
      </c>
      <c r="E25" s="379">
        <v>0</v>
      </c>
      <c r="F25" s="379">
        <v>0</v>
      </c>
      <c r="G25" s="379">
        <v>0</v>
      </c>
      <c r="H25" s="379">
        <v>0</v>
      </c>
      <c r="I25" s="379">
        <v>0</v>
      </c>
      <c r="J25" s="379">
        <v>0</v>
      </c>
      <c r="K25" s="383">
        <v>0</v>
      </c>
      <c r="L25" s="35"/>
    </row>
    <row r="26" spans="2:13">
      <c r="B26" s="369" t="s">
        <v>354</v>
      </c>
      <c r="C26" s="152" t="s">
        <v>128</v>
      </c>
      <c r="D26" s="347">
        <v>0</v>
      </c>
      <c r="E26" s="379">
        <v>0</v>
      </c>
      <c r="F26" s="379">
        <v>0</v>
      </c>
      <c r="G26" s="379">
        <v>0</v>
      </c>
      <c r="H26" s="379">
        <v>0</v>
      </c>
      <c r="I26" s="379">
        <v>0</v>
      </c>
      <c r="J26" s="379">
        <v>0</v>
      </c>
      <c r="K26" s="383">
        <v>0</v>
      </c>
      <c r="L26" s="35"/>
    </row>
    <row r="27" spans="2:13">
      <c r="B27" s="369" t="s">
        <v>355</v>
      </c>
      <c r="C27" s="152" t="s">
        <v>128</v>
      </c>
      <c r="D27" s="380">
        <v>0</v>
      </c>
      <c r="E27" s="381">
        <v>0</v>
      </c>
      <c r="F27" s="381">
        <v>0</v>
      </c>
      <c r="G27" s="381">
        <v>0</v>
      </c>
      <c r="H27" s="381">
        <v>0</v>
      </c>
      <c r="I27" s="381">
        <v>0</v>
      </c>
      <c r="J27" s="381">
        <v>0</v>
      </c>
      <c r="K27" s="384">
        <v>0</v>
      </c>
      <c r="L27" s="35"/>
    </row>
    <row r="28" spans="2:13">
      <c r="B28" s="13" t="s">
        <v>19</v>
      </c>
      <c r="C28" s="152" t="s">
        <v>128</v>
      </c>
      <c r="D28" s="142">
        <v>31.779307530000022</v>
      </c>
      <c r="E28" s="143">
        <v>36.394907849999989</v>
      </c>
      <c r="F28" s="143">
        <v>42.244437319999996</v>
      </c>
      <c r="G28" s="143">
        <v>41.564166870000001</v>
      </c>
      <c r="H28" s="143">
        <v>42.873481630000008</v>
      </c>
      <c r="I28" s="143">
        <v>39.066663779999992</v>
      </c>
      <c r="J28" s="143">
        <v>61.335200509999993</v>
      </c>
      <c r="K28" s="144">
        <v>67.414167847751855</v>
      </c>
      <c r="L28" s="35"/>
    </row>
    <row r="29" spans="2:13">
      <c r="B29" s="370" t="s">
        <v>539</v>
      </c>
      <c r="C29" s="152" t="s">
        <v>128</v>
      </c>
      <c r="D29" s="387"/>
      <c r="E29" s="388"/>
      <c r="F29" s="388"/>
      <c r="G29" s="680"/>
      <c r="H29" s="680"/>
      <c r="I29" s="680"/>
      <c r="J29" s="680"/>
      <c r="K29" s="681">
        <v>0</v>
      </c>
      <c r="L29" s="35"/>
    </row>
    <row r="30" spans="2:13">
      <c r="B30" s="346" t="s">
        <v>305</v>
      </c>
      <c r="C30" s="152" t="s">
        <v>128</v>
      </c>
      <c r="D30" s="142">
        <v>31.779307530000022</v>
      </c>
      <c r="E30" s="143">
        <v>36.394907849999989</v>
      </c>
      <c r="F30" s="143">
        <v>42.244437319999996</v>
      </c>
      <c r="G30" s="143">
        <v>41.564166870000001</v>
      </c>
      <c r="H30" s="143">
        <v>42.873481630000008</v>
      </c>
      <c r="I30" s="143">
        <v>39.066663779999992</v>
      </c>
      <c r="J30" s="143">
        <v>61.335200509999993</v>
      </c>
      <c r="K30" s="144">
        <v>67.414167847751855</v>
      </c>
      <c r="M30" t="s">
        <v>578</v>
      </c>
    </row>
    <row r="31" spans="2:13">
      <c r="B31" s="213" t="s">
        <v>21</v>
      </c>
      <c r="C31" s="152" t="s">
        <v>128</v>
      </c>
      <c r="D31" s="585">
        <v>33.991514610000024</v>
      </c>
      <c r="E31" s="586">
        <v>39.160332039999986</v>
      </c>
      <c r="F31" s="586">
        <v>44.981366389999998</v>
      </c>
      <c r="G31" s="586">
        <v>44.578922290000001</v>
      </c>
      <c r="H31" s="586">
        <v>45.619884280000008</v>
      </c>
      <c r="I31" s="586">
        <v>42.037494689999996</v>
      </c>
      <c r="J31" s="586">
        <v>64.073482139999996</v>
      </c>
      <c r="K31" s="682">
        <v>67.717782669792484</v>
      </c>
    </row>
    <row r="32" spans="2:13">
      <c r="B32" s="213" t="s">
        <v>470</v>
      </c>
      <c r="C32" s="152" t="s">
        <v>128</v>
      </c>
      <c r="D32" s="589">
        <v>-2.2122070800000002</v>
      </c>
      <c r="E32" s="590">
        <v>-2.7654241899999996</v>
      </c>
      <c r="F32" s="590">
        <v>-2.7369290700000004</v>
      </c>
      <c r="G32" s="590">
        <v>-3.0147554200000002</v>
      </c>
      <c r="H32" s="590">
        <v>-2.7464026499999994</v>
      </c>
      <c r="I32" s="590">
        <v>-2.9708309100000005</v>
      </c>
      <c r="J32" s="590">
        <v>-2.7382816299999999</v>
      </c>
      <c r="K32" s="590">
        <v>-0.3036148220406294</v>
      </c>
    </row>
    <row r="33" spans="2:14">
      <c r="B33" s="213"/>
      <c r="D33" s="226" t="s">
        <v>667</v>
      </c>
      <c r="E33" s="227" t="s">
        <v>667</v>
      </c>
      <c r="F33" s="227" t="s">
        <v>667</v>
      </c>
      <c r="G33" s="227" t="s">
        <v>667</v>
      </c>
      <c r="H33" s="227" t="s">
        <v>667</v>
      </c>
      <c r="I33" s="227" t="s">
        <v>667</v>
      </c>
      <c r="J33" s="227" t="s">
        <v>667</v>
      </c>
      <c r="K33" s="228" t="s">
        <v>667</v>
      </c>
    </row>
    <row r="34" spans="2:14">
      <c r="D34" s="23"/>
      <c r="E34" s="23"/>
      <c r="F34" s="23"/>
      <c r="G34" s="23"/>
      <c r="H34" s="23"/>
      <c r="I34" s="23"/>
      <c r="J34" s="23"/>
      <c r="K34" s="23"/>
    </row>
    <row r="35" spans="2:14">
      <c r="B35" s="213" t="s">
        <v>533</v>
      </c>
      <c r="C35" s="152" t="s">
        <v>128</v>
      </c>
      <c r="D35" s="585">
        <v>3.8227500000000001</v>
      </c>
      <c r="E35" s="586">
        <v>7.5352499999999996</v>
      </c>
      <c r="F35" s="586">
        <v>11.80575</v>
      </c>
      <c r="G35" s="586">
        <v>7.8704999999999998</v>
      </c>
      <c r="H35" s="586">
        <v>8.5455000000000005</v>
      </c>
      <c r="I35" s="586">
        <v>4.4977499999999999</v>
      </c>
      <c r="J35" s="586">
        <v>25.97625</v>
      </c>
      <c r="K35" s="682">
        <v>29.650484249999998</v>
      </c>
    </row>
    <row r="36" spans="2:14">
      <c r="D36" s="23"/>
      <c r="E36" s="23"/>
      <c r="F36" s="23"/>
      <c r="G36" s="23"/>
      <c r="H36" s="23"/>
      <c r="I36" s="23"/>
      <c r="J36" s="23"/>
      <c r="K36" s="23"/>
    </row>
    <row r="37" spans="2:14">
      <c r="B37" s="213" t="s">
        <v>82</v>
      </c>
      <c r="C37" s="152" t="s">
        <v>128</v>
      </c>
      <c r="D37" s="878">
        <v>8.287531049076696</v>
      </c>
      <c r="E37" s="878">
        <v>16.470620731248495</v>
      </c>
      <c r="F37" s="878">
        <v>33.076487731370598</v>
      </c>
      <c r="G37" s="878">
        <v>30.993280414138354</v>
      </c>
      <c r="H37" s="878">
        <v>26.470233114707472</v>
      </c>
      <c r="I37" s="878">
        <v>12.480658506113159</v>
      </c>
      <c r="J37" s="878">
        <v>60.317745430749937</v>
      </c>
      <c r="K37" s="878">
        <v>88.984378360714942</v>
      </c>
      <c r="N37" s="322"/>
    </row>
    <row r="38" spans="2:14" s="31" customFormat="1">
      <c r="B38" s="212"/>
      <c r="C38" s="818"/>
      <c r="D38" s="820"/>
      <c r="E38" s="820"/>
      <c r="F38" s="820"/>
      <c r="G38" s="820"/>
      <c r="H38" s="820"/>
      <c r="I38" s="820"/>
      <c r="J38" s="820"/>
      <c r="K38" s="820"/>
      <c r="L38"/>
      <c r="M38"/>
      <c r="N38" s="819"/>
    </row>
    <row r="39" spans="2:14">
      <c r="B39" s="213" t="s">
        <v>484</v>
      </c>
      <c r="C39" s="152" t="s">
        <v>128</v>
      </c>
      <c r="D39" s="102">
        <v>23.491776480923328</v>
      </c>
      <c r="E39" s="102">
        <v>19.924287118751494</v>
      </c>
      <c r="F39" s="102">
        <v>9.1679495886293978</v>
      </c>
      <c r="G39" s="102">
        <v>10.570886455861647</v>
      </c>
      <c r="H39" s="102">
        <v>16.403248515292535</v>
      </c>
      <c r="I39" s="102">
        <v>26.586005273886833</v>
      </c>
      <c r="J39" s="102">
        <v>1.0174550792500554</v>
      </c>
      <c r="K39" s="102">
        <v>-21.570210512963087</v>
      </c>
    </row>
    <row r="40" spans="2:14">
      <c r="B40" s="213"/>
      <c r="C40" s="152"/>
      <c r="D40" s="152"/>
      <c r="E40" s="152"/>
      <c r="F40" s="152"/>
      <c r="G40" s="152"/>
      <c r="H40" s="152"/>
      <c r="I40" s="152"/>
      <c r="J40" s="152"/>
      <c r="K40" s="152"/>
      <c r="L40" s="152"/>
      <c r="N40" s="322"/>
    </row>
    <row r="41" spans="2:14">
      <c r="B41" s="848" t="s">
        <v>374</v>
      </c>
      <c r="C41" s="152" t="s">
        <v>127</v>
      </c>
      <c r="D41" s="504">
        <v>1.0603167467048125</v>
      </c>
      <c r="E41" s="504">
        <v>1.0830366813119445</v>
      </c>
      <c r="F41" s="504">
        <v>1.1235639113109226</v>
      </c>
      <c r="G41" s="504">
        <v>1.1578951670583426</v>
      </c>
      <c r="H41" s="504">
        <v>1.1878696229692449</v>
      </c>
      <c r="I41" s="504">
        <v>1.2022764892203943</v>
      </c>
      <c r="J41" s="504">
        <v>1.2717196280780627</v>
      </c>
      <c r="K41" s="504">
        <v>1.3772723572085417</v>
      </c>
      <c r="L41" s="152"/>
      <c r="N41" s="322"/>
    </row>
    <row r="42" spans="2:14">
      <c r="L42" s="155"/>
      <c r="M42" s="155"/>
      <c r="N42" s="155"/>
    </row>
    <row r="43" spans="2:14">
      <c r="B43" s="829" t="s">
        <v>430</v>
      </c>
      <c r="C43" s="156" t="s">
        <v>159</v>
      </c>
      <c r="D43" s="145">
        <v>22.155432849598608</v>
      </c>
      <c r="E43" s="146">
        <v>18.396687261428728</v>
      </c>
      <c r="F43" s="146">
        <v>8.1597045760687141</v>
      </c>
      <c r="G43" s="146">
        <v>9.1293985471216796</v>
      </c>
      <c r="H43" s="146">
        <v>13.80896370957811</v>
      </c>
      <c r="I43" s="146">
        <v>22.113054286810762</v>
      </c>
      <c r="J43" s="146">
        <v>0.8000624168927275</v>
      </c>
      <c r="K43" s="147">
        <v>-15.661543194464189</v>
      </c>
      <c r="L43" s="688">
        <v>94.563303647499339</v>
      </c>
      <c r="M43" s="689">
        <v>78.901760453035152</v>
      </c>
    </row>
    <row r="44" spans="2:14">
      <c r="B44" s="213"/>
      <c r="C44" s="66"/>
      <c r="D44" s="801"/>
      <c r="E44" s="801"/>
      <c r="F44" s="801"/>
      <c r="G44" s="801"/>
      <c r="H44" s="801"/>
      <c r="I44" s="801"/>
      <c r="J44" s="801"/>
      <c r="K44" s="801"/>
      <c r="L44" s="824"/>
      <c r="M44" s="824"/>
    </row>
    <row r="45" spans="2:14">
      <c r="B45" s="829" t="s">
        <v>521</v>
      </c>
      <c r="C45" s="152"/>
      <c r="D45" s="801"/>
      <c r="E45" s="801"/>
      <c r="F45" s="801"/>
      <c r="G45" s="801"/>
      <c r="H45" s="801"/>
      <c r="I45" s="801"/>
      <c r="J45" s="801"/>
      <c r="K45" s="801"/>
      <c r="L45" s="824"/>
      <c r="M45" s="824"/>
    </row>
    <row r="46" spans="2:14">
      <c r="B46" s="369" t="s">
        <v>505</v>
      </c>
      <c r="C46" s="152" t="s">
        <v>128</v>
      </c>
      <c r="D46" s="877">
        <v>0.28404911999999999</v>
      </c>
      <c r="E46" s="877">
        <v>0.28404912000000004</v>
      </c>
      <c r="F46" s="877">
        <v>0.39200000000000002</v>
      </c>
      <c r="G46" s="877">
        <v>0.60703012000000012</v>
      </c>
      <c r="H46" s="877">
        <v>0.60702912000000009</v>
      </c>
      <c r="I46" s="877">
        <v>0.60702912000000009</v>
      </c>
      <c r="J46" s="877">
        <v>0.60702912000000009</v>
      </c>
      <c r="K46" s="877">
        <v>0.61019262770215543</v>
      </c>
      <c r="L46" s="688">
        <v>3.3882157200000003</v>
      </c>
      <c r="M46" s="688">
        <v>3.9984083477021555</v>
      </c>
    </row>
    <row r="47" spans="2:14">
      <c r="B47" s="369" t="s">
        <v>542</v>
      </c>
      <c r="C47" s="152" t="s">
        <v>128</v>
      </c>
      <c r="D47" s="387"/>
      <c r="E47" s="388"/>
      <c r="F47" s="388"/>
      <c r="G47" s="680"/>
      <c r="H47" s="680"/>
      <c r="I47" s="680"/>
      <c r="J47" s="680"/>
      <c r="K47" s="680">
        <v>0</v>
      </c>
      <c r="L47" s="688">
        <v>0</v>
      </c>
      <c r="M47" s="688">
        <v>0</v>
      </c>
    </row>
    <row r="48" spans="2:14">
      <c r="B48" s="369" t="s">
        <v>524</v>
      </c>
      <c r="C48" s="152" t="s">
        <v>128</v>
      </c>
      <c r="D48" s="877">
        <v>0</v>
      </c>
      <c r="E48" s="877">
        <v>0</v>
      </c>
      <c r="F48" s="877">
        <v>0</v>
      </c>
      <c r="G48" s="877">
        <v>0</v>
      </c>
      <c r="H48" s="877">
        <v>0</v>
      </c>
      <c r="I48" s="877">
        <v>0</v>
      </c>
      <c r="J48" s="877">
        <v>0</v>
      </c>
      <c r="K48" s="877">
        <v>0</v>
      </c>
      <c r="L48" s="688">
        <v>0</v>
      </c>
      <c r="M48" s="688">
        <v>0</v>
      </c>
    </row>
    <row r="49" spans="1:14">
      <c r="B49" s="369" t="s">
        <v>525</v>
      </c>
      <c r="C49" s="152" t="s">
        <v>128</v>
      </c>
      <c r="D49" s="877">
        <v>0</v>
      </c>
      <c r="E49" s="877">
        <v>0</v>
      </c>
      <c r="F49" s="877">
        <v>0</v>
      </c>
      <c r="G49" s="877">
        <v>0</v>
      </c>
      <c r="H49" s="877">
        <v>0</v>
      </c>
      <c r="I49" s="877">
        <v>0</v>
      </c>
      <c r="J49" s="877">
        <v>0</v>
      </c>
      <c r="K49" s="877">
        <v>0</v>
      </c>
      <c r="L49" s="688">
        <v>0</v>
      </c>
      <c r="M49" s="688">
        <v>0</v>
      </c>
    </row>
    <row r="50" spans="1:14">
      <c r="B50" s="369" t="s">
        <v>506</v>
      </c>
      <c r="C50" s="152" t="s">
        <v>128</v>
      </c>
      <c r="D50" s="877">
        <v>0</v>
      </c>
      <c r="E50" s="877">
        <v>0</v>
      </c>
      <c r="F50" s="877">
        <v>0</v>
      </c>
      <c r="G50" s="877">
        <v>0</v>
      </c>
      <c r="H50" s="877">
        <v>0</v>
      </c>
      <c r="I50" s="877">
        <v>0</v>
      </c>
      <c r="J50" s="877">
        <v>0</v>
      </c>
      <c r="K50" s="877">
        <v>0</v>
      </c>
      <c r="L50" s="688">
        <v>0</v>
      </c>
      <c r="M50" s="688">
        <v>0</v>
      </c>
    </row>
    <row r="51" spans="1:14">
      <c r="B51" s="369" t="s">
        <v>506</v>
      </c>
      <c r="C51" s="152" t="s">
        <v>128</v>
      </c>
      <c r="D51" s="877">
        <v>0</v>
      </c>
      <c r="E51" s="877">
        <v>0</v>
      </c>
      <c r="F51" s="877">
        <v>0</v>
      </c>
      <c r="G51" s="877">
        <v>0</v>
      </c>
      <c r="H51" s="877">
        <v>0</v>
      </c>
      <c r="I51" s="877">
        <v>0</v>
      </c>
      <c r="J51" s="877">
        <v>0</v>
      </c>
      <c r="K51" s="877">
        <v>0</v>
      </c>
      <c r="L51" s="688">
        <v>0</v>
      </c>
      <c r="M51" s="688">
        <v>0</v>
      </c>
    </row>
    <row r="52" spans="1:14">
      <c r="B52" s="369" t="s">
        <v>506</v>
      </c>
      <c r="C52" s="152" t="s">
        <v>128</v>
      </c>
      <c r="D52" s="877">
        <v>0</v>
      </c>
      <c r="E52" s="877">
        <v>0</v>
      </c>
      <c r="F52" s="877">
        <v>0</v>
      </c>
      <c r="G52" s="877">
        <v>0</v>
      </c>
      <c r="H52" s="877">
        <v>0</v>
      </c>
      <c r="I52" s="877">
        <v>0</v>
      </c>
      <c r="J52" s="877">
        <v>0</v>
      </c>
      <c r="K52" s="877">
        <v>0</v>
      </c>
      <c r="L52" s="688">
        <v>0</v>
      </c>
      <c r="M52" s="688">
        <v>0</v>
      </c>
    </row>
    <row r="53" spans="1:14">
      <c r="B53" s="369" t="s">
        <v>506</v>
      </c>
      <c r="C53" s="152" t="s">
        <v>128</v>
      </c>
      <c r="D53" s="877">
        <v>0</v>
      </c>
      <c r="E53" s="877">
        <v>0</v>
      </c>
      <c r="F53" s="877">
        <v>0</v>
      </c>
      <c r="G53" s="877">
        <v>0</v>
      </c>
      <c r="H53" s="877">
        <v>0</v>
      </c>
      <c r="I53" s="877">
        <v>0</v>
      </c>
      <c r="J53" s="877">
        <v>0</v>
      </c>
      <c r="K53" s="877">
        <v>0</v>
      </c>
      <c r="L53" s="688">
        <v>0</v>
      </c>
      <c r="M53" s="688">
        <v>0</v>
      </c>
    </row>
    <row r="54" spans="1:14" s="860" customFormat="1">
      <c r="B54" s="859"/>
      <c r="C54" s="861"/>
      <c r="D54" s="862"/>
      <c r="E54" s="862"/>
      <c r="F54" s="862"/>
      <c r="G54" s="862"/>
      <c r="H54" s="862"/>
      <c r="I54" s="862"/>
      <c r="J54" s="862"/>
      <c r="K54" s="862"/>
      <c r="L54" s="863"/>
      <c r="M54" s="863"/>
    </row>
    <row r="55" spans="1:14">
      <c r="B55" s="854" t="s">
        <v>522</v>
      </c>
      <c r="C55" s="235" t="s">
        <v>128</v>
      </c>
      <c r="D55" s="145">
        <v>0.28404911999999999</v>
      </c>
      <c r="E55" s="145">
        <v>0.28404912000000004</v>
      </c>
      <c r="F55" s="145">
        <v>0.39200000000000002</v>
      </c>
      <c r="G55" s="145">
        <v>0.60703012000000012</v>
      </c>
      <c r="H55" s="145">
        <v>0.60702912000000009</v>
      </c>
      <c r="I55" s="145">
        <v>0.60702912000000009</v>
      </c>
      <c r="J55" s="145">
        <v>0.60702912000000009</v>
      </c>
      <c r="K55" s="145">
        <v>0.61019262770215543</v>
      </c>
      <c r="L55" s="688">
        <v>3.3882157200000003</v>
      </c>
      <c r="M55" s="689">
        <v>3.9984083477021555</v>
      </c>
    </row>
    <row r="56" spans="1:14">
      <c r="B56" s="854" t="s">
        <v>522</v>
      </c>
      <c r="C56" s="156" t="s">
        <v>159</v>
      </c>
      <c r="D56" s="145">
        <v>0.26789081742106824</v>
      </c>
      <c r="E56" s="145">
        <v>0.26227100605301296</v>
      </c>
      <c r="F56" s="145">
        <v>0.34888981040930062</v>
      </c>
      <c r="G56" s="145">
        <v>0.52425309066810699</v>
      </c>
      <c r="H56" s="145">
        <v>0.5110233549727845</v>
      </c>
      <c r="I56" s="145">
        <v>0.50489976760139654</v>
      </c>
      <c r="J56" s="145">
        <v>0.47732936301171758</v>
      </c>
      <c r="K56" s="145">
        <v>0.44304427117007927</v>
      </c>
      <c r="L56" s="688">
        <v>2.8965572101373875</v>
      </c>
      <c r="M56" s="689">
        <v>3.3396014813074668</v>
      </c>
    </row>
    <row r="57" spans="1:14">
      <c r="B57" s="213"/>
      <c r="C57" s="66"/>
      <c r="D57" s="801"/>
      <c r="E57" s="801"/>
      <c r="F57" s="801"/>
      <c r="G57" s="801"/>
      <c r="H57" s="801"/>
      <c r="I57" s="801"/>
      <c r="J57" s="801"/>
      <c r="K57" s="801"/>
      <c r="L57" s="824"/>
      <c r="M57" s="824"/>
    </row>
    <row r="58" spans="1:14" s="2" customFormat="1">
      <c r="A58" s="1"/>
    </row>
    <row r="59" spans="1:14" s="2" customFormat="1">
      <c r="A59" s="1"/>
      <c r="B59" s="825" t="s">
        <v>440</v>
      </c>
      <c r="C59" s="81"/>
      <c r="D59" s="81"/>
      <c r="E59" s="81"/>
      <c r="F59" s="81"/>
      <c r="G59" s="81"/>
      <c r="H59" s="81"/>
      <c r="I59" s="81"/>
      <c r="J59" s="81"/>
      <c r="K59" s="81"/>
      <c r="L59" s="81"/>
      <c r="M59" s="81"/>
      <c r="N59" s="81"/>
    </row>
    <row r="60" spans="1:14" s="2" customFormat="1">
      <c r="A60" s="1"/>
      <c r="B60" s="368" t="s">
        <v>441</v>
      </c>
    </row>
    <row r="61" spans="1:14" s="2" customFormat="1">
      <c r="A61" s="1"/>
    </row>
    <row r="62" spans="1:14" s="31" customFormat="1">
      <c r="B62" s="213" t="s">
        <v>115</v>
      </c>
      <c r="C62" s="155" t="s">
        <v>7</v>
      </c>
      <c r="D62" s="886">
        <v>0.65</v>
      </c>
      <c r="E62" s="887">
        <v>0.65</v>
      </c>
      <c r="F62" s="887">
        <v>0.65</v>
      </c>
      <c r="G62" s="887">
        <v>0.65</v>
      </c>
      <c r="H62" s="887">
        <v>0.65</v>
      </c>
      <c r="I62" s="887">
        <v>0.65</v>
      </c>
      <c r="J62" s="887">
        <v>0.65</v>
      </c>
      <c r="K62" s="888">
        <v>0.65</v>
      </c>
      <c r="N62" s="819"/>
    </row>
    <row r="63" spans="1:14" s="31" customFormat="1">
      <c r="B63" s="213" t="s">
        <v>403</v>
      </c>
      <c r="C63" s="155" t="s">
        <v>7</v>
      </c>
      <c r="D63" s="887">
        <v>0.56417774365449824</v>
      </c>
      <c r="E63" s="887">
        <v>0.59213879997618502</v>
      </c>
      <c r="F63" s="887">
        <v>0.59258475946055711</v>
      </c>
      <c r="G63" s="887">
        <v>0.59548802440742565</v>
      </c>
      <c r="H63" s="887">
        <v>0.60717878475609133</v>
      </c>
      <c r="I63" s="887">
        <v>0.61041106062008965</v>
      </c>
      <c r="J63" s="887">
        <v>0.58064475392320158</v>
      </c>
      <c r="K63" s="888">
        <v>0.55872004540867237</v>
      </c>
      <c r="N63" s="819"/>
    </row>
    <row r="64" spans="1:14" s="31" customFormat="1">
      <c r="B64" s="213"/>
      <c r="C64" s="155"/>
      <c r="D64" s="155"/>
      <c r="E64" s="155"/>
      <c r="F64" s="155"/>
      <c r="G64" s="155"/>
      <c r="H64" s="155"/>
      <c r="I64" s="155"/>
      <c r="J64" s="155"/>
      <c r="K64" s="155"/>
      <c r="N64" s="819"/>
    </row>
    <row r="65" spans="2:15">
      <c r="B65" s="213" t="s">
        <v>430</v>
      </c>
      <c r="C65" s="152" t="s">
        <v>128</v>
      </c>
      <c r="D65" s="95">
        <v>23.491776480923328</v>
      </c>
      <c r="E65" s="96">
        <v>19.924287118751494</v>
      </c>
      <c r="F65" s="96">
        <v>9.1679495886293978</v>
      </c>
      <c r="G65" s="96">
        <v>10.570886455861647</v>
      </c>
      <c r="H65" s="96">
        <v>16.403248515292535</v>
      </c>
      <c r="I65" s="96">
        <v>26.586005273886833</v>
      </c>
      <c r="J65" s="96">
        <v>1.0174550792500554</v>
      </c>
      <c r="K65" s="97">
        <v>-21.570210512963087</v>
      </c>
      <c r="L65" s="31"/>
      <c r="M65" s="31"/>
    </row>
    <row r="66" spans="2:15" s="31" customFormat="1">
      <c r="B66" s="213" t="s">
        <v>448</v>
      </c>
      <c r="C66" s="152" t="s">
        <v>128</v>
      </c>
      <c r="D66" s="95">
        <v>3.5735498002765933</v>
      </c>
      <c r="E66" s="95">
        <v>1.9469137343412841</v>
      </c>
      <c r="F66" s="95">
        <v>0.88827804374148756</v>
      </c>
      <c r="G66" s="95">
        <v>0.96767673043840896</v>
      </c>
      <c r="H66" s="95">
        <v>1.1568372495999346</v>
      </c>
      <c r="I66" s="95">
        <v>1.7242671685416104</v>
      </c>
      <c r="J66" s="95">
        <v>0.12153015577371319</v>
      </c>
      <c r="K66" s="95">
        <v>-3.5239971293825492</v>
      </c>
      <c r="N66" s="819"/>
    </row>
    <row r="67" spans="2:15">
      <c r="B67" s="213" t="s">
        <v>447</v>
      </c>
      <c r="C67" s="152" t="s">
        <v>128</v>
      </c>
      <c r="D67" s="102">
        <v>27.065326281199923</v>
      </c>
      <c r="E67" s="103">
        <v>21.871200853092777</v>
      </c>
      <c r="F67" s="103">
        <v>10.056227632370886</v>
      </c>
      <c r="G67" s="103">
        <v>11.538563186300056</v>
      </c>
      <c r="H67" s="103">
        <v>17.56008576489247</v>
      </c>
      <c r="I67" s="103">
        <v>28.310272442428445</v>
      </c>
      <c r="J67" s="103">
        <v>1.1389852350237686</v>
      </c>
      <c r="K67" s="104">
        <v>-25.094207642345637</v>
      </c>
      <c r="L67" s="31"/>
      <c r="M67" s="31"/>
    </row>
    <row r="68" spans="2:15">
      <c r="B68" s="213"/>
      <c r="C68" s="152"/>
      <c r="D68" s="152"/>
      <c r="E68" s="152"/>
      <c r="F68" s="152"/>
      <c r="G68" s="152"/>
      <c r="H68" s="152"/>
      <c r="I68" s="152"/>
      <c r="J68" s="152"/>
      <c r="K68" s="152"/>
      <c r="L68" s="152"/>
      <c r="M68" s="152"/>
      <c r="N68" s="152"/>
      <c r="O68" s="152"/>
    </row>
    <row r="69" spans="2:15">
      <c r="B69" s="829" t="s">
        <v>447</v>
      </c>
      <c r="C69" s="156" t="s">
        <v>159</v>
      </c>
      <c r="D69" s="145">
        <v>25.525699151043202</v>
      </c>
      <c r="E69" s="146">
        <v>20.194330654247956</v>
      </c>
      <c r="F69" s="146">
        <v>8.9502942655373676</v>
      </c>
      <c r="G69" s="146">
        <v>9.9651190492607569</v>
      </c>
      <c r="H69" s="146">
        <v>14.782839316152053</v>
      </c>
      <c r="I69" s="146">
        <v>23.547222869496512</v>
      </c>
      <c r="J69" s="146">
        <v>0.89562605614973934</v>
      </c>
      <c r="K69" s="147">
        <v>-18.220221665674483</v>
      </c>
      <c r="L69" s="688">
        <v>103.86113136188759</v>
      </c>
      <c r="M69" s="689">
        <v>85.6409096962131</v>
      </c>
    </row>
    <row r="70" spans="2:15">
      <c r="B70" s="371" t="s">
        <v>523</v>
      </c>
      <c r="C70" s="159" t="s">
        <v>159</v>
      </c>
      <c r="D70" s="95">
        <v>0.30864214918469163</v>
      </c>
      <c r="E70" s="95">
        <v>0.28789897561401945</v>
      </c>
      <c r="F70" s="95">
        <v>0.38269356939332483</v>
      </c>
      <c r="G70" s="95">
        <v>0.57224410058181563</v>
      </c>
      <c r="H70" s="95">
        <v>0.54706321938725744</v>
      </c>
      <c r="I70" s="95">
        <v>0.53764564588249641</v>
      </c>
      <c r="J70" s="95">
        <v>0.53434407847703247</v>
      </c>
      <c r="K70" s="95">
        <v>0.51542588927503252</v>
      </c>
      <c r="L70" s="684">
        <v>3.1705317385206375</v>
      </c>
      <c r="M70" s="685">
        <v>3.6859576277956698</v>
      </c>
      <c r="N70" s="155"/>
    </row>
    <row r="72" spans="2:15">
      <c r="B72" s="821" t="s">
        <v>318</v>
      </c>
      <c r="C72" s="822"/>
      <c r="D72" s="822"/>
      <c r="E72" s="822"/>
      <c r="F72" s="822"/>
      <c r="G72" s="822"/>
      <c r="H72" s="822"/>
      <c r="I72" s="822"/>
      <c r="J72" s="822"/>
      <c r="K72" s="822"/>
      <c r="L72" s="822"/>
      <c r="M72" s="822"/>
      <c r="N72" s="822"/>
      <c r="O72" s="155"/>
    </row>
    <row r="73" spans="2:15" s="31" customFormat="1">
      <c r="B73" s="823"/>
      <c r="C73" s="66"/>
      <c r="D73" s="66"/>
      <c r="E73" s="66"/>
      <c r="F73" s="66"/>
      <c r="G73" s="66"/>
      <c r="H73" s="66"/>
      <c r="I73" s="66"/>
      <c r="J73" s="66"/>
      <c r="K73" s="66"/>
      <c r="L73" s="66"/>
      <c r="M73" s="66"/>
      <c r="N73" s="66"/>
      <c r="O73" s="66"/>
    </row>
    <row r="74" spans="2:15">
      <c r="B74" s="368" t="s">
        <v>477</v>
      </c>
      <c r="C74" s="367"/>
      <c r="D74" s="367"/>
      <c r="E74" s="367"/>
      <c r="F74" s="367"/>
      <c r="G74" s="367"/>
      <c r="H74" s="367"/>
      <c r="I74" s="367"/>
      <c r="J74" s="367"/>
      <c r="K74" s="367"/>
      <c r="L74" s="367"/>
      <c r="M74" s="367"/>
      <c r="N74" s="367"/>
      <c r="O74" s="155"/>
    </row>
    <row r="75" spans="2:15">
      <c r="B75" s="368" t="s">
        <v>347</v>
      </c>
      <c r="C75" s="367"/>
      <c r="D75" s="367"/>
      <c r="E75" s="367"/>
      <c r="F75" s="367"/>
      <c r="G75" s="367"/>
      <c r="H75" s="367"/>
      <c r="I75" s="367"/>
      <c r="J75" s="367"/>
      <c r="K75" s="367"/>
      <c r="L75" s="367"/>
      <c r="M75" s="367"/>
      <c r="N75" s="367"/>
      <c r="O75" s="155"/>
    </row>
    <row r="76" spans="2:15">
      <c r="B76" s="368" t="s">
        <v>348</v>
      </c>
      <c r="C76" s="367"/>
      <c r="D76" s="367"/>
      <c r="E76" s="367"/>
      <c r="F76" s="367"/>
      <c r="G76" s="367"/>
      <c r="H76" s="367"/>
      <c r="I76" s="367"/>
      <c r="J76" s="367"/>
      <c r="K76" s="367"/>
      <c r="L76" s="367"/>
      <c r="M76" s="367"/>
      <c r="N76" s="367"/>
      <c r="O76" s="155"/>
    </row>
    <row r="77" spans="2:15">
      <c r="B77" s="368" t="s">
        <v>529</v>
      </c>
      <c r="C77" s="367"/>
      <c r="D77" s="367"/>
      <c r="E77" s="367"/>
      <c r="F77" s="367"/>
      <c r="G77" s="367"/>
      <c r="H77" s="367"/>
      <c r="I77" s="367"/>
      <c r="J77" s="367"/>
      <c r="K77" s="367"/>
      <c r="L77" s="367"/>
      <c r="M77" s="367"/>
      <c r="N77" s="367"/>
      <c r="O77" s="155"/>
    </row>
    <row r="78" spans="2:15" s="31" customFormat="1">
      <c r="B78" s="372"/>
      <c r="C78" s="372"/>
      <c r="D78" s="372"/>
      <c r="E78" s="372"/>
      <c r="F78" s="372"/>
      <c r="G78" s="372"/>
      <c r="H78" s="372"/>
      <c r="I78" s="372"/>
      <c r="J78" s="372"/>
      <c r="K78" s="372"/>
      <c r="L78" s="372"/>
      <c r="M78" s="372"/>
      <c r="N78" s="372"/>
      <c r="O78" s="66"/>
    </row>
    <row r="79" spans="2:15">
      <c r="B79" s="371" t="s">
        <v>233</v>
      </c>
      <c r="C79" s="155" t="s">
        <v>159</v>
      </c>
      <c r="D79" s="596">
        <v>20.094824973280261</v>
      </c>
      <c r="E79" s="596">
        <v>19.688088710494199</v>
      </c>
      <c r="F79" s="596">
        <v>19.175523712538141</v>
      </c>
      <c r="G79" s="596">
        <v>17.104043365793611</v>
      </c>
      <c r="H79" s="596">
        <v>14.632707316712759</v>
      </c>
      <c r="I79" s="596">
        <v>10.42387572431133</v>
      </c>
      <c r="J79" s="895">
        <v>7.5239800140463169</v>
      </c>
      <c r="K79" s="898">
        <v>4.0222549139034935</v>
      </c>
      <c r="L79" s="896"/>
      <c r="M79" s="896"/>
      <c r="O79" s="66"/>
    </row>
    <row r="80" spans="2:15">
      <c r="B80" s="371" t="s">
        <v>317</v>
      </c>
      <c r="C80" s="155" t="s">
        <v>159</v>
      </c>
      <c r="D80" s="686">
        <v>20.094840139360549</v>
      </c>
      <c r="E80" s="687">
        <v>19.688124480408849</v>
      </c>
      <c r="F80" s="687">
        <v>19.141470837772136</v>
      </c>
      <c r="G80" s="687">
        <v>17.054138676523365</v>
      </c>
      <c r="H80" s="687">
        <v>14.608284133855546</v>
      </c>
      <c r="I80" s="687">
        <v>10.418758973414734</v>
      </c>
      <c r="J80" s="687">
        <v>7.5157905051167679</v>
      </c>
      <c r="K80" s="897">
        <v>4.0187139511313141</v>
      </c>
      <c r="L80" s="899">
        <v>108.52140774645196</v>
      </c>
      <c r="M80" s="899">
        <v>112.54012169758327</v>
      </c>
      <c r="O80" s="66"/>
    </row>
    <row r="81" spans="2:15" s="31" customFormat="1">
      <c r="B81" s="826"/>
      <c r="C81" s="66"/>
      <c r="D81" s="827"/>
      <c r="E81" s="827"/>
      <c r="F81" s="827"/>
      <c r="G81" s="827"/>
      <c r="H81" s="827"/>
      <c r="I81" s="827"/>
      <c r="J81" s="827"/>
      <c r="K81" s="827"/>
      <c r="L81" s="824"/>
      <c r="M81" s="824"/>
      <c r="O81" s="66"/>
    </row>
    <row r="82" spans="2:15" s="31" customFormat="1">
      <c r="B82" s="826"/>
      <c r="C82" s="66"/>
      <c r="D82" s="827"/>
      <c r="E82" s="828"/>
      <c r="F82" s="828"/>
      <c r="G82" s="828"/>
      <c r="H82" s="828"/>
      <c r="I82" s="828"/>
      <c r="J82" s="828"/>
      <c r="K82" s="828"/>
      <c r="L82" s="824"/>
      <c r="M82" s="824"/>
      <c r="O82" s="66"/>
    </row>
    <row r="83" spans="2:15">
      <c r="B83" s="830" t="s">
        <v>431</v>
      </c>
      <c r="C83" s="822"/>
      <c r="D83" s="822"/>
      <c r="E83" s="822"/>
      <c r="F83" s="822"/>
      <c r="G83" s="822"/>
      <c r="H83" s="822"/>
      <c r="I83" s="822"/>
      <c r="J83" s="822"/>
      <c r="K83" s="822"/>
      <c r="L83" s="822"/>
      <c r="M83" s="822"/>
      <c r="N83" s="822"/>
    </row>
    <row r="84" spans="2:15">
      <c r="B84" s="371"/>
      <c r="C84" s="155"/>
      <c r="D84" s="155"/>
      <c r="E84" s="155"/>
      <c r="F84" s="155"/>
      <c r="G84" s="155"/>
      <c r="H84" s="155"/>
      <c r="I84" s="155"/>
      <c r="J84" s="155"/>
      <c r="K84" s="155"/>
      <c r="L84" s="155"/>
      <c r="M84" s="155"/>
      <c r="N84" s="155"/>
    </row>
    <row r="85" spans="2:15">
      <c r="B85" s="849" t="s">
        <v>485</v>
      </c>
      <c r="C85" s="155"/>
      <c r="D85" s="155"/>
      <c r="E85" s="155"/>
      <c r="F85" s="155"/>
      <c r="G85" s="155"/>
      <c r="H85" s="155"/>
      <c r="I85" s="155"/>
      <c r="J85" s="155"/>
      <c r="K85" s="155"/>
      <c r="L85" s="155"/>
      <c r="M85" s="155"/>
      <c r="N85" s="155"/>
    </row>
    <row r="86" spans="2:15">
      <c r="B86" s="213" t="s">
        <v>486</v>
      </c>
      <c r="C86" s="155" t="s">
        <v>159</v>
      </c>
      <c r="D86" s="145">
        <v>-2.3284835276591265</v>
      </c>
      <c r="E86" s="145">
        <v>1.0291662129271084</v>
      </c>
      <c r="F86" s="145">
        <v>10.632876451294122</v>
      </c>
      <c r="G86" s="145">
        <v>7.400487038733579</v>
      </c>
      <c r="H86" s="145">
        <v>0.2882970693046516</v>
      </c>
      <c r="I86" s="145">
        <v>-12.199195080997423</v>
      </c>
      <c r="J86" s="145">
        <v>6.2383987252123223</v>
      </c>
      <c r="K86" s="145">
        <v>19.237212874425424</v>
      </c>
      <c r="L86" s="688">
        <v>11.061546888815231</v>
      </c>
      <c r="M86" s="689">
        <v>30.298759763240653</v>
      </c>
    </row>
    <row r="87" spans="2:15">
      <c r="B87" s="213"/>
    </row>
    <row r="88" spans="2:15">
      <c r="B88" s="213" t="s">
        <v>487</v>
      </c>
      <c r="C88" s="155" t="s">
        <v>159</v>
      </c>
      <c r="D88" s="145">
        <v>-5.739501160867345</v>
      </c>
      <c r="E88" s="145">
        <v>-0.79410514945312671</v>
      </c>
      <c r="F88" s="145">
        <v>9.8084830028414434</v>
      </c>
      <c r="G88" s="145">
        <v>6.5167755266807932</v>
      </c>
      <c r="H88" s="145">
        <v>-0.72161840168376401</v>
      </c>
      <c r="I88" s="145">
        <v>-13.666109541964275</v>
      </c>
      <c r="J88" s="145">
        <v>6.085820370489996</v>
      </c>
      <c r="K88" s="145">
        <v>21.723509727530764</v>
      </c>
      <c r="L88" s="688">
        <v>1.4897446460437216</v>
      </c>
      <c r="M88" s="689">
        <v>23.213254373574486</v>
      </c>
    </row>
    <row r="89" spans="2:15">
      <c r="B89" s="213"/>
    </row>
    <row r="90" spans="2:15">
      <c r="B90" s="213" t="s">
        <v>488</v>
      </c>
      <c r="C90" s="155" t="s">
        <v>159</v>
      </c>
      <c r="D90" s="145">
        <v>3.4110176332082185</v>
      </c>
      <c r="E90" s="145">
        <v>1.8232713623802352</v>
      </c>
      <c r="F90" s="145">
        <v>0.82439344845267826</v>
      </c>
      <c r="G90" s="145">
        <v>0.88371151205278586</v>
      </c>
      <c r="H90" s="145">
        <v>1.0099154709884157</v>
      </c>
      <c r="I90" s="145">
        <v>1.4669144609668514</v>
      </c>
      <c r="J90" s="145">
        <v>0.15257835472232628</v>
      </c>
      <c r="K90" s="145">
        <v>-2.4862968531053404</v>
      </c>
      <c r="L90" s="688">
        <v>9.5718022427715113</v>
      </c>
      <c r="M90" s="689">
        <v>7.0855053896661708</v>
      </c>
    </row>
    <row r="91" spans="2:15">
      <c r="B91" s="200"/>
    </row>
  </sheetData>
  <conditionalFormatting sqref="D6:K6">
    <cfRule type="expression" dxfId="68" priority="24">
      <formula>AND(D$5="Actuals",E$5="Forecast")</formula>
    </cfRule>
  </conditionalFormatting>
  <conditionalFormatting sqref="D5:K5">
    <cfRule type="expression" dxfId="67" priority="17">
      <formula>AND(D$5="Actuals",E$5="Forecast")</formula>
    </cfRule>
  </conditionalFormatting>
  <conditionalFormatting sqref="D29:G29 I29:K29">
    <cfRule type="expression" dxfId="66" priority="15">
      <formula>D$5="Forecast"</formula>
    </cfRule>
    <cfRule type="expression" dxfId="65" priority="16">
      <formula>D$5="Actuals"</formula>
    </cfRule>
  </conditionalFormatting>
  <conditionalFormatting sqref="D47:G47">
    <cfRule type="expression" dxfId="64" priority="9">
      <formula>D$5="Forecast"</formula>
    </cfRule>
    <cfRule type="expression" dxfId="63" priority="10">
      <formula>D$5="Actuals"</formula>
    </cfRule>
  </conditionalFormatting>
  <conditionalFormatting sqref="I47">
    <cfRule type="expression" dxfId="62" priority="7">
      <formula>I$5="Forecast"</formula>
    </cfRule>
    <cfRule type="expression" dxfId="61" priority="8">
      <formula>I$5="Actuals"</formula>
    </cfRule>
  </conditionalFormatting>
  <conditionalFormatting sqref="H47">
    <cfRule type="expression" dxfId="60" priority="5">
      <formula>H$5="Forecast"</formula>
    </cfRule>
    <cfRule type="expression" dxfId="59" priority="6">
      <formula>H$5="Actuals"</formula>
    </cfRule>
  </conditionalFormatting>
  <conditionalFormatting sqref="H29">
    <cfRule type="expression" dxfId="58" priority="3">
      <formula>H$5="Forecast"</formula>
    </cfRule>
    <cfRule type="expression" dxfId="57" priority="4">
      <formula>H$5="Actuals"</formula>
    </cfRule>
  </conditionalFormatting>
  <conditionalFormatting sqref="J47:K47">
    <cfRule type="expression" dxfId="56" priority="1">
      <formula>J$5="Forecast"</formula>
    </cfRule>
    <cfRule type="expression" dxfId="55" priority="2">
      <formula>J$5="Actuals"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4"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6"/>
  <sheetViews>
    <sheetView showGridLines="0" zoomScale="60" zoomScaleNormal="60" workbookViewId="0">
      <pane ySplit="6" topLeftCell="A7" activePane="bottomLeft" state="frozen"/>
      <selection activeCell="D85" sqref="D85:N85"/>
      <selection pane="bottomLeft" activeCell="I31" sqref="I31"/>
    </sheetView>
  </sheetViews>
  <sheetFormatPr defaultRowHeight="12.6"/>
  <cols>
    <col min="1" max="1" width="8.36328125" customWidth="1"/>
    <col min="2" max="2" width="85.7265625" bestFit="1" customWidth="1"/>
    <col min="3" max="3" width="14.08984375" customWidth="1"/>
    <col min="4" max="11" width="11.08984375" customWidth="1"/>
    <col min="12" max="12" width="5" customWidth="1"/>
    <col min="13" max="13" width="12.90625" customWidth="1"/>
  </cols>
  <sheetData>
    <row r="1" spans="1:12" s="31" customFormat="1" ht="21">
      <c r="A1" s="905" t="s">
        <v>237</v>
      </c>
      <c r="B1" s="915"/>
      <c r="C1" s="256"/>
      <c r="D1" s="256"/>
      <c r="E1" s="256"/>
      <c r="F1" s="256"/>
      <c r="G1" s="256"/>
      <c r="H1" s="256"/>
      <c r="I1" s="257"/>
      <c r="J1" s="257"/>
      <c r="K1" s="258"/>
      <c r="L1" s="363"/>
    </row>
    <row r="2" spans="1:12" s="31" customFormat="1" ht="21">
      <c r="A2" s="908" t="s">
        <v>249</v>
      </c>
      <c r="B2" s="900"/>
      <c r="C2" s="29"/>
      <c r="D2" s="29"/>
      <c r="E2" s="29"/>
      <c r="F2" s="29"/>
      <c r="G2" s="29"/>
      <c r="H2" s="29"/>
      <c r="I2" s="27"/>
      <c r="J2" s="27"/>
      <c r="K2" s="27"/>
      <c r="L2" s="123"/>
    </row>
    <row r="3" spans="1:12" s="31" customFormat="1" ht="22.8">
      <c r="A3" s="911">
        <v>2022</v>
      </c>
      <c r="B3" s="917" t="s">
        <v>663</v>
      </c>
      <c r="C3" s="260"/>
      <c r="D3" s="260"/>
      <c r="E3" s="260"/>
      <c r="F3" s="260"/>
      <c r="G3" s="260"/>
      <c r="H3" s="260"/>
      <c r="I3" s="255"/>
      <c r="J3" s="255"/>
      <c r="K3" s="255"/>
      <c r="L3" s="261"/>
    </row>
    <row r="4" spans="1:12" s="31" customFormat="1" ht="12.75" customHeight="1">
      <c r="A4" s="39"/>
      <c r="B4" s="39"/>
      <c r="C4" s="39"/>
      <c r="D4" s="39"/>
      <c r="E4" s="39"/>
      <c r="F4" s="39"/>
      <c r="G4" s="39"/>
      <c r="H4" s="39"/>
      <c r="I4" s="34"/>
      <c r="J4" s="34"/>
      <c r="K4" s="34"/>
      <c r="L4" s="33"/>
    </row>
    <row r="5" spans="1:12" s="2" customFormat="1">
      <c r="B5" s="3"/>
      <c r="C5" s="3"/>
      <c r="D5" s="389" t="s">
        <v>664</v>
      </c>
      <c r="E5" s="390" t="s">
        <v>664</v>
      </c>
      <c r="F5" s="390" t="s">
        <v>664</v>
      </c>
      <c r="G5" s="390" t="s">
        <v>664</v>
      </c>
      <c r="H5" s="390" t="s">
        <v>664</v>
      </c>
      <c r="I5" s="390" t="s">
        <v>664</v>
      </c>
      <c r="J5" s="390" t="s">
        <v>664</v>
      </c>
      <c r="K5" s="391" t="s">
        <v>665</v>
      </c>
    </row>
    <row r="6" spans="1:12" s="2" customFormat="1">
      <c r="D6" s="117">
        <v>2016</v>
      </c>
      <c r="E6" s="118">
        <v>2017</v>
      </c>
      <c r="F6" s="118">
        <v>2018</v>
      </c>
      <c r="G6" s="118">
        <v>2019</v>
      </c>
      <c r="H6" s="118">
        <v>2020</v>
      </c>
      <c r="I6" s="118">
        <v>2021</v>
      </c>
      <c r="J6" s="118">
        <v>2022</v>
      </c>
      <c r="K6" s="195">
        <v>2023</v>
      </c>
    </row>
    <row r="7" spans="1:12" s="2" customFormat="1"/>
    <row r="8" spans="1:12" s="2" customFormat="1">
      <c r="B8" s="213" t="s">
        <v>519</v>
      </c>
      <c r="C8" s="152" t="s">
        <v>128</v>
      </c>
      <c r="D8" s="879">
        <v>-97.081814760000015</v>
      </c>
      <c r="E8" s="696">
        <v>26.400000000000006</v>
      </c>
      <c r="F8" s="696">
        <v>83.76226441</v>
      </c>
      <c r="G8" s="696">
        <v>-68.352625219999993</v>
      </c>
      <c r="H8" s="696">
        <v>-42.773303950000006</v>
      </c>
      <c r="I8" s="696">
        <v>71.574834980000006</v>
      </c>
      <c r="J8" s="696">
        <v>71.026446039999996</v>
      </c>
      <c r="K8" s="696">
        <v>141.07314155</v>
      </c>
    </row>
    <row r="9" spans="1:12" s="2" customFormat="1">
      <c r="B9" s="213"/>
    </row>
    <row r="10" spans="1:12">
      <c r="B10" s="213" t="s">
        <v>520</v>
      </c>
      <c r="C10" s="152" t="s">
        <v>128</v>
      </c>
      <c r="D10" s="690">
        <v>26.400000000000006</v>
      </c>
      <c r="E10" s="691">
        <v>83.76226441</v>
      </c>
      <c r="F10" s="691">
        <v>-68.352625219999993</v>
      </c>
      <c r="G10" s="691">
        <v>-42.773303950000006</v>
      </c>
      <c r="H10" s="691">
        <v>71.574834980000006</v>
      </c>
      <c r="I10" s="691">
        <v>71.026446039999996</v>
      </c>
      <c r="J10" s="691">
        <v>141.07314155</v>
      </c>
      <c r="K10" s="692">
        <v>229.39064826113264</v>
      </c>
    </row>
    <row r="11" spans="1:12">
      <c r="B11" s="213" t="s">
        <v>368</v>
      </c>
      <c r="C11" s="152" t="s">
        <v>128</v>
      </c>
      <c r="D11" s="693">
        <v>736.14550000000008</v>
      </c>
      <c r="E11" s="694">
        <v>743.96578993999992</v>
      </c>
      <c r="F11" s="694">
        <v>1002.45224367</v>
      </c>
      <c r="G11" s="694">
        <v>1010.93329001</v>
      </c>
      <c r="H11" s="694">
        <v>1020.08743913</v>
      </c>
      <c r="I11" s="694">
        <v>1025.19383825</v>
      </c>
      <c r="J11" s="694">
        <v>1051.77873737</v>
      </c>
      <c r="K11" s="695">
        <v>1082.0394142477021</v>
      </c>
    </row>
    <row r="12" spans="1:12">
      <c r="B12" s="213" t="s">
        <v>369</v>
      </c>
      <c r="C12" s="152" t="s">
        <v>128</v>
      </c>
      <c r="D12" s="693">
        <v>38.825000000000003</v>
      </c>
      <c r="E12" s="694">
        <v>8.8840000000000003</v>
      </c>
      <c r="F12" s="694">
        <v>0</v>
      </c>
      <c r="G12" s="694">
        <v>0</v>
      </c>
      <c r="H12" s="694">
        <v>0</v>
      </c>
      <c r="I12" s="694">
        <v>0</v>
      </c>
      <c r="J12" s="694">
        <v>0</v>
      </c>
      <c r="K12" s="695">
        <v>0</v>
      </c>
    </row>
    <row r="13" spans="1:12">
      <c r="B13" s="213" t="s">
        <v>370</v>
      </c>
      <c r="C13" s="152" t="s">
        <v>128</v>
      </c>
      <c r="D13" s="693">
        <v>-1.0044278900000001</v>
      </c>
      <c r="E13" s="694">
        <v>-1.1981082599999999</v>
      </c>
      <c r="F13" s="694">
        <v>-1.1077999999999999</v>
      </c>
      <c r="G13" s="694">
        <v>-0.88293804000000009</v>
      </c>
      <c r="H13" s="694">
        <v>-0.92665839000000005</v>
      </c>
      <c r="I13" s="694">
        <v>-0.83502118999999997</v>
      </c>
      <c r="J13" s="694">
        <v>-0.87601590000000007</v>
      </c>
      <c r="K13" s="695">
        <v>-0.87601590000000007</v>
      </c>
    </row>
    <row r="14" spans="1:12">
      <c r="B14" s="213" t="s">
        <v>371</v>
      </c>
      <c r="C14" s="152" t="s">
        <v>128</v>
      </c>
      <c r="D14" s="693">
        <v>43.246400000000008</v>
      </c>
      <c r="E14" s="694">
        <v>64.864019339999999</v>
      </c>
      <c r="F14" s="694">
        <v>64.984835840000002</v>
      </c>
      <c r="G14" s="694">
        <v>66.922432849999993</v>
      </c>
      <c r="H14" s="694">
        <v>12.893199999999998</v>
      </c>
      <c r="I14" s="694">
        <v>44.976564459999999</v>
      </c>
      <c r="J14" s="694">
        <v>-41.316186010000003</v>
      </c>
      <c r="K14" s="695">
        <v>-41.316186010000003</v>
      </c>
    </row>
    <row r="15" spans="1:12">
      <c r="B15" s="213" t="s">
        <v>293</v>
      </c>
      <c r="C15" s="152" t="s">
        <v>128</v>
      </c>
      <c r="D15" s="693">
        <v>0</v>
      </c>
      <c r="E15" s="694">
        <v>0</v>
      </c>
      <c r="F15" s="694">
        <v>0</v>
      </c>
      <c r="G15" s="694">
        <v>0</v>
      </c>
      <c r="H15" s="694">
        <v>0</v>
      </c>
      <c r="I15" s="694">
        <v>0</v>
      </c>
      <c r="J15" s="694">
        <v>0</v>
      </c>
      <c r="K15" s="695">
        <v>0</v>
      </c>
    </row>
    <row r="16" spans="1:12">
      <c r="B16" s="213" t="s">
        <v>294</v>
      </c>
      <c r="C16" s="152" t="s">
        <v>128</v>
      </c>
      <c r="D16" s="693">
        <v>0</v>
      </c>
      <c r="E16" s="694">
        <v>0</v>
      </c>
      <c r="F16" s="694">
        <v>0</v>
      </c>
      <c r="G16" s="694">
        <v>0</v>
      </c>
      <c r="H16" s="694">
        <v>0</v>
      </c>
      <c r="I16" s="694">
        <v>0</v>
      </c>
      <c r="J16" s="694">
        <v>0</v>
      </c>
      <c r="K16" s="695">
        <v>0</v>
      </c>
    </row>
    <row r="17" spans="2:13">
      <c r="B17" s="213" t="s">
        <v>298</v>
      </c>
      <c r="C17" s="152" t="s">
        <v>128</v>
      </c>
      <c r="D17" s="693">
        <v>0</v>
      </c>
      <c r="E17" s="694">
        <v>0</v>
      </c>
      <c r="F17" s="694">
        <v>0</v>
      </c>
      <c r="G17" s="694">
        <v>0</v>
      </c>
      <c r="H17" s="694">
        <v>0</v>
      </c>
      <c r="I17" s="694">
        <v>0</v>
      </c>
      <c r="J17" s="694">
        <v>0</v>
      </c>
      <c r="K17" s="695">
        <v>0</v>
      </c>
    </row>
    <row r="18" spans="2:13">
      <c r="B18" s="213" t="s">
        <v>299</v>
      </c>
      <c r="C18" s="152" t="s">
        <v>128</v>
      </c>
      <c r="D18" s="693">
        <v>0</v>
      </c>
      <c r="E18" s="694">
        <v>0</v>
      </c>
      <c r="F18" s="694">
        <v>0</v>
      </c>
      <c r="G18" s="694">
        <v>0</v>
      </c>
      <c r="H18" s="694">
        <v>0</v>
      </c>
      <c r="I18" s="694">
        <v>0</v>
      </c>
      <c r="J18" s="694">
        <v>0</v>
      </c>
      <c r="K18" s="695">
        <v>0</v>
      </c>
    </row>
    <row r="19" spans="2:13">
      <c r="B19" s="213" t="s">
        <v>300</v>
      </c>
      <c r="C19" s="152" t="s">
        <v>128</v>
      </c>
      <c r="D19" s="693">
        <v>0</v>
      </c>
      <c r="E19" s="694">
        <v>0</v>
      </c>
      <c r="F19" s="694">
        <v>0</v>
      </c>
      <c r="G19" s="694">
        <v>0</v>
      </c>
      <c r="H19" s="694">
        <v>0</v>
      </c>
      <c r="I19" s="694">
        <v>0</v>
      </c>
      <c r="J19" s="694">
        <v>0</v>
      </c>
      <c r="K19" s="695">
        <v>0</v>
      </c>
    </row>
    <row r="20" spans="2:13">
      <c r="B20" s="213" t="s">
        <v>301</v>
      </c>
      <c r="C20" s="152" t="s">
        <v>128</v>
      </c>
      <c r="D20" s="693">
        <v>0</v>
      </c>
      <c r="E20" s="694">
        <v>0</v>
      </c>
      <c r="F20" s="694">
        <v>0</v>
      </c>
      <c r="G20" s="694">
        <v>0</v>
      </c>
      <c r="H20" s="694">
        <v>0</v>
      </c>
      <c r="I20" s="694">
        <v>0</v>
      </c>
      <c r="J20" s="694">
        <v>0</v>
      </c>
      <c r="K20" s="695">
        <v>0</v>
      </c>
    </row>
    <row r="21" spans="2:13">
      <c r="B21" s="213" t="s">
        <v>302</v>
      </c>
      <c r="C21" s="152" t="s">
        <v>128</v>
      </c>
      <c r="D21" s="693">
        <v>0</v>
      </c>
      <c r="E21" s="694">
        <v>0</v>
      </c>
      <c r="F21" s="694">
        <v>0</v>
      </c>
      <c r="G21" s="694">
        <v>0</v>
      </c>
      <c r="H21" s="694">
        <v>0</v>
      </c>
      <c r="I21" s="694">
        <v>0</v>
      </c>
      <c r="J21" s="694">
        <v>0</v>
      </c>
      <c r="K21" s="695">
        <v>0</v>
      </c>
    </row>
    <row r="22" spans="2:13">
      <c r="B22" s="213" t="s">
        <v>303</v>
      </c>
      <c r="C22" s="152" t="s">
        <v>128</v>
      </c>
      <c r="D22" s="693">
        <v>0</v>
      </c>
      <c r="E22" s="694">
        <v>0</v>
      </c>
      <c r="F22" s="694">
        <v>0</v>
      </c>
      <c r="G22" s="694">
        <v>0</v>
      </c>
      <c r="H22" s="694">
        <v>0</v>
      </c>
      <c r="I22" s="694">
        <v>0</v>
      </c>
      <c r="J22" s="694">
        <v>0</v>
      </c>
      <c r="K22" s="695">
        <v>0</v>
      </c>
    </row>
    <row r="23" spans="2:13">
      <c r="B23" s="14" t="s">
        <v>319</v>
      </c>
      <c r="C23" s="235" t="s">
        <v>128</v>
      </c>
      <c r="D23" s="696">
        <v>843.61247211000011</v>
      </c>
      <c r="E23" s="696">
        <v>900.27796542999988</v>
      </c>
      <c r="F23" s="696">
        <v>997.97665428999994</v>
      </c>
      <c r="G23" s="696">
        <v>1034.1994808699999</v>
      </c>
      <c r="H23" s="696">
        <v>1103.6288157199999</v>
      </c>
      <c r="I23" s="696">
        <v>1140.3618275600002</v>
      </c>
      <c r="J23" s="696">
        <v>1150.65967701</v>
      </c>
      <c r="K23" s="697">
        <v>1269.2378605988347</v>
      </c>
      <c r="L23" s="2"/>
      <c r="M23" s="323"/>
    </row>
    <row r="24" spans="2:13">
      <c r="B24" s="14"/>
      <c r="C24" s="152"/>
      <c r="D24" s="239"/>
      <c r="E24" s="239"/>
      <c r="F24" s="239"/>
      <c r="G24" s="239"/>
      <c r="H24" s="239"/>
      <c r="I24" s="239"/>
      <c r="J24" s="239"/>
      <c r="K24" s="239"/>
      <c r="L24" s="2"/>
      <c r="M24" s="2"/>
    </row>
    <row r="25" spans="2:13">
      <c r="B25" s="14" t="s">
        <v>123</v>
      </c>
      <c r="C25" s="16"/>
      <c r="D25" s="240"/>
      <c r="E25" s="240"/>
      <c r="F25" s="240"/>
      <c r="G25" s="240"/>
      <c r="H25" s="240"/>
      <c r="I25" s="240"/>
      <c r="J25" s="240"/>
      <c r="K25" s="240"/>
      <c r="L25" s="2"/>
      <c r="M25" s="2"/>
    </row>
    <row r="26" spans="2:13">
      <c r="B26" s="369" t="s">
        <v>531</v>
      </c>
      <c r="C26" s="152" t="s">
        <v>128</v>
      </c>
      <c r="D26" s="347">
        <v>2.4692543600000003</v>
      </c>
      <c r="E26" s="347">
        <v>2.3290950399999999</v>
      </c>
      <c r="F26" s="347">
        <v>3.5756000000000001</v>
      </c>
      <c r="G26" s="347">
        <v>3.3085693899999997</v>
      </c>
      <c r="H26" s="347">
        <v>3.0444861099999998</v>
      </c>
      <c r="I26" s="347">
        <v>2.7804028299999999</v>
      </c>
      <c r="J26" s="347">
        <v>2.51631955</v>
      </c>
      <c r="K26" s="347">
        <v>2.251401477888157</v>
      </c>
      <c r="L26" s="2"/>
      <c r="M26" s="2"/>
    </row>
    <row r="27" spans="2:13">
      <c r="B27" s="369" t="s">
        <v>8</v>
      </c>
      <c r="C27" s="152" t="s">
        <v>128</v>
      </c>
      <c r="D27" s="347">
        <v>0</v>
      </c>
      <c r="E27" s="379">
        <v>0</v>
      </c>
      <c r="F27" s="379">
        <v>0</v>
      </c>
      <c r="G27" s="379">
        <v>0</v>
      </c>
      <c r="H27" s="379">
        <v>0</v>
      </c>
      <c r="I27" s="379">
        <v>0</v>
      </c>
      <c r="J27" s="379">
        <v>0</v>
      </c>
      <c r="K27" s="383">
        <v>0</v>
      </c>
      <c r="L27" s="35"/>
      <c r="M27" s="35"/>
    </row>
    <row r="28" spans="2:13">
      <c r="B28" s="369" t="s">
        <v>9</v>
      </c>
      <c r="C28" s="152" t="s">
        <v>128</v>
      </c>
      <c r="D28" s="347">
        <v>0</v>
      </c>
      <c r="E28" s="379">
        <v>0</v>
      </c>
      <c r="F28" s="379">
        <v>0</v>
      </c>
      <c r="G28" s="379">
        <v>0</v>
      </c>
      <c r="H28" s="379">
        <v>0</v>
      </c>
      <c r="I28" s="379">
        <v>0</v>
      </c>
      <c r="J28" s="379">
        <v>0</v>
      </c>
      <c r="K28" s="383">
        <v>0</v>
      </c>
      <c r="L28" s="35"/>
      <c r="M28" s="35"/>
    </row>
    <row r="29" spans="2:13">
      <c r="B29" s="369" t="s">
        <v>10</v>
      </c>
      <c r="C29" s="152" t="s">
        <v>128</v>
      </c>
      <c r="D29" s="347">
        <v>1.0044278900000001</v>
      </c>
      <c r="E29" s="379">
        <v>1.1981082599999999</v>
      </c>
      <c r="F29" s="379">
        <v>1.1077999999999999</v>
      </c>
      <c r="G29" s="379">
        <v>0.88293801999999999</v>
      </c>
      <c r="H29" s="379">
        <v>0.92665839000000005</v>
      </c>
      <c r="I29" s="379">
        <v>0.83502118999999997</v>
      </c>
      <c r="J29" s="379">
        <v>0.87601590000000007</v>
      </c>
      <c r="K29" s="383">
        <v>0.87601590000000007</v>
      </c>
      <c r="L29" s="35"/>
      <c r="M29" s="35"/>
    </row>
    <row r="30" spans="2:13">
      <c r="B30" s="369" t="s">
        <v>620</v>
      </c>
      <c r="C30" s="152" t="s">
        <v>128</v>
      </c>
      <c r="D30" s="347">
        <v>2.4309200799999999</v>
      </c>
      <c r="E30" s="379">
        <v>2.2854102399999996</v>
      </c>
      <c r="F30" s="379">
        <v>4.3586999999999998</v>
      </c>
      <c r="G30" s="379">
        <v>4.0143425600000002</v>
      </c>
      <c r="H30" s="379">
        <v>3.6697767200000002</v>
      </c>
      <c r="I30" s="379">
        <v>3.3252108799999998</v>
      </c>
      <c r="J30" s="379">
        <v>2.9806450400000002</v>
      </c>
      <c r="K30" s="383">
        <v>2.6353705244096872</v>
      </c>
    </row>
    <row r="31" spans="2:13">
      <c r="B31" s="369" t="s">
        <v>621</v>
      </c>
      <c r="C31" s="152" t="s">
        <v>128</v>
      </c>
      <c r="D31" s="347">
        <v>-43.246400000000008</v>
      </c>
      <c r="E31" s="379">
        <v>-64.864019339999999</v>
      </c>
      <c r="F31" s="379">
        <v>-64.984800000000007</v>
      </c>
      <c r="G31" s="379">
        <v>-66.922182850000013</v>
      </c>
      <c r="H31" s="379">
        <v>-12.893049220000002</v>
      </c>
      <c r="I31" s="379">
        <v>-44.976564459999999</v>
      </c>
      <c r="J31" s="379">
        <v>41.316186010000003</v>
      </c>
      <c r="K31" s="383">
        <v>41.316186010000003</v>
      </c>
    </row>
    <row r="32" spans="2:13" ht="12.75" customHeight="1">
      <c r="B32" s="369" t="s">
        <v>622</v>
      </c>
      <c r="C32" s="152" t="s">
        <v>128</v>
      </c>
      <c r="D32" s="347">
        <v>11.566366140000001</v>
      </c>
      <c r="E32" s="379">
        <v>8.8373250399999996</v>
      </c>
      <c r="F32" s="379">
        <v>4.4404000000000003</v>
      </c>
      <c r="G32" s="379">
        <v>2.5139474900000001</v>
      </c>
      <c r="H32" s="379">
        <v>2.060559</v>
      </c>
      <c r="I32" s="379">
        <v>0</v>
      </c>
      <c r="J32" s="379">
        <v>0</v>
      </c>
      <c r="K32" s="383">
        <v>0</v>
      </c>
    </row>
    <row r="33" spans="2:12">
      <c r="B33" s="369" t="s">
        <v>623</v>
      </c>
      <c r="C33" s="152" t="s">
        <v>128</v>
      </c>
      <c r="D33" s="347">
        <v>0</v>
      </c>
      <c r="E33" s="379">
        <v>0</v>
      </c>
      <c r="F33" s="379">
        <v>0</v>
      </c>
      <c r="G33" s="379">
        <v>0</v>
      </c>
      <c r="H33" s="379">
        <v>0</v>
      </c>
      <c r="I33" s="379">
        <v>0</v>
      </c>
      <c r="J33" s="379">
        <v>0</v>
      </c>
      <c r="K33" s="383">
        <v>0</v>
      </c>
    </row>
    <row r="34" spans="2:12">
      <c r="B34" s="369" t="s">
        <v>356</v>
      </c>
      <c r="C34" s="152" t="s">
        <v>128</v>
      </c>
      <c r="D34" s="347">
        <v>0</v>
      </c>
      <c r="E34" s="379">
        <v>0</v>
      </c>
      <c r="F34" s="379">
        <v>0</v>
      </c>
      <c r="G34" s="379">
        <v>0</v>
      </c>
      <c r="H34" s="379">
        <v>0</v>
      </c>
      <c r="I34" s="379">
        <v>0</v>
      </c>
      <c r="J34" s="379">
        <v>0</v>
      </c>
      <c r="K34" s="383">
        <v>0</v>
      </c>
    </row>
    <row r="35" spans="2:12">
      <c r="B35" s="369" t="s">
        <v>357</v>
      </c>
      <c r="C35" s="152" t="s">
        <v>128</v>
      </c>
      <c r="D35" s="347">
        <v>0</v>
      </c>
      <c r="E35" s="379">
        <v>0</v>
      </c>
      <c r="F35" s="379">
        <v>0</v>
      </c>
      <c r="G35" s="379">
        <v>0</v>
      </c>
      <c r="H35" s="379">
        <v>0</v>
      </c>
      <c r="I35" s="379">
        <v>0</v>
      </c>
      <c r="J35" s="379">
        <v>0</v>
      </c>
      <c r="K35" s="383">
        <v>0</v>
      </c>
    </row>
    <row r="36" spans="2:12">
      <c r="B36" s="369" t="s">
        <v>358</v>
      </c>
      <c r="C36" s="152" t="s">
        <v>128</v>
      </c>
      <c r="D36" s="347">
        <v>0</v>
      </c>
      <c r="E36" s="379">
        <v>0</v>
      </c>
      <c r="F36" s="379">
        <v>0</v>
      </c>
      <c r="G36" s="379">
        <v>0</v>
      </c>
      <c r="H36" s="379">
        <v>0</v>
      </c>
      <c r="I36" s="379">
        <v>0</v>
      </c>
      <c r="J36" s="379">
        <v>0</v>
      </c>
      <c r="K36" s="383">
        <v>0</v>
      </c>
    </row>
    <row r="37" spans="2:12">
      <c r="B37" s="369" t="s">
        <v>359</v>
      </c>
      <c r="C37" s="152" t="s">
        <v>128</v>
      </c>
      <c r="D37" s="347">
        <v>0</v>
      </c>
      <c r="E37" s="379">
        <v>0</v>
      </c>
      <c r="F37" s="379">
        <v>0</v>
      </c>
      <c r="G37" s="379">
        <v>0</v>
      </c>
      <c r="H37" s="379">
        <v>0</v>
      </c>
      <c r="I37" s="379">
        <v>0</v>
      </c>
      <c r="J37" s="379">
        <v>0</v>
      </c>
      <c r="K37" s="383">
        <v>0</v>
      </c>
    </row>
    <row r="38" spans="2:12">
      <c r="B38" s="369" t="s">
        <v>360</v>
      </c>
      <c r="C38" s="152" t="s">
        <v>128</v>
      </c>
      <c r="D38" s="347">
        <v>0</v>
      </c>
      <c r="E38" s="379">
        <v>0</v>
      </c>
      <c r="F38" s="379">
        <v>0</v>
      </c>
      <c r="G38" s="379">
        <v>0</v>
      </c>
      <c r="H38" s="379">
        <v>0</v>
      </c>
      <c r="I38" s="379">
        <v>0</v>
      </c>
      <c r="J38" s="379">
        <v>0</v>
      </c>
      <c r="K38" s="383">
        <v>0</v>
      </c>
    </row>
    <row r="39" spans="2:12">
      <c r="B39" s="369" t="s">
        <v>361</v>
      </c>
      <c r="C39" s="152" t="s">
        <v>128</v>
      </c>
      <c r="D39" s="347">
        <v>0</v>
      </c>
      <c r="E39" s="379">
        <v>0</v>
      </c>
      <c r="F39" s="379">
        <v>0</v>
      </c>
      <c r="G39" s="379">
        <v>0</v>
      </c>
      <c r="H39" s="379">
        <v>0</v>
      </c>
      <c r="I39" s="379">
        <v>0</v>
      </c>
      <c r="J39" s="379">
        <v>0</v>
      </c>
      <c r="K39" s="383">
        <v>0</v>
      </c>
    </row>
    <row r="40" spans="2:12">
      <c r="B40" s="369" t="s">
        <v>362</v>
      </c>
      <c r="C40" s="152" t="s">
        <v>128</v>
      </c>
      <c r="D40" s="347">
        <v>0</v>
      </c>
      <c r="E40" s="379">
        <v>0</v>
      </c>
      <c r="F40" s="379">
        <v>0</v>
      </c>
      <c r="G40" s="379">
        <v>0</v>
      </c>
      <c r="H40" s="379">
        <v>0</v>
      </c>
      <c r="I40" s="379">
        <v>0</v>
      </c>
      <c r="J40" s="379">
        <v>0</v>
      </c>
      <c r="K40" s="383">
        <v>0</v>
      </c>
    </row>
    <row r="41" spans="2:12">
      <c r="B41" s="369" t="s">
        <v>363</v>
      </c>
      <c r="C41" s="152" t="s">
        <v>128</v>
      </c>
      <c r="D41" s="380">
        <v>0</v>
      </c>
      <c r="E41" s="381">
        <v>0</v>
      </c>
      <c r="F41" s="381">
        <v>0</v>
      </c>
      <c r="G41" s="381">
        <v>0</v>
      </c>
      <c r="H41" s="381">
        <v>0</v>
      </c>
      <c r="I41" s="381">
        <v>0</v>
      </c>
      <c r="J41" s="381">
        <v>0</v>
      </c>
      <c r="K41" s="384">
        <v>0</v>
      </c>
    </row>
    <row r="42" spans="2:12">
      <c r="B42" s="199" t="s">
        <v>234</v>
      </c>
      <c r="C42" s="152" t="s">
        <v>128</v>
      </c>
      <c r="D42" s="704">
        <v>817.83704058000012</v>
      </c>
      <c r="E42" s="704">
        <v>850.06388466999988</v>
      </c>
      <c r="F42" s="704">
        <v>946.47435428999984</v>
      </c>
      <c r="G42" s="704">
        <v>977.99709547999976</v>
      </c>
      <c r="H42" s="704">
        <v>1100.4372467200001</v>
      </c>
      <c r="I42" s="704">
        <v>1102.3258980000001</v>
      </c>
      <c r="J42" s="704">
        <v>1198.3488435099998</v>
      </c>
      <c r="K42" s="704">
        <v>1316.3168345111324</v>
      </c>
    </row>
    <row r="43" spans="2:12">
      <c r="B43" s="370" t="s">
        <v>306</v>
      </c>
      <c r="C43" s="152" t="s">
        <v>128</v>
      </c>
      <c r="D43" s="705"/>
      <c r="E43" s="706"/>
      <c r="F43" s="706"/>
      <c r="G43" s="707"/>
      <c r="H43" s="707"/>
      <c r="I43" s="707"/>
      <c r="J43" s="707"/>
      <c r="K43" s="708">
        <v>0</v>
      </c>
    </row>
    <row r="44" spans="2:12">
      <c r="B44" s="346" t="s">
        <v>435</v>
      </c>
      <c r="C44" s="152" t="s">
        <v>128</v>
      </c>
      <c r="D44" s="95">
        <v>817.83704058000012</v>
      </c>
      <c r="E44" s="96">
        <v>850.06388466999988</v>
      </c>
      <c r="F44" s="96">
        <v>946.47435428999984</v>
      </c>
      <c r="G44" s="96">
        <v>977.99709547999976</v>
      </c>
      <c r="H44" s="96">
        <v>1100.4372467200001</v>
      </c>
      <c r="I44" s="96">
        <v>1102.3258980000001</v>
      </c>
      <c r="J44" s="96">
        <v>1198.3488435099998</v>
      </c>
      <c r="K44" s="97">
        <v>1316.3168345111324</v>
      </c>
    </row>
    <row r="45" spans="2:12">
      <c r="D45" s="226" t="s">
        <v>667</v>
      </c>
      <c r="E45" s="227" t="s">
        <v>667</v>
      </c>
      <c r="F45" s="227" t="s">
        <v>667</v>
      </c>
      <c r="G45" s="227" t="s">
        <v>667</v>
      </c>
      <c r="H45" s="227" t="s">
        <v>667</v>
      </c>
      <c r="I45" s="227" t="s">
        <v>667</v>
      </c>
      <c r="J45" s="227" t="s">
        <v>667</v>
      </c>
      <c r="K45" s="228" t="s">
        <v>667</v>
      </c>
    </row>
    <row r="47" spans="2:12">
      <c r="B47" s="817" t="s">
        <v>436</v>
      </c>
      <c r="C47" s="152" t="s">
        <v>128</v>
      </c>
      <c r="D47" s="832">
        <v>661.10660825000014</v>
      </c>
      <c r="E47" s="96">
        <v>817.83704058000012</v>
      </c>
      <c r="F47" s="96">
        <v>850.06388466999988</v>
      </c>
      <c r="G47" s="96">
        <v>946.47435428999984</v>
      </c>
      <c r="H47" s="96">
        <v>977.99709547999976</v>
      </c>
      <c r="I47" s="96">
        <v>1100.4372467200001</v>
      </c>
      <c r="J47" s="96">
        <v>1102.3258980000001</v>
      </c>
      <c r="K47" s="97">
        <v>1198.3488435099998</v>
      </c>
      <c r="L47" s="816"/>
    </row>
    <row r="48" spans="2:12">
      <c r="B48" s="817" t="s">
        <v>437</v>
      </c>
      <c r="C48" s="152" t="s">
        <v>128</v>
      </c>
      <c r="D48" s="577">
        <v>817.83704058000012</v>
      </c>
      <c r="E48" s="578">
        <v>850.06388466999988</v>
      </c>
      <c r="F48" s="578">
        <v>946.47435428999984</v>
      </c>
      <c r="G48" s="578">
        <v>977.99709547999976</v>
      </c>
      <c r="H48" s="578">
        <v>1100.4372467200001</v>
      </c>
      <c r="I48" s="578">
        <v>1102.3258980000001</v>
      </c>
      <c r="J48" s="578">
        <v>1198.3488435099998</v>
      </c>
      <c r="K48" s="831">
        <v>1316.3168345111324</v>
      </c>
      <c r="L48" s="816"/>
    </row>
    <row r="49" spans="2:13">
      <c r="D49" s="23"/>
      <c r="E49" s="23"/>
      <c r="F49" s="23"/>
      <c r="G49" s="23"/>
      <c r="H49" s="23"/>
      <c r="I49" s="23"/>
      <c r="J49" s="23"/>
      <c r="K49" s="23"/>
    </row>
    <row r="50" spans="2:13">
      <c r="B50" s="14" t="s">
        <v>124</v>
      </c>
    </row>
    <row r="51" spans="2:13">
      <c r="B51" t="s">
        <v>125</v>
      </c>
      <c r="C51" s="480" t="s">
        <v>7</v>
      </c>
      <c r="D51" s="474">
        <v>0</v>
      </c>
      <c r="E51" s="475">
        <v>0</v>
      </c>
      <c r="F51" s="475">
        <v>0</v>
      </c>
      <c r="G51" s="475">
        <v>0</v>
      </c>
      <c r="H51" s="475">
        <v>0</v>
      </c>
      <c r="I51" s="475">
        <v>0</v>
      </c>
      <c r="J51" s="475">
        <v>0</v>
      </c>
      <c r="K51" s="476">
        <v>0</v>
      </c>
    </row>
    <row r="52" spans="2:13">
      <c r="B52" t="s">
        <v>126</v>
      </c>
      <c r="C52" s="480" t="s">
        <v>7</v>
      </c>
      <c r="D52" s="485">
        <v>1</v>
      </c>
      <c r="E52" s="486">
        <v>1</v>
      </c>
      <c r="F52" s="486">
        <v>1</v>
      </c>
      <c r="G52" s="486">
        <v>1</v>
      </c>
      <c r="H52" s="486">
        <v>1</v>
      </c>
      <c r="I52" s="486">
        <v>1</v>
      </c>
      <c r="J52" s="486">
        <v>1</v>
      </c>
      <c r="K52" s="487">
        <v>1</v>
      </c>
    </row>
    <row r="53" spans="2:13">
      <c r="C53" s="816"/>
      <c r="D53" s="816"/>
      <c r="E53" s="816"/>
      <c r="F53" s="816"/>
      <c r="G53" s="816"/>
      <c r="H53" s="816"/>
      <c r="I53" s="816"/>
      <c r="J53" s="816"/>
      <c r="K53" s="816"/>
      <c r="L53" s="816"/>
    </row>
    <row r="54" spans="2:13">
      <c r="B54" s="200" t="s">
        <v>459</v>
      </c>
      <c r="C54" s="266" t="s">
        <v>128</v>
      </c>
      <c r="D54" s="709">
        <v>739.47182441500013</v>
      </c>
      <c r="E54" s="710">
        <v>833.950462625</v>
      </c>
      <c r="F54" s="710">
        <v>898.26911947999986</v>
      </c>
      <c r="G54" s="710">
        <v>962.23572488499985</v>
      </c>
      <c r="H54" s="710">
        <v>1039.2171710999999</v>
      </c>
      <c r="I54" s="710">
        <v>1101.3815723600001</v>
      </c>
      <c r="J54" s="710">
        <v>1150.3373707549999</v>
      </c>
      <c r="K54" s="711">
        <v>1257.3328390105662</v>
      </c>
    </row>
    <row r="55" spans="2:13">
      <c r="B55" s="200" t="s">
        <v>272</v>
      </c>
      <c r="C55" s="152" t="s">
        <v>128</v>
      </c>
      <c r="D55" s="698">
        <v>571.23536446668641</v>
      </c>
      <c r="E55" s="699">
        <v>574.41943757160971</v>
      </c>
      <c r="F55" s="699">
        <v>617.58005675887932</v>
      </c>
      <c r="G55" s="699">
        <v>653.641816636557</v>
      </c>
      <c r="H55" s="699">
        <v>672.33335930507997</v>
      </c>
      <c r="I55" s="699">
        <v>702.94610682909433</v>
      </c>
      <c r="J55" s="699">
        <v>830.80060213220213</v>
      </c>
      <c r="K55" s="700">
        <v>993.04791847755587</v>
      </c>
    </row>
    <row r="56" spans="2:13">
      <c r="B56" s="200" t="s">
        <v>507</v>
      </c>
      <c r="C56" s="152" t="s">
        <v>128</v>
      </c>
      <c r="D56" s="870">
        <v>1310.7071888816865</v>
      </c>
      <c r="E56" s="870">
        <v>1408.3699001966097</v>
      </c>
      <c r="F56" s="870">
        <v>1515.8491762388792</v>
      </c>
      <c r="G56" s="870">
        <v>1615.8775415215569</v>
      </c>
      <c r="H56" s="870">
        <v>1711.5505304050798</v>
      </c>
      <c r="I56" s="870">
        <v>1804.3276791890944</v>
      </c>
      <c r="J56" s="870">
        <v>1981.1379728872021</v>
      </c>
      <c r="K56" s="870">
        <v>2250.3807574881221</v>
      </c>
    </row>
    <row r="57" spans="2:13">
      <c r="B57" s="200" t="s">
        <v>235</v>
      </c>
      <c r="C57" s="152" t="s">
        <v>7</v>
      </c>
      <c r="D57" s="231">
        <v>0.56417774365449824</v>
      </c>
      <c r="E57" s="232">
        <v>0.59213879997618502</v>
      </c>
      <c r="F57" s="232">
        <v>0.59258475946055711</v>
      </c>
      <c r="G57" s="232">
        <v>0.59548802440742565</v>
      </c>
      <c r="H57" s="232">
        <v>0.60717878475609133</v>
      </c>
      <c r="I57" s="232">
        <v>0.61041106062008965</v>
      </c>
      <c r="J57" s="232">
        <v>0.58064475392320158</v>
      </c>
      <c r="K57" s="233">
        <v>0.55872004540867237</v>
      </c>
    </row>
    <row r="58" spans="2:13">
      <c r="B58" s="200" t="s">
        <v>115</v>
      </c>
      <c r="C58" s="152" t="s">
        <v>7</v>
      </c>
      <c r="D58" s="871">
        <v>0.65</v>
      </c>
      <c r="E58" s="872">
        <v>0.65</v>
      </c>
      <c r="F58" s="872">
        <v>0.65</v>
      </c>
      <c r="G58" s="872">
        <v>0.65</v>
      </c>
      <c r="H58" s="872">
        <v>0.65</v>
      </c>
      <c r="I58" s="872">
        <v>0.65</v>
      </c>
      <c r="J58" s="872">
        <v>0.65</v>
      </c>
      <c r="K58" s="873">
        <v>0.65</v>
      </c>
    </row>
    <row r="59" spans="2:13">
      <c r="B59" s="200" t="s">
        <v>236</v>
      </c>
      <c r="C59" s="152" t="s">
        <v>7</v>
      </c>
      <c r="D59" s="236">
        <v>-8.582225634550178E-2</v>
      </c>
      <c r="E59" s="237">
        <v>-5.7861200023815007E-2</v>
      </c>
      <c r="F59" s="237">
        <v>-5.7415240539442913E-2</v>
      </c>
      <c r="G59" s="237">
        <v>-5.4511975592574369E-2</v>
      </c>
      <c r="H59" s="237">
        <v>-4.2821215243908695E-2</v>
      </c>
      <c r="I59" s="237">
        <v>-3.9588939379910371E-2</v>
      </c>
      <c r="J59" s="237">
        <v>-6.9355246076798438E-2</v>
      </c>
      <c r="K59" s="238">
        <v>-9.127995459132765E-2</v>
      </c>
    </row>
    <row r="61" spans="2:13">
      <c r="B61" s="200" t="s">
        <v>514</v>
      </c>
      <c r="C61" s="155" t="s">
        <v>159</v>
      </c>
      <c r="D61" s="874">
        <v>683.98561501793529</v>
      </c>
      <c r="E61" s="702">
        <v>753.59420837821892</v>
      </c>
      <c r="F61" s="702">
        <v>786.06679779088483</v>
      </c>
      <c r="G61" s="702">
        <v>818.00526366920406</v>
      </c>
      <c r="H61" s="702">
        <v>863.66506404733195</v>
      </c>
      <c r="I61" s="702">
        <v>897.63242276741914</v>
      </c>
      <c r="J61" s="702">
        <v>883.40168590725921</v>
      </c>
      <c r="K61" s="703">
        <v>885.73413856432069</v>
      </c>
      <c r="M61" s="322"/>
    </row>
    <row r="62" spans="2:13">
      <c r="B62" s="200" t="s">
        <v>512</v>
      </c>
      <c r="C62" s="155" t="s">
        <v>159</v>
      </c>
      <c r="D62" s="665">
        <v>528.37276443066503</v>
      </c>
      <c r="E62" s="666">
        <v>519.07059319959933</v>
      </c>
      <c r="F62" s="666">
        <v>540.43845777197964</v>
      </c>
      <c r="G62" s="666">
        <v>555.66680048894057</v>
      </c>
      <c r="H62" s="666">
        <v>558.75792853840744</v>
      </c>
      <c r="I62" s="666">
        <v>572.90518815914891</v>
      </c>
      <c r="J62" s="666">
        <v>638.01339610018363</v>
      </c>
      <c r="K62" s="667">
        <v>699.55736089576374</v>
      </c>
      <c r="M62" s="322"/>
    </row>
    <row r="63" spans="2:13">
      <c r="B63" s="200" t="s">
        <v>513</v>
      </c>
      <c r="C63" s="155" t="s">
        <v>159</v>
      </c>
      <c r="D63" s="869">
        <v>1212.3583794486003</v>
      </c>
      <c r="E63" s="869">
        <v>1272.6648015778183</v>
      </c>
      <c r="F63" s="869">
        <v>1326.5052555628645</v>
      </c>
      <c r="G63" s="869">
        <v>1373.6720641581446</v>
      </c>
      <c r="H63" s="869">
        <v>1422.4229925857394</v>
      </c>
      <c r="I63" s="869">
        <v>1470.537610926568</v>
      </c>
      <c r="J63" s="869">
        <v>1521.4150820074428</v>
      </c>
      <c r="K63" s="869">
        <v>1585.2914994600844</v>
      </c>
    </row>
    <row r="64" spans="2:13">
      <c r="B64" s="200" t="s">
        <v>235</v>
      </c>
      <c r="C64" s="152" t="s">
        <v>7</v>
      </c>
      <c r="D64" s="231">
        <v>0.56417774365449824</v>
      </c>
      <c r="E64" s="232">
        <v>0.59213879997618502</v>
      </c>
      <c r="F64" s="232">
        <v>0.59258475946055711</v>
      </c>
      <c r="G64" s="232">
        <v>0.59548802440742565</v>
      </c>
      <c r="H64" s="232">
        <v>0.60717878475609133</v>
      </c>
      <c r="I64" s="232">
        <v>0.61041106062008965</v>
      </c>
      <c r="J64" s="232">
        <v>0.58064475392320158</v>
      </c>
      <c r="K64" s="233">
        <v>0.55872004540867237</v>
      </c>
    </row>
    <row r="65" spans="2:11">
      <c r="B65" s="200" t="s">
        <v>115</v>
      </c>
      <c r="C65" s="152" t="s">
        <v>7</v>
      </c>
      <c r="D65" s="871">
        <v>0.65</v>
      </c>
      <c r="E65" s="872">
        <v>0.65</v>
      </c>
      <c r="F65" s="872">
        <v>0.65</v>
      </c>
      <c r="G65" s="872">
        <v>0.65</v>
      </c>
      <c r="H65" s="872">
        <v>0.65</v>
      </c>
      <c r="I65" s="872">
        <v>0.65</v>
      </c>
      <c r="J65" s="872">
        <v>0.65</v>
      </c>
      <c r="K65" s="873">
        <v>0.65</v>
      </c>
    </row>
    <row r="66" spans="2:11">
      <c r="B66" s="200" t="s">
        <v>236</v>
      </c>
      <c r="C66" s="152" t="s">
        <v>7</v>
      </c>
      <c r="D66" s="236">
        <v>-8.582225634550178E-2</v>
      </c>
      <c r="E66" s="237">
        <v>-5.7861200023815007E-2</v>
      </c>
      <c r="F66" s="237">
        <v>-5.7415240539442913E-2</v>
      </c>
      <c r="G66" s="237">
        <v>-5.4511975592574369E-2</v>
      </c>
      <c r="H66" s="237">
        <v>-4.2821215243908695E-2</v>
      </c>
      <c r="I66" s="237">
        <v>-3.9588939379910371E-2</v>
      </c>
      <c r="J66" s="237">
        <v>-6.9355246076798438E-2</v>
      </c>
      <c r="K66" s="238">
        <v>-9.127995459132765E-2</v>
      </c>
    </row>
  </sheetData>
  <conditionalFormatting sqref="D6:K6">
    <cfRule type="expression" dxfId="53" priority="18">
      <formula>AND(D$5="Actuals",E$5="Forecast")</formula>
    </cfRule>
  </conditionalFormatting>
  <conditionalFormatting sqref="D5:K5">
    <cfRule type="expression" dxfId="52"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O76"/>
  <sheetViews>
    <sheetView showGridLines="0" zoomScale="60" zoomScaleNormal="60" workbookViewId="0">
      <pane ySplit="6" topLeftCell="A7" activePane="bottomLeft" state="frozen"/>
      <selection activeCell="D85" sqref="D85:N85"/>
      <selection pane="bottomLeft" activeCell="B23" sqref="B23"/>
    </sheetView>
  </sheetViews>
  <sheetFormatPr defaultRowHeight="12.6"/>
  <cols>
    <col min="1" max="1" width="8.36328125" customWidth="1"/>
    <col min="2" max="2" width="100.08984375" customWidth="1"/>
    <col min="3" max="3" width="14.08984375" style="198" customWidth="1"/>
    <col min="4" max="11" width="11.08984375" customWidth="1"/>
    <col min="12" max="12" width="5" customWidth="1"/>
    <col min="14" max="14" width="9" style="213"/>
  </cols>
  <sheetData>
    <row r="1" spans="1:14" s="31" customFormat="1" ht="21">
      <c r="A1" s="905" t="s">
        <v>120</v>
      </c>
      <c r="B1" s="934"/>
      <c r="C1" s="397"/>
      <c r="D1" s="120"/>
      <c r="E1" s="120"/>
      <c r="F1" s="120"/>
      <c r="G1" s="120"/>
      <c r="H1" s="120"/>
      <c r="I1" s="126"/>
      <c r="J1" s="126"/>
      <c r="K1" s="127"/>
      <c r="L1" s="363"/>
      <c r="N1" s="212"/>
    </row>
    <row r="2" spans="1:14" s="31" customFormat="1" ht="21">
      <c r="A2" s="908" t="str">
        <f>'RFPR cover'!C5</f>
        <v>WPD-SWEST</v>
      </c>
      <c r="B2" s="900"/>
      <c r="C2" s="221"/>
      <c r="D2" s="29"/>
      <c r="E2" s="29"/>
      <c r="F2" s="29"/>
      <c r="G2" s="29"/>
      <c r="H2" s="29"/>
      <c r="I2" s="27"/>
      <c r="J2" s="27"/>
      <c r="K2" s="27"/>
      <c r="L2" s="123"/>
      <c r="N2" s="212"/>
    </row>
    <row r="3" spans="1:14" s="31" customFormat="1" ht="21">
      <c r="A3" s="911">
        <f>'RFPR cover'!C7</f>
        <v>2022</v>
      </c>
      <c r="B3" s="918"/>
      <c r="C3" s="398"/>
      <c r="D3" s="260"/>
      <c r="E3" s="260"/>
      <c r="F3" s="260"/>
      <c r="G3" s="260"/>
      <c r="H3" s="260"/>
      <c r="I3" s="255"/>
      <c r="J3" s="255"/>
      <c r="K3" s="255"/>
      <c r="L3" s="261"/>
      <c r="N3" s="212"/>
    </row>
    <row r="4" spans="1:14" s="2" customFormat="1" ht="12.75" customHeight="1">
      <c r="C4" s="1"/>
      <c r="N4" s="129"/>
    </row>
    <row r="5" spans="1:14" s="2" customFormat="1">
      <c r="B5" s="38"/>
      <c r="C5" s="222"/>
      <c r="D5" s="390" t="str">
        <f>IF(D6&lt;='RFPR cover'!$C$7-1,"Actuals","Forecast")</f>
        <v>Actuals</v>
      </c>
      <c r="E5" s="390" t="str">
        <f>IF(E6&lt;='RFPR cover'!$C$7-1,"Actuals","Forecast")</f>
        <v>Actuals</v>
      </c>
      <c r="F5" s="390" t="str">
        <f>IF(F6&lt;='RFPR cover'!$C$7-1,"Actuals","Forecast")</f>
        <v>Actuals</v>
      </c>
      <c r="G5" s="390" t="str">
        <f>IF(G6&lt;='RFPR cover'!$C$7-1,"Actuals","Forecast")</f>
        <v>Actuals</v>
      </c>
      <c r="H5" s="390" t="str">
        <f>IF(H6&lt;='RFPR cover'!$C$7-1,"Actuals","Forecast")</f>
        <v>Actuals</v>
      </c>
      <c r="I5" s="390" t="str">
        <f>IF(I6&lt;='RFPR cover'!$C$7-1,"Actuals","Forecast")</f>
        <v>Actuals</v>
      </c>
      <c r="J5" s="390" t="str">
        <f>IF(J6&lt;='RFPR cover'!$C$7-1,"Actuals","Forecast")</f>
        <v>Forecast</v>
      </c>
      <c r="K5" s="390" t="str">
        <f>IF(K6&lt;='RFPR cover'!$C$7-1,"Actuals","Forecast")</f>
        <v>Forecast</v>
      </c>
      <c r="N5" s="129"/>
    </row>
    <row r="6" spans="1:14" s="2" customFormat="1">
      <c r="C6" s="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N6" s="129"/>
    </row>
    <row r="7" spans="1:14" s="2" customFormat="1">
      <c r="A7" s="35"/>
      <c r="B7" s="35"/>
      <c r="C7" s="320"/>
      <c r="D7" s="429"/>
      <c r="E7" s="429"/>
      <c r="F7" s="429"/>
      <c r="G7" s="429"/>
      <c r="H7" s="429"/>
      <c r="I7" s="429"/>
      <c r="J7" s="429"/>
      <c r="K7" s="429"/>
      <c r="L7" s="35"/>
      <c r="M7" s="35"/>
      <c r="N7" s="225"/>
    </row>
    <row r="8" spans="1:14" s="2" customFormat="1">
      <c r="B8" s="12" t="s">
        <v>323</v>
      </c>
      <c r="N8" s="129"/>
    </row>
    <row r="9" spans="1:14" s="2" customFormat="1">
      <c r="B9" s="368" t="s">
        <v>322</v>
      </c>
      <c r="C9" s="368"/>
      <c r="D9" s="368"/>
      <c r="E9" s="368"/>
      <c r="F9" s="368"/>
      <c r="G9" s="368"/>
      <c r="H9" s="368"/>
      <c r="I9" s="368"/>
      <c r="J9" s="368"/>
      <c r="K9" s="368"/>
      <c r="L9" s="368"/>
      <c r="N9" s="129"/>
    </row>
    <row r="10" spans="1:14" s="35" customFormat="1">
      <c r="B10" s="428"/>
      <c r="C10" s="428"/>
      <c r="D10" s="428"/>
      <c r="E10" s="428"/>
      <c r="F10" s="428"/>
      <c r="G10" s="428"/>
      <c r="H10" s="428"/>
      <c r="I10" s="428"/>
      <c r="J10" s="428"/>
      <c r="K10" s="428"/>
      <c r="L10" s="428"/>
      <c r="M10" s="2"/>
      <c r="N10" s="225"/>
    </row>
    <row r="11" spans="1:14" s="2" customFormat="1">
      <c r="B11" s="200" t="s">
        <v>321</v>
      </c>
      <c r="C11" s="210" t="str">
        <f>'RFPR cover'!$C$14</f>
        <v>£m 12/13</v>
      </c>
      <c r="D11" s="712">
        <v>1265.4860531644608</v>
      </c>
      <c r="E11" s="713">
        <v>1328.3064256790747</v>
      </c>
      <c r="F11" s="713">
        <v>1378.3864978483234</v>
      </c>
      <c r="G11" s="713">
        <v>1424.937201049662</v>
      </c>
      <c r="H11" s="713">
        <v>1471.2088084303637</v>
      </c>
      <c r="I11" s="713">
        <v>1514.6924022645417</v>
      </c>
      <c r="J11" s="713">
        <v>1573.3232870649717</v>
      </c>
      <c r="K11" s="714">
        <v>1639.9507016491259</v>
      </c>
      <c r="N11" s="129"/>
    </row>
    <row r="12" spans="1:14" s="2" customFormat="1">
      <c r="N12" s="129"/>
    </row>
    <row r="13" spans="1:14" s="2" customFormat="1">
      <c r="B13" s="12" t="s">
        <v>324</v>
      </c>
      <c r="C13" s="1"/>
      <c r="D13" s="1"/>
      <c r="E13" s="1"/>
      <c r="F13" s="1"/>
      <c r="G13" s="1"/>
      <c r="H13" s="1"/>
      <c r="I13" s="1"/>
      <c r="J13" s="1"/>
      <c r="K13" s="1"/>
      <c r="N13" s="129"/>
    </row>
    <row r="14" spans="1:14" s="2" customFormat="1">
      <c r="B14" s="368" t="s">
        <v>346</v>
      </c>
      <c r="C14" s="321"/>
      <c r="D14" s="321"/>
      <c r="E14" s="321"/>
      <c r="F14" s="321"/>
      <c r="G14" s="321"/>
      <c r="H14" s="321"/>
      <c r="I14" s="321"/>
      <c r="J14" s="321"/>
      <c r="K14" s="321"/>
      <c r="L14" s="293"/>
      <c r="N14" s="129"/>
    </row>
    <row r="15" spans="1:14" s="35" customFormat="1">
      <c r="B15" s="428"/>
      <c r="C15" s="320"/>
      <c r="D15" s="320"/>
      <c r="E15" s="320"/>
      <c r="F15" s="320"/>
      <c r="G15" s="320"/>
      <c r="H15" s="320"/>
      <c r="I15" s="320"/>
      <c r="J15" s="320"/>
      <c r="K15" s="320"/>
      <c r="M15" s="2"/>
      <c r="N15" s="225"/>
    </row>
    <row r="16" spans="1:14" s="2" customFormat="1">
      <c r="B16" s="392" t="s">
        <v>325</v>
      </c>
      <c r="C16" s="210" t="str">
        <f>'RFPR cover'!$C$14</f>
        <v>£m 12/13</v>
      </c>
      <c r="D16" s="581">
        <v>1206.7009697943779</v>
      </c>
      <c r="E16" s="715">
        <f>D29</f>
        <v>1265.4879544831056</v>
      </c>
      <c r="F16" s="715">
        <f t="shared" ref="F16:K16" si="1">E29</f>
        <v>1328.3092519077597</v>
      </c>
      <c r="G16" s="715">
        <f t="shared" si="1"/>
        <v>1373.4900065949671</v>
      </c>
      <c r="H16" s="715">
        <f t="shared" si="1"/>
        <v>1421.6848529690499</v>
      </c>
      <c r="I16" s="715">
        <f t="shared" si="1"/>
        <v>1469.655806391482</v>
      </c>
      <c r="J16" s="715">
        <f t="shared" si="1"/>
        <v>1514.8042169265409</v>
      </c>
      <c r="K16" s="584">
        <f t="shared" si="1"/>
        <v>1569.8021764817402</v>
      </c>
      <c r="N16" s="129"/>
    </row>
    <row r="17" spans="2:14" s="2" customFormat="1">
      <c r="B17" s="392" t="s">
        <v>326</v>
      </c>
      <c r="C17" s="210" t="str">
        <f>'RFPR cover'!$C$14</f>
        <v>£m 12/13</v>
      </c>
      <c r="D17" s="589"/>
      <c r="E17" s="590"/>
      <c r="F17" s="590"/>
      <c r="G17" s="590"/>
      <c r="H17" s="590"/>
      <c r="I17" s="590"/>
      <c r="J17" s="590"/>
      <c r="K17" s="683"/>
      <c r="N17" s="129"/>
    </row>
    <row r="18" spans="2:14" s="2" customFormat="1">
      <c r="B18" s="12" t="s">
        <v>327</v>
      </c>
      <c r="C18" s="210" t="str">
        <f>'RFPR cover'!$C$14</f>
        <v>£m 12/13</v>
      </c>
      <c r="D18" s="716">
        <f>SUM(D16:D17)</f>
        <v>1206.7009697943779</v>
      </c>
      <c r="E18" s="717">
        <f t="shared" ref="E18:K18" si="2">SUM(E16:E17)</f>
        <v>1265.4879544831056</v>
      </c>
      <c r="F18" s="717">
        <f t="shared" si="2"/>
        <v>1328.3092519077597</v>
      </c>
      <c r="G18" s="717">
        <f t="shared" si="2"/>
        <v>1373.4900065949671</v>
      </c>
      <c r="H18" s="717">
        <f t="shared" si="2"/>
        <v>1421.6848529690499</v>
      </c>
      <c r="I18" s="717">
        <f t="shared" si="2"/>
        <v>1469.655806391482</v>
      </c>
      <c r="J18" s="717">
        <f t="shared" si="2"/>
        <v>1514.8042169265409</v>
      </c>
      <c r="K18" s="718">
        <f t="shared" si="2"/>
        <v>1569.8021764817402</v>
      </c>
      <c r="N18" s="129"/>
    </row>
    <row r="19" spans="2:14" s="2" customFormat="1">
      <c r="B19" s="394" t="s">
        <v>328</v>
      </c>
      <c r="C19" s="210" t="str">
        <f>'RFPR cover'!$C$14</f>
        <v>£m 12/13</v>
      </c>
      <c r="D19" s="585">
        <v>170.72458453111471</v>
      </c>
      <c r="E19" s="586">
        <v>178.42080669785994</v>
      </c>
      <c r="F19" s="586">
        <v>168.24083460824204</v>
      </c>
      <c r="G19" s="586">
        <v>166.04019712371516</v>
      </c>
      <c r="H19" s="586">
        <v>166.70702696457636</v>
      </c>
      <c r="I19" s="586">
        <v>164.57341597367599</v>
      </c>
      <c r="J19" s="586">
        <v>162.48210771720588</v>
      </c>
      <c r="K19" s="682">
        <v>180.37948017735755</v>
      </c>
      <c r="M19" s="323"/>
      <c r="N19" s="129"/>
    </row>
    <row r="20" spans="2:14" s="2" customFormat="1">
      <c r="B20" s="394" t="s">
        <v>335</v>
      </c>
      <c r="C20" s="210" t="str">
        <f>'RFPR cover'!$C$14</f>
        <v>£m 12/13</v>
      </c>
      <c r="D20" s="589">
        <v>0</v>
      </c>
      <c r="E20" s="590">
        <v>0</v>
      </c>
      <c r="F20" s="590">
        <v>-4.9004952334883338</v>
      </c>
      <c r="G20" s="590">
        <v>1.8097263313609468</v>
      </c>
      <c r="H20" s="590">
        <v>1.8097263313609468</v>
      </c>
      <c r="I20" s="590">
        <v>1.7247999999999999</v>
      </c>
      <c r="J20" s="590">
        <v>1.751589654791305</v>
      </c>
      <c r="K20" s="683">
        <v>-0.46878509914117239</v>
      </c>
      <c r="M20" s="323"/>
      <c r="N20" s="129"/>
    </row>
    <row r="21" spans="2:14" s="2" customFormat="1">
      <c r="B21" s="393" t="s">
        <v>331</v>
      </c>
      <c r="C21" s="210" t="str">
        <f>'RFPR cover'!$C$14</f>
        <v>£m 12/13</v>
      </c>
      <c r="D21" s="716">
        <f t="shared" ref="D21:J21" si="3">SUM(D19:D20)</f>
        <v>170.72458453111471</v>
      </c>
      <c r="E21" s="717">
        <f t="shared" si="3"/>
        <v>178.42080669785994</v>
      </c>
      <c r="F21" s="717">
        <f t="shared" si="3"/>
        <v>163.34033937475371</v>
      </c>
      <c r="G21" s="717">
        <f t="shared" si="3"/>
        <v>167.84992345507609</v>
      </c>
      <c r="H21" s="717">
        <f t="shared" si="3"/>
        <v>168.51675329593729</v>
      </c>
      <c r="I21" s="717">
        <f t="shared" si="3"/>
        <v>166.29821597367598</v>
      </c>
      <c r="J21" s="717">
        <f t="shared" si="3"/>
        <v>164.23369737199718</v>
      </c>
      <c r="K21" s="718">
        <f t="shared" ref="K21" si="4">SUM(K19:K20)</f>
        <v>179.91069507821638</v>
      </c>
      <c r="M21" s="323"/>
      <c r="N21" s="129"/>
    </row>
    <row r="22" spans="2:14" s="2" customFormat="1">
      <c r="B22" s="394" t="s">
        <v>329</v>
      </c>
      <c r="C22" s="210" t="str">
        <f>'RFPR cover'!$C$14</f>
        <v>£m 12/13</v>
      </c>
      <c r="D22" s="585">
        <v>-111.93759984238713</v>
      </c>
      <c r="E22" s="586">
        <v>-115.59950927320578</v>
      </c>
      <c r="F22" s="586">
        <v>-118.15958468754648</v>
      </c>
      <c r="G22" s="586">
        <v>-119.48825171134274</v>
      </c>
      <c r="H22" s="586">
        <v>-120.43465839097354</v>
      </c>
      <c r="I22" s="586">
        <v>-121.08946329170239</v>
      </c>
      <c r="J22" s="586">
        <v>-109.21990663762514</v>
      </c>
      <c r="K22" s="586">
        <v>-109.04257714153451</v>
      </c>
      <c r="M22" s="323"/>
      <c r="N22" s="129"/>
    </row>
    <row r="23" spans="2:14" s="2" customFormat="1">
      <c r="B23" s="394" t="s">
        <v>330</v>
      </c>
      <c r="C23" s="210" t="str">
        <f>'RFPR cover'!$C$14</f>
        <v>£m 12/13</v>
      </c>
      <c r="D23" s="589">
        <v>0</v>
      </c>
      <c r="E23" s="590">
        <v>0</v>
      </c>
      <c r="F23" s="590">
        <v>0</v>
      </c>
      <c r="G23" s="590">
        <v>-0.16682536965066669</v>
      </c>
      <c r="H23" s="590">
        <v>-0.11114148253186833</v>
      </c>
      <c r="I23" s="590">
        <v>-6.0342146914718939E-2</v>
      </c>
      <c r="J23" s="590">
        <v>-1.5831179172783455E-2</v>
      </c>
      <c r="K23" s="683">
        <v>2.5997827508799951E-2</v>
      </c>
      <c r="M23" s="323"/>
      <c r="N23" s="129"/>
    </row>
    <row r="24" spans="2:14" s="2" customFormat="1">
      <c r="B24" s="393" t="s">
        <v>332</v>
      </c>
      <c r="C24" s="210" t="str">
        <f>'RFPR cover'!$C$14</f>
        <v>£m 12/13</v>
      </c>
      <c r="D24" s="716">
        <f t="shared" ref="D24:K24" si="5">SUM(D22:D23)</f>
        <v>-111.93759984238713</v>
      </c>
      <c r="E24" s="717">
        <f t="shared" si="5"/>
        <v>-115.59950927320578</v>
      </c>
      <c r="F24" s="717">
        <f t="shared" si="5"/>
        <v>-118.15958468754648</v>
      </c>
      <c r="G24" s="717">
        <f t="shared" si="5"/>
        <v>-119.65507708099341</v>
      </c>
      <c r="H24" s="717">
        <f t="shared" si="5"/>
        <v>-120.5457998735054</v>
      </c>
      <c r="I24" s="717">
        <f t="shared" si="5"/>
        <v>-121.14980543861711</v>
      </c>
      <c r="J24" s="717">
        <f t="shared" si="5"/>
        <v>-109.23573781679792</v>
      </c>
      <c r="K24" s="718">
        <f t="shared" si="5"/>
        <v>-109.01657931402571</v>
      </c>
      <c r="N24" s="129"/>
    </row>
    <row r="25" spans="2:14" s="2" customFormat="1">
      <c r="B25" s="395" t="s">
        <v>268</v>
      </c>
      <c r="C25" s="210" t="str">
        <f>'RFPR cover'!$C$14</f>
        <v>£m 12/13</v>
      </c>
      <c r="D25" s="719"/>
      <c r="E25" s="720"/>
      <c r="F25" s="720"/>
      <c r="G25" s="720"/>
      <c r="H25" s="720"/>
      <c r="I25" s="720"/>
      <c r="J25" s="720"/>
      <c r="K25" s="721"/>
      <c r="N25" s="129"/>
    </row>
    <row r="26" spans="2:14" s="2" customFormat="1">
      <c r="B26" s="395" t="s">
        <v>268</v>
      </c>
      <c r="C26" s="210" t="str">
        <f>'RFPR cover'!$C$14</f>
        <v>£m 12/13</v>
      </c>
      <c r="D26" s="719"/>
      <c r="E26" s="720"/>
      <c r="F26" s="720"/>
      <c r="G26" s="720"/>
      <c r="H26" s="720"/>
      <c r="I26" s="720"/>
      <c r="J26" s="720"/>
      <c r="K26" s="721"/>
      <c r="N26" s="129"/>
    </row>
    <row r="27" spans="2:14" s="2" customFormat="1">
      <c r="B27" s="395" t="s">
        <v>268</v>
      </c>
      <c r="C27" s="210" t="str">
        <f>'RFPR cover'!$C$14</f>
        <v>£m 12/13</v>
      </c>
      <c r="D27" s="719"/>
      <c r="E27" s="720"/>
      <c r="F27" s="720"/>
      <c r="G27" s="720"/>
      <c r="H27" s="720"/>
      <c r="I27" s="720"/>
      <c r="J27" s="720"/>
      <c r="K27" s="721"/>
      <c r="N27" s="129"/>
    </row>
    <row r="28" spans="2:14" s="2" customFormat="1">
      <c r="B28" s="393" t="s">
        <v>333</v>
      </c>
      <c r="C28" s="210" t="str">
        <f>'RFPR cover'!$C$14</f>
        <v>£m 12/13</v>
      </c>
      <c r="D28" s="722">
        <f>SUM(D25:D27)</f>
        <v>0</v>
      </c>
      <c r="E28" s="723">
        <f t="shared" ref="E28:K28" si="6">SUM(E25:E27)</f>
        <v>0</v>
      </c>
      <c r="F28" s="723">
        <f t="shared" si="6"/>
        <v>0</v>
      </c>
      <c r="G28" s="723">
        <f t="shared" si="6"/>
        <v>0</v>
      </c>
      <c r="H28" s="723">
        <f t="shared" si="6"/>
        <v>0</v>
      </c>
      <c r="I28" s="723">
        <f t="shared" si="6"/>
        <v>0</v>
      </c>
      <c r="J28" s="723">
        <f t="shared" si="6"/>
        <v>0</v>
      </c>
      <c r="K28" s="724">
        <f t="shared" si="6"/>
        <v>0</v>
      </c>
      <c r="N28" s="129"/>
    </row>
    <row r="29" spans="2:14" s="2" customFormat="1">
      <c r="B29" s="12" t="s">
        <v>334</v>
      </c>
      <c r="C29" s="210" t="str">
        <f>'RFPR cover'!$C$14</f>
        <v>£m 12/13</v>
      </c>
      <c r="D29" s="725">
        <f>D18+D21+D24+D28</f>
        <v>1265.4879544831056</v>
      </c>
      <c r="E29" s="726">
        <f t="shared" ref="E29:K29" si="7">E18+E21+E24+E28</f>
        <v>1328.3092519077597</v>
      </c>
      <c r="F29" s="726">
        <f t="shared" si="7"/>
        <v>1373.4900065949671</v>
      </c>
      <c r="G29" s="726">
        <f t="shared" si="7"/>
        <v>1421.6848529690499</v>
      </c>
      <c r="H29" s="726">
        <f t="shared" si="7"/>
        <v>1469.655806391482</v>
      </c>
      <c r="I29" s="726">
        <f t="shared" si="7"/>
        <v>1514.8042169265409</v>
      </c>
      <c r="J29" s="726">
        <f t="shared" si="7"/>
        <v>1569.8021764817402</v>
      </c>
      <c r="K29" s="727">
        <f t="shared" si="7"/>
        <v>1640.6962922459309</v>
      </c>
      <c r="N29" s="129"/>
    </row>
    <row r="30" spans="2:14" s="2" customFormat="1">
      <c r="B30" s="12"/>
      <c r="C30" s="210"/>
      <c r="D30" s="210"/>
      <c r="E30" s="210"/>
      <c r="F30" s="210"/>
      <c r="G30" s="210"/>
      <c r="H30" s="210"/>
      <c r="I30" s="210"/>
      <c r="J30" s="210"/>
      <c r="K30" s="210"/>
      <c r="L30" s="210"/>
      <c r="N30" s="129"/>
    </row>
    <row r="31" spans="2:14" s="2" customFormat="1">
      <c r="B31" s="12" t="s">
        <v>510</v>
      </c>
      <c r="C31" s="210" t="str">
        <f>'RFPR cover'!$C$14</f>
        <v>£m 12/13</v>
      </c>
      <c r="D31" s="725">
        <f t="shared" ref="D31:K31" si="8">(D20+D23+D28)</f>
        <v>0</v>
      </c>
      <c r="E31" s="725">
        <f t="shared" si="8"/>
        <v>0</v>
      </c>
      <c r="F31" s="725">
        <f t="shared" si="8"/>
        <v>-4.9004952334883338</v>
      </c>
      <c r="G31" s="725">
        <f t="shared" si="8"/>
        <v>1.6429009617102801</v>
      </c>
      <c r="H31" s="725">
        <f t="shared" si="8"/>
        <v>1.6985848488290785</v>
      </c>
      <c r="I31" s="725">
        <f t="shared" si="8"/>
        <v>1.6644578530852809</v>
      </c>
      <c r="J31" s="725">
        <f t="shared" si="8"/>
        <v>1.7357584756185216</v>
      </c>
      <c r="K31" s="725">
        <f t="shared" si="8"/>
        <v>-0.44278727163237241</v>
      </c>
      <c r="L31" s="210"/>
      <c r="N31" s="129"/>
    </row>
    <row r="32" spans="2:14" s="2" customFormat="1">
      <c r="B32" s="12" t="s">
        <v>511</v>
      </c>
      <c r="C32" s="210"/>
      <c r="D32" s="514" t="str">
        <f>IF(D5="Actuals",IF(ABS((D29-SUM($D$31:D31))-D11)&lt;'RFPR cover'!$F$14,"TRUE","FALSE"),"NA")</f>
        <v>TRUE</v>
      </c>
      <c r="E32" s="514" t="str">
        <f>IF(E5="Actuals",IF(ABS((E29-SUM($D$31:E31))-E11)&lt;'RFPR cover'!$F$14,"TRUE","FALSE"),"NA")</f>
        <v>TRUE</v>
      </c>
      <c r="F32" s="514" t="str">
        <f>IF(F5="Actuals",IF(ABS((F29-SUM($D$31:F31))-F11)&lt;'RFPR cover'!$F$14,"TRUE","FALSE"),"NA")</f>
        <v>TRUE</v>
      </c>
      <c r="G32" s="514" t="str">
        <f>IF(G5="Actuals",IF(ABS((G29-SUM($D$31:G31))-G11)&lt;'RFPR cover'!$F$14,"TRUE","FALSE"),"NA")</f>
        <v>TRUE</v>
      </c>
      <c r="H32" s="514" t="str">
        <f>IF(H5="Actuals",IF(ABS((H29-SUM($D$31:H31))-H11)&lt;'RFPR cover'!$F$14,"TRUE","FALSE"),"NA")</f>
        <v>TRUE</v>
      </c>
      <c r="I32" s="514" t="str">
        <f>IF(I5="Actuals",IF(ABS((I29-SUM($D$31:I31))-I11)&lt;'RFPR cover'!$F$14,"TRUE","FALSE"),"NA")</f>
        <v>TRUE</v>
      </c>
      <c r="J32" s="514" t="str">
        <f>IF(J5="Actuals",IF(ABS((J29-SUM($D$31:J31))-J11)&lt;'RFPR cover'!$F$14,"TRUE","FALSE"),"NA")</f>
        <v>NA</v>
      </c>
      <c r="K32" s="514" t="str">
        <f>IF(K5="Actuals",IF(ABS((K29-SUM($D$31:K31))-K11)&lt;'RFPR cover'!$F$14,"TRUE","FALSE"),"NA")</f>
        <v>NA</v>
      </c>
      <c r="L32" s="210"/>
      <c r="N32" s="129"/>
    </row>
    <row r="33" spans="2:14" s="35" customFormat="1">
      <c r="B33" s="51"/>
      <c r="C33" s="477"/>
      <c r="D33" s="478"/>
      <c r="E33" s="478"/>
      <c r="F33" s="478"/>
      <c r="G33" s="478"/>
      <c r="H33" s="478"/>
      <c r="I33" s="478"/>
      <c r="J33" s="478"/>
      <c r="K33" s="478"/>
      <c r="N33" s="225"/>
    </row>
    <row r="34" spans="2:14" s="35" customFormat="1">
      <c r="B34" s="51" t="s">
        <v>42</v>
      </c>
      <c r="C34" s="267" t="s">
        <v>127</v>
      </c>
      <c r="D34" s="112">
        <f>Data!C$35</f>
        <v>1.0677429242873198</v>
      </c>
      <c r="E34" s="112">
        <f>Data!D$35</f>
        <v>1.1033002963114336</v>
      </c>
      <c r="F34" s="112">
        <f>Data!E$35</f>
        <v>1.1402881373250229</v>
      </c>
      <c r="G34" s="112">
        <f>Data!F$35</f>
        <v>1.171554102380709</v>
      </c>
      <c r="H34" s="112">
        <f>Data!G$35</f>
        <v>1.1958720752017984</v>
      </c>
      <c r="I34" s="112">
        <f>Data!H$35</f>
        <v>1.2220292224379279</v>
      </c>
      <c r="J34" s="112">
        <f>Data!I$35</f>
        <v>1.3448452028200675</v>
      </c>
      <c r="K34" s="112">
        <f>Data!J$35</f>
        <v>1.4564673546541329</v>
      </c>
      <c r="N34" s="225"/>
    </row>
    <row r="35" spans="2:14" s="31" customFormat="1">
      <c r="B35" s="37" t="s">
        <v>374</v>
      </c>
      <c r="C35" s="267" t="s">
        <v>127</v>
      </c>
      <c r="D35" s="112">
        <f>Data!C$34</f>
        <v>1.0603167467048125</v>
      </c>
      <c r="E35" s="113">
        <f>Data!D$34</f>
        <v>1.0830366813119445</v>
      </c>
      <c r="F35" s="113">
        <f>Data!E$34</f>
        <v>1.1235639113109226</v>
      </c>
      <c r="G35" s="113">
        <f>Data!F$34</f>
        <v>1.1578951670583426</v>
      </c>
      <c r="H35" s="113">
        <f>Data!G$34</f>
        <v>1.1878696229692449</v>
      </c>
      <c r="I35" s="113">
        <f>Data!H$34</f>
        <v>1.2022764892203943</v>
      </c>
      <c r="J35" s="113">
        <f>Data!I$34</f>
        <v>1.2717196280780627</v>
      </c>
      <c r="K35" s="114">
        <f>Data!J$34</f>
        <v>1.3772723572085417</v>
      </c>
      <c r="L35" s="234"/>
      <c r="N35" s="212"/>
    </row>
    <row r="36" spans="2:14" s="31" customFormat="1">
      <c r="B36" s="171" t="s">
        <v>508</v>
      </c>
      <c r="C36" s="267" t="s">
        <v>127</v>
      </c>
      <c r="D36" s="865">
        <f>INDEX(Data!$F$14:$F$30,MATCH($D$6-1,Data!$C$14:$C$30,0),0)/IF('RFPR cover'!$C$6="ED1",Data!$E$17,Data!$E$14)</f>
        <v>1.0526208235414325</v>
      </c>
      <c r="E36" s="866"/>
      <c r="F36" s="866"/>
      <c r="G36" s="866"/>
      <c r="H36" s="866"/>
      <c r="I36" s="866"/>
      <c r="J36" s="866"/>
      <c r="K36" s="866"/>
      <c r="L36" s="234"/>
      <c r="N36" s="212"/>
    </row>
    <row r="37" spans="2:14" s="35" customFormat="1">
      <c r="B37" s="51"/>
      <c r="C37" s="477"/>
      <c r="D37" s="478"/>
      <c r="E37" s="478"/>
      <c r="F37" s="478"/>
      <c r="G37" s="478"/>
      <c r="H37" s="478"/>
      <c r="I37" s="478"/>
      <c r="J37" s="478"/>
      <c r="K37" s="478"/>
      <c r="N37" s="225"/>
    </row>
    <row r="38" spans="2:14" s="2" customFormat="1">
      <c r="B38" s="12" t="s">
        <v>334</v>
      </c>
      <c r="C38" s="266" t="s">
        <v>128</v>
      </c>
      <c r="D38" s="725">
        <f t="shared" ref="D38:K38" si="9">D29*D34</f>
        <v>1351.2158091701697</v>
      </c>
      <c r="E38" s="725">
        <f t="shared" si="9"/>
        <v>1465.52399122305</v>
      </c>
      <c r="F38" s="725">
        <f t="shared" si="9"/>
        <v>1566.1743612547084</v>
      </c>
      <c r="G38" s="725">
        <f t="shared" si="9"/>
        <v>1665.5807217884055</v>
      </c>
      <c r="H38" s="725">
        <f t="shared" si="9"/>
        <v>1757.5203390217539</v>
      </c>
      <c r="I38" s="725">
        <f t="shared" si="9"/>
        <v>1851.1350193564351</v>
      </c>
      <c r="J38" s="725">
        <f t="shared" si="9"/>
        <v>2111.1409264179692</v>
      </c>
      <c r="K38" s="725">
        <f t="shared" si="9"/>
        <v>2389.6205885582749</v>
      </c>
      <c r="N38" s="129"/>
    </row>
    <row r="39" spans="2:14" s="2" customFormat="1">
      <c r="B39" s="12"/>
      <c r="C39" s="210"/>
      <c r="D39" s="210"/>
      <c r="E39" s="210"/>
      <c r="F39" s="210"/>
      <c r="G39" s="210"/>
      <c r="H39" s="210"/>
      <c r="I39" s="210"/>
      <c r="J39" s="210"/>
      <c r="K39" s="210"/>
      <c r="N39" s="129"/>
    </row>
    <row r="40" spans="2:14" s="2" customFormat="1">
      <c r="B40" s="505" t="s">
        <v>337</v>
      </c>
      <c r="C40" s="210" t="s">
        <v>340</v>
      </c>
      <c r="D40" s="408">
        <f>INDEX(Data!$K$73:$T$100,MATCH('RFPR cover'!$C$5,Data!$B$73:$B$100,0),MATCH('R9 - RAV'!D$6,Data!$K$72:$T$72,0))</f>
        <v>2.5499999999999998E-2</v>
      </c>
      <c r="E40" s="409">
        <f>INDEX(Data!$K$73:$T$100,MATCH('RFPR cover'!$C$5,Data!$B$73:$B$100,0),MATCH('R9 - RAV'!E$6,Data!$K$72:$T$72,0))</f>
        <v>2.3799999999999998E-2</v>
      </c>
      <c r="F40" s="409">
        <f>INDEX(Data!$K$73:$T$100,MATCH('RFPR cover'!$C$5,Data!$B$73:$B$100,0),MATCH('R9 - RAV'!F$6,Data!$K$72:$T$72,0))</f>
        <v>2.2200000000000001E-2</v>
      </c>
      <c r="G40" s="409">
        <f>INDEX(Data!$K$73:$T$100,MATCH('RFPR cover'!$C$5,Data!$B$73:$B$100,0),MATCH('R9 - RAV'!G$6,Data!$K$72:$T$72,0))</f>
        <v>1.9099999999999999E-2</v>
      </c>
      <c r="H40" s="409">
        <f>INDEX(Data!$K$73:$T$100,MATCH('RFPR cover'!$C$5,Data!$B$73:$B$100,0),MATCH('R9 - RAV'!H$6,Data!$K$72:$T$72,0))</f>
        <v>1.5800000000000002E-2</v>
      </c>
      <c r="I40" s="409">
        <f>INDEX(Data!$K$73:$T$100,MATCH('RFPR cover'!$C$5,Data!$B$73:$B$100,0),MATCH('R9 - RAV'!I$6,Data!$K$72:$T$72,0))</f>
        <v>1.09E-2</v>
      </c>
      <c r="J40" s="409">
        <f>INDEX(Data!$K$73:$T$100,MATCH('RFPR cover'!$C$5,Data!$B$73:$B$100,0),MATCH('R9 - RAV'!J$6,Data!$K$72:$T$72,0))</f>
        <v>7.6E-3</v>
      </c>
      <c r="K40" s="410">
        <f>INDEX(Data!$K$73:$T$100,MATCH('RFPR cover'!$C$5,Data!$B$73:$B$100,0),MATCH('R9 - RAV'!K$6,Data!$K$72:$T$72,0))</f>
        <v>3.8999999999999998E-3</v>
      </c>
      <c r="N40" s="129"/>
    </row>
    <row r="41" spans="2:14" s="2" customFormat="1">
      <c r="B41" s="505" t="s">
        <v>338</v>
      </c>
      <c r="C41" s="210" t="s">
        <v>340</v>
      </c>
      <c r="D41" s="411">
        <f>'RFPR cover'!$C$10</f>
        <v>6.4000000000000001E-2</v>
      </c>
      <c r="E41" s="412">
        <f>'RFPR cover'!$C$10</f>
        <v>6.4000000000000001E-2</v>
      </c>
      <c r="F41" s="412">
        <f>'RFPR cover'!$C$10</f>
        <v>6.4000000000000001E-2</v>
      </c>
      <c r="G41" s="412">
        <f>'RFPR cover'!$C$10</f>
        <v>6.4000000000000001E-2</v>
      </c>
      <c r="H41" s="412">
        <f>'RFPR cover'!$C$10</f>
        <v>6.4000000000000001E-2</v>
      </c>
      <c r="I41" s="412">
        <f>'RFPR cover'!$C$10</f>
        <v>6.4000000000000001E-2</v>
      </c>
      <c r="J41" s="412">
        <f>'RFPR cover'!$C$10</f>
        <v>6.4000000000000001E-2</v>
      </c>
      <c r="K41" s="413">
        <f>'RFPR cover'!$C$10</f>
        <v>6.4000000000000001E-2</v>
      </c>
      <c r="N41" s="129"/>
    </row>
    <row r="42" spans="2:14" s="2" customFormat="1">
      <c r="B42" s="505" t="s">
        <v>339</v>
      </c>
      <c r="C42" s="210" t="s">
        <v>7</v>
      </c>
      <c r="D42" s="414">
        <f>'RFPR cover'!$C$12</f>
        <v>0.65</v>
      </c>
      <c r="E42" s="415">
        <f>'RFPR cover'!$C$12</f>
        <v>0.65</v>
      </c>
      <c r="F42" s="415">
        <f>'RFPR cover'!$C$12</f>
        <v>0.65</v>
      </c>
      <c r="G42" s="415">
        <f>'RFPR cover'!$C$12</f>
        <v>0.65</v>
      </c>
      <c r="H42" s="415">
        <f>'RFPR cover'!$C$12</f>
        <v>0.65</v>
      </c>
      <c r="I42" s="415">
        <f>'RFPR cover'!$C$12</f>
        <v>0.65</v>
      </c>
      <c r="J42" s="415">
        <f>'RFPR cover'!$C$12</f>
        <v>0.65</v>
      </c>
      <c r="K42" s="416">
        <f>'RFPR cover'!$C$12</f>
        <v>0.65</v>
      </c>
      <c r="N42" s="129"/>
    </row>
    <row r="43" spans="2:14">
      <c r="B43" s="200" t="s">
        <v>273</v>
      </c>
      <c r="C43" s="396" t="s">
        <v>340</v>
      </c>
      <c r="D43" s="405">
        <f t="shared" ref="D43:K43" si="10">D40*D42+D41*(1-D42)</f>
        <v>3.8974999999999996E-2</v>
      </c>
      <c r="E43" s="406">
        <f t="shared" si="10"/>
        <v>3.7870000000000001E-2</v>
      </c>
      <c r="F43" s="406">
        <f t="shared" si="10"/>
        <v>3.6830000000000002E-2</v>
      </c>
      <c r="G43" s="406">
        <f t="shared" si="10"/>
        <v>3.4814999999999999E-2</v>
      </c>
      <c r="H43" s="406">
        <f t="shared" si="10"/>
        <v>3.2670000000000005E-2</v>
      </c>
      <c r="I43" s="406">
        <f t="shared" si="10"/>
        <v>2.9485000000000001E-2</v>
      </c>
      <c r="J43" s="406">
        <f t="shared" si="10"/>
        <v>2.734E-2</v>
      </c>
      <c r="K43" s="407">
        <f t="shared" si="10"/>
        <v>2.4934999999999999E-2</v>
      </c>
      <c r="L43" s="211"/>
    </row>
    <row r="44" spans="2:14">
      <c r="C44" s="223"/>
      <c r="D44" s="218"/>
      <c r="E44" s="218"/>
      <c r="F44" s="218"/>
      <c r="G44" s="218"/>
      <c r="H44" s="218"/>
      <c r="I44" s="218"/>
      <c r="J44" s="218"/>
      <c r="K44" s="218"/>
    </row>
    <row r="45" spans="2:14">
      <c r="B45" s="371" t="s">
        <v>341</v>
      </c>
      <c r="C45" s="396" t="str">
        <f>'RFPR cover'!$C$14</f>
        <v>£m 12/13</v>
      </c>
      <c r="D45" s="95">
        <f t="shared" ref="D45:K45" si="11">D47*D42</f>
        <v>788.03294664159023</v>
      </c>
      <c r="E45" s="96">
        <f t="shared" si="11"/>
        <v>827.23212102558193</v>
      </c>
      <c r="F45" s="96">
        <f t="shared" si="11"/>
        <v>862.22841611586193</v>
      </c>
      <c r="G45" s="96">
        <f t="shared" si="11"/>
        <v>892.88684170279407</v>
      </c>
      <c r="H45" s="96">
        <f t="shared" si="11"/>
        <v>924.57494518073065</v>
      </c>
      <c r="I45" s="96">
        <f t="shared" si="11"/>
        <v>955.84944710226921</v>
      </c>
      <c r="J45" s="96">
        <f t="shared" si="11"/>
        <v>988.91980330483784</v>
      </c>
      <c r="K45" s="97">
        <f t="shared" si="11"/>
        <v>1030.439474649055</v>
      </c>
    </row>
    <row r="46" spans="2:14">
      <c r="B46" s="371" t="s">
        <v>232</v>
      </c>
      <c r="C46" s="396" t="str">
        <f>'RFPR cover'!$C$14</f>
        <v>£m 12/13</v>
      </c>
      <c r="D46" s="520">
        <f t="shared" ref="D46:K46" si="12">D47*(1-D42)</f>
        <v>424.32543280701009</v>
      </c>
      <c r="E46" s="521">
        <f t="shared" si="12"/>
        <v>445.43268055223638</v>
      </c>
      <c r="F46" s="521">
        <f t="shared" si="12"/>
        <v>464.27683944700254</v>
      </c>
      <c r="G46" s="521">
        <f t="shared" si="12"/>
        <v>480.78522245535061</v>
      </c>
      <c r="H46" s="521">
        <f t="shared" si="12"/>
        <v>497.84804740500874</v>
      </c>
      <c r="I46" s="521">
        <f t="shared" si="12"/>
        <v>514.68816382429884</v>
      </c>
      <c r="J46" s="521">
        <f t="shared" si="12"/>
        <v>532.49527870260499</v>
      </c>
      <c r="K46" s="522">
        <f t="shared" si="12"/>
        <v>554.85202481102954</v>
      </c>
    </row>
    <row r="47" spans="2:14">
      <c r="B47" s="200" t="s">
        <v>231</v>
      </c>
      <c r="C47" s="210" t="str">
        <f>'RFPR cover'!$C$14</f>
        <v>£m 12/13</v>
      </c>
      <c r="D47" s="102">
        <f t="shared" ref="D47:K47" si="13">AVERAGE(D16,D29*(1/(1+D43)))</f>
        <v>1212.3583794486003</v>
      </c>
      <c r="E47" s="103">
        <f t="shared" si="13"/>
        <v>1272.6648015778183</v>
      </c>
      <c r="F47" s="103">
        <f t="shared" si="13"/>
        <v>1326.5052555628645</v>
      </c>
      <c r="G47" s="103">
        <f t="shared" si="13"/>
        <v>1373.6720641581446</v>
      </c>
      <c r="H47" s="103">
        <f t="shared" si="13"/>
        <v>1422.4229925857394</v>
      </c>
      <c r="I47" s="103">
        <f t="shared" si="13"/>
        <v>1470.537610926568</v>
      </c>
      <c r="J47" s="103">
        <f t="shared" si="13"/>
        <v>1521.4150820074428</v>
      </c>
      <c r="K47" s="104">
        <f t="shared" si="13"/>
        <v>1585.2914994600844</v>
      </c>
      <c r="N47" s="214"/>
    </row>
    <row r="48" spans="2:14">
      <c r="B48" s="200"/>
      <c r="C48" s="210"/>
      <c r="D48" s="210"/>
      <c r="E48" s="210"/>
      <c r="F48" s="210"/>
      <c r="G48" s="210"/>
      <c r="H48" s="210"/>
      <c r="I48" s="210"/>
      <c r="J48" s="210"/>
      <c r="K48" s="210"/>
      <c r="N48" s="214"/>
    </row>
    <row r="49" spans="2:15">
      <c r="B49" s="371" t="s">
        <v>342</v>
      </c>
      <c r="C49" s="396" t="str">
        <f>'RFPR cover'!$C$14</f>
        <v>£m 12/13</v>
      </c>
      <c r="D49" s="728">
        <f>D40*D45</f>
        <v>20.094840139360549</v>
      </c>
      <c r="E49" s="729">
        <f t="shared" ref="D49:K50" si="14">E40*E45</f>
        <v>19.688124480408849</v>
      </c>
      <c r="F49" s="729">
        <f t="shared" si="14"/>
        <v>19.141470837772136</v>
      </c>
      <c r="G49" s="729">
        <f t="shared" si="14"/>
        <v>17.054138676523365</v>
      </c>
      <c r="H49" s="729">
        <f t="shared" si="14"/>
        <v>14.608284133855546</v>
      </c>
      <c r="I49" s="729">
        <f t="shared" si="14"/>
        <v>10.418758973414734</v>
      </c>
      <c r="J49" s="729">
        <f t="shared" si="14"/>
        <v>7.5157905051167679</v>
      </c>
      <c r="K49" s="730">
        <f t="shared" si="14"/>
        <v>4.0187139511313141</v>
      </c>
    </row>
    <row r="50" spans="2:15">
      <c r="B50" s="371" t="s">
        <v>229</v>
      </c>
      <c r="C50" s="396" t="str">
        <f>'RFPR cover'!$C$14</f>
        <v>£m 12/13</v>
      </c>
      <c r="D50" s="92">
        <f t="shared" si="14"/>
        <v>27.156827699648645</v>
      </c>
      <c r="E50" s="93">
        <f t="shared" si="14"/>
        <v>28.507691555343129</v>
      </c>
      <c r="F50" s="93">
        <f t="shared" si="14"/>
        <v>29.713717724608163</v>
      </c>
      <c r="G50" s="93">
        <f t="shared" si="14"/>
        <v>30.770254237142439</v>
      </c>
      <c r="H50" s="93">
        <f t="shared" si="14"/>
        <v>31.862275033920561</v>
      </c>
      <c r="I50" s="93">
        <f t="shared" si="14"/>
        <v>32.940042484755125</v>
      </c>
      <c r="J50" s="93">
        <f t="shared" si="14"/>
        <v>34.079697836966723</v>
      </c>
      <c r="K50" s="94">
        <f t="shared" si="14"/>
        <v>35.510529587905893</v>
      </c>
      <c r="N50" s="214"/>
    </row>
    <row r="51" spans="2:15">
      <c r="B51" s="200" t="s">
        <v>344</v>
      </c>
      <c r="C51" s="396" t="str">
        <f>'RFPR cover'!$C$14</f>
        <v>£m 12/13</v>
      </c>
      <c r="D51" s="102">
        <f>SUM(D49:D50)</f>
        <v>47.251667839009194</v>
      </c>
      <c r="E51" s="103">
        <f t="shared" ref="E51:K51" si="15">SUM(E49:E50)</f>
        <v>48.195816035751974</v>
      </c>
      <c r="F51" s="103">
        <f t="shared" si="15"/>
        <v>48.855188562380299</v>
      </c>
      <c r="G51" s="103">
        <f t="shared" si="15"/>
        <v>47.824392913665804</v>
      </c>
      <c r="H51" s="103">
        <f t="shared" si="15"/>
        <v>46.470559167776109</v>
      </c>
      <c r="I51" s="103">
        <f t="shared" si="15"/>
        <v>43.358801458169857</v>
      </c>
      <c r="J51" s="103">
        <f t="shared" si="15"/>
        <v>41.595488342083492</v>
      </c>
      <c r="K51" s="104">
        <f t="shared" si="15"/>
        <v>39.529243539037211</v>
      </c>
      <c r="N51" s="214"/>
    </row>
    <row r="53" spans="2:15" s="31" customFormat="1">
      <c r="B53" s="371" t="s">
        <v>341</v>
      </c>
      <c r="C53" s="266" t="s">
        <v>128</v>
      </c>
      <c r="D53" s="95">
        <f t="shared" ref="D53:K54" si="16">D$35*D45</f>
        <v>835.56453027921805</v>
      </c>
      <c r="E53" s="96">
        <f t="shared" si="16"/>
        <v>895.92273103018715</v>
      </c>
      <c r="F53" s="96">
        <f t="shared" si="16"/>
        <v>968.76873165455959</v>
      </c>
      <c r="G53" s="96">
        <f t="shared" si="16"/>
        <v>1033.8693587376526</v>
      </c>
      <c r="H53" s="96">
        <f t="shared" si="16"/>
        <v>1098.2744915386447</v>
      </c>
      <c r="I53" s="96">
        <f t="shared" si="16"/>
        <v>1149.1953174853713</v>
      </c>
      <c r="J53" s="96">
        <f t="shared" si="16"/>
        <v>1257.6287244578593</v>
      </c>
      <c r="K53" s="97">
        <f t="shared" si="16"/>
        <v>1419.1958042106353</v>
      </c>
      <c r="L53" s="234"/>
      <c r="N53" s="212"/>
    </row>
    <row r="54" spans="2:15" s="31" customFormat="1">
      <c r="B54" s="371" t="s">
        <v>232</v>
      </c>
      <c r="C54" s="266" t="s">
        <v>128</v>
      </c>
      <c r="D54" s="520">
        <f t="shared" si="16"/>
        <v>449.91936245804044</v>
      </c>
      <c r="E54" s="521">
        <f t="shared" si="16"/>
        <v>482.41993209317764</v>
      </c>
      <c r="F54" s="521">
        <f t="shared" si="16"/>
        <v>521.64470166014746</v>
      </c>
      <c r="G54" s="521">
        <f t="shared" si="16"/>
        <v>556.69888547412063</v>
      </c>
      <c r="H54" s="521">
        <f t="shared" si="16"/>
        <v>591.37857236696254</v>
      </c>
      <c r="I54" s="521">
        <f t="shared" si="16"/>
        <v>618.79747864596914</v>
      </c>
      <c r="J54" s="521">
        <f t="shared" si="16"/>
        <v>677.18469778500116</v>
      </c>
      <c r="K54" s="522">
        <f t="shared" si="16"/>
        <v>764.1823561134189</v>
      </c>
      <c r="L54" s="234"/>
      <c r="N54" s="212"/>
    </row>
    <row r="55" spans="2:15">
      <c r="B55" s="200" t="s">
        <v>343</v>
      </c>
      <c r="C55" s="266" t="s">
        <v>128</v>
      </c>
      <c r="D55" s="731">
        <f>SUM(D53:D54)</f>
        <v>1285.4838927372584</v>
      </c>
      <c r="E55" s="732">
        <f t="shared" ref="E55:K55" si="17">SUM(E53:E54)</f>
        <v>1378.3426631233647</v>
      </c>
      <c r="F55" s="732">
        <f t="shared" si="17"/>
        <v>1490.4134333147072</v>
      </c>
      <c r="G55" s="732">
        <f t="shared" si="17"/>
        <v>1590.5682442117732</v>
      </c>
      <c r="H55" s="732">
        <f t="shared" si="17"/>
        <v>1689.6530639056073</v>
      </c>
      <c r="I55" s="732">
        <f t="shared" si="17"/>
        <v>1767.9927961313406</v>
      </c>
      <c r="J55" s="732">
        <f t="shared" si="17"/>
        <v>1934.8134222428605</v>
      </c>
      <c r="K55" s="733">
        <f t="shared" si="17"/>
        <v>2183.3781603240541</v>
      </c>
    </row>
    <row r="56" spans="2:15" s="31" customFormat="1">
      <c r="B56" s="200"/>
      <c r="C56" s="210"/>
      <c r="D56" s="210"/>
      <c r="E56" s="210"/>
      <c r="F56" s="210"/>
      <c r="G56" s="210"/>
      <c r="H56" s="210"/>
      <c r="I56" s="210"/>
      <c r="J56" s="210"/>
      <c r="K56" s="210"/>
      <c r="L56" s="234"/>
      <c r="N56" s="212"/>
    </row>
    <row r="57" spans="2:15" s="31" customFormat="1">
      <c r="B57" s="371" t="s">
        <v>342</v>
      </c>
      <c r="C57" s="266" t="s">
        <v>128</v>
      </c>
      <c r="D57" s="95">
        <f t="shared" ref="D57:K58" si="18">D$35*D49</f>
        <v>21.306895522120058</v>
      </c>
      <c r="E57" s="96">
        <f t="shared" si="18"/>
        <v>21.32296099851845</v>
      </c>
      <c r="F57" s="96">
        <f t="shared" si="18"/>
        <v>21.506665842731223</v>
      </c>
      <c r="G57" s="96">
        <f t="shared" si="18"/>
        <v>19.746904751889165</v>
      </c>
      <c r="H57" s="96">
        <f t="shared" si="18"/>
        <v>17.352736966310591</v>
      </c>
      <c r="I57" s="96">
        <f t="shared" si="18"/>
        <v>12.526228960590545</v>
      </c>
      <c r="J57" s="96">
        <f t="shared" si="18"/>
        <v>9.5579783058797307</v>
      </c>
      <c r="K57" s="97">
        <f t="shared" si="18"/>
        <v>5.5348636364214769</v>
      </c>
      <c r="L57" s="234"/>
      <c r="N57" s="212"/>
    </row>
    <row r="58" spans="2:15">
      <c r="B58" s="371" t="s">
        <v>238</v>
      </c>
      <c r="C58" s="266" t="s">
        <v>128</v>
      </c>
      <c r="D58" s="734">
        <f t="shared" si="18"/>
        <v>28.794839197314587</v>
      </c>
      <c r="E58" s="735">
        <f t="shared" si="18"/>
        <v>30.874875653963368</v>
      </c>
      <c r="F58" s="735">
        <f t="shared" si="18"/>
        <v>33.385260906249435</v>
      </c>
      <c r="G58" s="735">
        <f t="shared" si="18"/>
        <v>35.628728670343719</v>
      </c>
      <c r="H58" s="735">
        <f t="shared" si="18"/>
        <v>37.848228631485604</v>
      </c>
      <c r="I58" s="735">
        <f t="shared" si="18"/>
        <v>39.603038633342024</v>
      </c>
      <c r="J58" s="735">
        <f t="shared" si="18"/>
        <v>43.339820658240079</v>
      </c>
      <c r="K58" s="736">
        <f t="shared" si="18"/>
        <v>48.907670791258816</v>
      </c>
    </row>
    <row r="59" spans="2:15">
      <c r="B59" s="200" t="s">
        <v>344</v>
      </c>
      <c r="C59" s="266" t="s">
        <v>128</v>
      </c>
      <c r="D59" s="102">
        <f t="shared" ref="D59:K59" si="19">SUM(D57:D58)</f>
        <v>50.101734719434646</v>
      </c>
      <c r="E59" s="103">
        <f t="shared" si="19"/>
        <v>52.197836652481818</v>
      </c>
      <c r="F59" s="103">
        <f t="shared" si="19"/>
        <v>54.891926748980659</v>
      </c>
      <c r="G59" s="103">
        <f t="shared" si="19"/>
        <v>55.37563342223288</v>
      </c>
      <c r="H59" s="103">
        <f t="shared" si="19"/>
        <v>55.200965597796198</v>
      </c>
      <c r="I59" s="103">
        <f t="shared" si="19"/>
        <v>52.129267593932568</v>
      </c>
      <c r="J59" s="103">
        <f t="shared" si="19"/>
        <v>52.897798964119808</v>
      </c>
      <c r="K59" s="104">
        <f t="shared" si="19"/>
        <v>54.442534427680293</v>
      </c>
    </row>
    <row r="60" spans="2:15">
      <c r="B60" s="14"/>
      <c r="C60" s="235"/>
      <c r="D60" s="235"/>
      <c r="E60" s="235"/>
      <c r="F60" s="235"/>
      <c r="G60" s="235"/>
      <c r="H60" s="235"/>
      <c r="I60" s="235"/>
      <c r="J60" s="235"/>
      <c r="K60" s="235"/>
    </row>
    <row r="61" spans="2:15">
      <c r="B61" s="14"/>
      <c r="C61" s="235"/>
      <c r="D61" s="235"/>
      <c r="E61" s="235"/>
      <c r="F61" s="235"/>
      <c r="G61" s="235"/>
      <c r="H61" s="235"/>
      <c r="I61" s="235"/>
      <c r="J61" s="235"/>
      <c r="K61" s="235"/>
    </row>
    <row r="62" spans="2:15" hidden="1">
      <c r="B62" s="14"/>
      <c r="C62" s="235"/>
      <c r="D62" s="235"/>
      <c r="E62" s="235"/>
      <c r="F62" s="235"/>
      <c r="G62" s="235"/>
      <c r="H62" s="235"/>
      <c r="I62" s="955"/>
      <c r="J62" s="956">
        <f>-SUM('R4 - Totex'!D23:I23)*0.7*0.8</f>
        <v>-0.44375742923355938</v>
      </c>
      <c r="K62" s="957" t="s">
        <v>638</v>
      </c>
      <c r="L62" s="950"/>
      <c r="M62" s="950"/>
      <c r="N62" s="958"/>
      <c r="O62" s="959"/>
    </row>
    <row r="63" spans="2:15" hidden="1">
      <c r="B63" s="14"/>
      <c r="C63" s="235"/>
      <c r="D63" s="235"/>
      <c r="E63" s="235"/>
      <c r="F63" s="235"/>
      <c r="G63" s="235"/>
      <c r="H63" s="235"/>
      <c r="I63" s="960"/>
      <c r="J63" s="961"/>
      <c r="K63" s="42"/>
      <c r="L63" s="42"/>
      <c r="M63" s="42"/>
      <c r="N63" s="305"/>
      <c r="O63" s="962"/>
    </row>
    <row r="64" spans="2:15" hidden="1">
      <c r="I64" s="963"/>
      <c r="J64" s="964">
        <f>+J18+J62</f>
        <v>1514.3604594973074</v>
      </c>
      <c r="K64" s="965" t="s">
        <v>639</v>
      </c>
      <c r="L64" s="42"/>
      <c r="M64" s="42"/>
      <c r="N64" s="305"/>
      <c r="O64" s="962"/>
    </row>
    <row r="65" spans="9:15" hidden="1">
      <c r="I65" s="963"/>
      <c r="J65" s="961">
        <f>+J19</f>
        <v>162.48210771720588</v>
      </c>
      <c r="K65" s="42" t="s">
        <v>328</v>
      </c>
      <c r="L65" s="42"/>
      <c r="M65" s="42"/>
      <c r="N65" s="305"/>
      <c r="O65" s="962"/>
    </row>
    <row r="66" spans="9:15" hidden="1">
      <c r="I66" s="963"/>
      <c r="J66" s="961">
        <v>0.46741101632174004</v>
      </c>
      <c r="K66" s="42" t="s">
        <v>335</v>
      </c>
      <c r="L66" s="42"/>
      <c r="M66" s="42"/>
      <c r="N66" s="305"/>
      <c r="O66" s="962"/>
    </row>
    <row r="67" spans="9:15" hidden="1">
      <c r="I67" s="963"/>
      <c r="J67" s="964">
        <f>SUM(J65:J66)</f>
        <v>162.94951873352761</v>
      </c>
      <c r="K67" s="965" t="s">
        <v>640</v>
      </c>
      <c r="L67" s="42"/>
      <c r="M67" s="42"/>
      <c r="N67" s="305"/>
      <c r="O67" s="962"/>
    </row>
    <row r="68" spans="9:15" hidden="1">
      <c r="I68" s="963"/>
      <c r="J68" s="961">
        <f>+J22</f>
        <v>-109.21990663762514</v>
      </c>
      <c r="K68" s="42" t="s">
        <v>329</v>
      </c>
      <c r="L68" s="42"/>
      <c r="M68" s="42"/>
      <c r="N68" s="305"/>
      <c r="O68" s="962"/>
    </row>
    <row r="69" spans="9:15" hidden="1">
      <c r="I69" s="963"/>
      <c r="J69" s="961">
        <v>0</v>
      </c>
      <c r="K69" s="42" t="s">
        <v>330</v>
      </c>
      <c r="L69" s="42"/>
      <c r="M69" s="42"/>
      <c r="N69" s="305"/>
      <c r="O69" s="962"/>
    </row>
    <row r="70" spans="9:15" hidden="1">
      <c r="I70" s="963"/>
      <c r="J70" s="964">
        <f>SUM(J68:J69)</f>
        <v>-109.21990663762514</v>
      </c>
      <c r="K70" s="965" t="s">
        <v>332</v>
      </c>
      <c r="L70" s="42"/>
      <c r="M70" s="42"/>
      <c r="N70" s="305"/>
      <c r="O70" s="962"/>
    </row>
    <row r="71" spans="9:15" hidden="1">
      <c r="I71" s="963"/>
      <c r="J71" s="964">
        <f>+J64+J67+J70</f>
        <v>1568.0900715932098</v>
      </c>
      <c r="K71" s="965" t="s">
        <v>334</v>
      </c>
      <c r="L71" s="42"/>
      <c r="M71" s="42"/>
      <c r="N71" s="305"/>
      <c r="O71" s="962"/>
    </row>
    <row r="72" spans="9:15" hidden="1">
      <c r="I72" s="963"/>
      <c r="J72" s="42"/>
      <c r="K72" s="42"/>
      <c r="L72" s="42"/>
      <c r="M72" s="42"/>
      <c r="N72" s="305"/>
      <c r="O72" s="962"/>
    </row>
    <row r="73" spans="9:15" hidden="1">
      <c r="I73" s="963"/>
      <c r="J73" s="96">
        <f>J75*J42</f>
        <v>988.23395610730779</v>
      </c>
      <c r="K73" s="42" t="s">
        <v>341</v>
      </c>
      <c r="L73" s="42"/>
      <c r="M73" s="42"/>
      <c r="N73" s="305"/>
      <c r="O73" s="962"/>
    </row>
    <row r="74" spans="9:15" hidden="1">
      <c r="I74" s="963"/>
      <c r="J74" s="521">
        <f>J75*(1-J42)</f>
        <v>532.12597636547332</v>
      </c>
      <c r="K74" s="42" t="s">
        <v>232</v>
      </c>
      <c r="L74" s="42"/>
      <c r="M74" s="42"/>
      <c r="N74" s="305"/>
      <c r="O74" s="962"/>
    </row>
    <row r="75" spans="9:15" hidden="1">
      <c r="I75" s="963"/>
      <c r="J75" s="103">
        <f>AVERAGE(J64,J71*(1/(1+J43)))</f>
        <v>1520.3599324727811</v>
      </c>
      <c r="K75" s="42" t="s">
        <v>231</v>
      </c>
      <c r="L75" s="42"/>
      <c r="M75" s="42"/>
      <c r="N75" s="305"/>
      <c r="O75" s="962"/>
    </row>
    <row r="76" spans="9:15" ht="13.2" hidden="1" thickBot="1">
      <c r="I76" s="966"/>
      <c r="J76" s="951"/>
      <c r="K76" s="951"/>
      <c r="L76" s="951"/>
      <c r="M76" s="951"/>
      <c r="N76" s="967"/>
      <c r="O76" s="968"/>
    </row>
  </sheetData>
  <conditionalFormatting sqref="D6:K6">
    <cfRule type="expression" dxfId="49" priority="13">
      <formula>AND(D$5="Actuals",E$5="Forecast")</formula>
    </cfRule>
  </conditionalFormatting>
  <conditionalFormatting sqref="D5:K5">
    <cfRule type="expression" dxfId="48"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90"/>
  <sheetViews>
    <sheetView showGridLines="0" zoomScale="60" zoomScaleNormal="60" workbookViewId="0">
      <pane ySplit="6" topLeftCell="A7" activePane="bottomLeft" state="frozen"/>
      <selection activeCell="D85" sqref="D85:N85"/>
      <selection pane="bottomLeft" activeCell="B25" sqref="B25"/>
    </sheetView>
  </sheetViews>
  <sheetFormatPr defaultRowHeight="12.6"/>
  <cols>
    <col min="1" max="1" width="8.36328125" customWidth="1"/>
    <col min="2" max="2" width="95.453125" customWidth="1"/>
    <col min="3" max="3" width="14.08984375" customWidth="1"/>
    <col min="4" max="11" width="11.08984375" customWidth="1"/>
    <col min="12" max="12" width="5" customWidth="1"/>
  </cols>
  <sheetData>
    <row r="1" spans="1:13" s="31" customFormat="1" ht="21">
      <c r="A1" s="919" t="s">
        <v>261</v>
      </c>
      <c r="B1" s="915"/>
      <c r="C1" s="256"/>
      <c r="D1" s="256"/>
      <c r="E1" s="256"/>
      <c r="F1" s="256"/>
      <c r="G1" s="256"/>
      <c r="H1" s="256"/>
      <c r="I1" s="257"/>
      <c r="J1" s="257"/>
      <c r="K1" s="258"/>
      <c r="L1" s="259"/>
    </row>
    <row r="2" spans="1:13" s="31" customFormat="1" ht="21">
      <c r="A2" s="908" t="str">
        <f>'RFPR cover'!C5</f>
        <v>WPD-SWEST</v>
      </c>
      <c r="B2" s="900"/>
      <c r="C2" s="29"/>
      <c r="D2" s="29"/>
      <c r="E2" s="29"/>
      <c r="F2" s="29"/>
      <c r="G2" s="29"/>
      <c r="H2" s="29"/>
      <c r="I2" s="27"/>
      <c r="J2" s="27"/>
      <c r="K2" s="27"/>
      <c r="L2" s="123"/>
    </row>
    <row r="3" spans="1:13" s="31" customFormat="1" ht="21">
      <c r="A3" s="911">
        <f>'RFPR cover'!C7</f>
        <v>2022</v>
      </c>
      <c r="B3" s="918"/>
      <c r="C3" s="260"/>
      <c r="D3" s="260"/>
      <c r="E3" s="260"/>
      <c r="F3" s="260"/>
      <c r="G3" s="260"/>
      <c r="H3" s="260"/>
      <c r="I3" s="255"/>
      <c r="J3" s="255"/>
      <c r="K3" s="255"/>
      <c r="L3" s="261"/>
    </row>
    <row r="4" spans="1:13" s="31" customFormat="1" ht="12.75" customHeight="1">
      <c r="A4" s="262"/>
      <c r="B4" s="263"/>
      <c r="C4" s="262"/>
      <c r="D4" s="262"/>
      <c r="E4" s="262"/>
      <c r="F4" s="262"/>
      <c r="G4" s="262"/>
      <c r="H4" s="262"/>
      <c r="I4" s="264"/>
      <c r="J4" s="264"/>
      <c r="K4" s="264"/>
      <c r="L4" s="265"/>
      <c r="M4" s="263"/>
    </row>
    <row r="5" spans="1:13" s="2" customFormat="1">
      <c r="B5" s="3"/>
      <c r="C5" s="3"/>
      <c r="D5" s="389" t="str">
        <f>IF(D6&lt;=('RFPR cover'!$C$7-1),"Actuals","Forecast")</f>
        <v>Actuals</v>
      </c>
      <c r="E5" s="389" t="str">
        <f>IF(E6&lt;=('RFPR cover'!$C$7-1),"Actuals","Forecast")</f>
        <v>Actuals</v>
      </c>
      <c r="F5" s="389" t="str">
        <f>IF(F6&lt;=('RFPR cover'!$C$7-1),"Actuals","Forecast")</f>
        <v>Actuals</v>
      </c>
      <c r="G5" s="389" t="str">
        <f>IF(G6&lt;=('RFPR cover'!$C$7-1),"Actuals","Forecast")</f>
        <v>Actuals</v>
      </c>
      <c r="H5" s="389" t="str">
        <f>IF(H6&lt;=('RFPR cover'!$C$7-1),"Actuals","Forecast")</f>
        <v>Actuals</v>
      </c>
      <c r="I5" s="389" t="str">
        <f>IF(I6&lt;=('RFPR cover'!$C$7-1),"Actuals","Forecast")</f>
        <v>Actuals</v>
      </c>
      <c r="J5" s="389" t="str">
        <f>IF(J6&lt;=('RFPR cover'!$C$7-1),"Actuals","Forecast")</f>
        <v>Forecast</v>
      </c>
      <c r="K5" s="389" t="str">
        <f>IF(K6&lt;=('RFPR cover'!$C$7-1),"Actuals","Forecast")</f>
        <v>Forecast</v>
      </c>
    </row>
    <row r="6" spans="1:13"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3" s="35" customFormat="1">
      <c r="D7" s="429"/>
      <c r="E7" s="429"/>
      <c r="F7" s="429"/>
      <c r="G7" s="429"/>
      <c r="H7" s="429"/>
      <c r="I7" s="429"/>
      <c r="J7" s="429"/>
      <c r="K7" s="429"/>
    </row>
    <row r="8" spans="1:13" s="2" customFormat="1">
      <c r="B8" s="368" t="s">
        <v>364</v>
      </c>
      <c r="C8" s="293"/>
      <c r="D8" s="293"/>
      <c r="E8" s="293"/>
      <c r="F8" s="293"/>
      <c r="G8" s="293"/>
      <c r="H8" s="293"/>
      <c r="I8" s="293"/>
      <c r="J8" s="293"/>
      <c r="K8" s="293"/>
      <c r="L8" s="293"/>
    </row>
    <row r="9" spans="1:13" s="2" customFormat="1">
      <c r="B9" s="368" t="s">
        <v>469</v>
      </c>
      <c r="C9" s="293"/>
      <c r="D9" s="293"/>
      <c r="E9" s="293"/>
      <c r="F9" s="293"/>
      <c r="G9" s="293"/>
      <c r="H9" s="293"/>
      <c r="I9" s="293"/>
      <c r="J9" s="293"/>
      <c r="K9" s="293"/>
      <c r="L9" s="293"/>
    </row>
    <row r="10" spans="1:13" s="2" customFormat="1">
      <c r="B10" s="368" t="s">
        <v>365</v>
      </c>
      <c r="C10" s="293"/>
      <c r="D10" s="293"/>
      <c r="E10" s="293"/>
      <c r="F10" s="293"/>
      <c r="G10" s="293"/>
      <c r="H10" s="293"/>
      <c r="I10" s="293"/>
      <c r="J10" s="293"/>
      <c r="K10" s="293"/>
      <c r="L10" s="293"/>
    </row>
    <row r="11" spans="1:13" s="35" customFormat="1">
      <c r="B11" s="428"/>
    </row>
    <row r="12" spans="1:13">
      <c r="B12" s="199" t="s">
        <v>532</v>
      </c>
      <c r="C12" s="266" t="s">
        <v>128</v>
      </c>
      <c r="D12" s="637">
        <v>14.369399999999992</v>
      </c>
      <c r="E12" s="637">
        <v>11.399199999999992</v>
      </c>
      <c r="F12" s="637">
        <v>30.141790000000004</v>
      </c>
      <c r="G12" s="637">
        <v>18.085720000000002</v>
      </c>
      <c r="H12" s="637">
        <v>18.701129999999996</v>
      </c>
      <c r="I12" s="637">
        <v>15.51844</v>
      </c>
      <c r="J12" s="638"/>
      <c r="K12" s="639"/>
    </row>
    <row r="13" spans="1:13">
      <c r="B13" s="14"/>
      <c r="C13" s="14"/>
      <c r="D13" s="737"/>
      <c r="E13" s="737"/>
      <c r="F13" s="737"/>
      <c r="G13" s="737"/>
      <c r="H13" s="737"/>
      <c r="I13" s="737"/>
      <c r="J13" s="737"/>
      <c r="K13" s="737"/>
    </row>
    <row r="14" spans="1:13">
      <c r="B14" s="14" t="s">
        <v>468</v>
      </c>
      <c r="C14" s="266"/>
      <c r="D14" s="737"/>
      <c r="E14" s="737"/>
      <c r="F14" s="737"/>
      <c r="G14" s="737"/>
      <c r="H14" s="737"/>
      <c r="I14" s="737"/>
      <c r="J14" s="737"/>
      <c r="K14" s="737"/>
    </row>
    <row r="15" spans="1:13">
      <c r="B15" s="369" t="s">
        <v>490</v>
      </c>
      <c r="C15" s="266" t="s">
        <v>128</v>
      </c>
      <c r="D15" s="593"/>
      <c r="E15" s="594"/>
      <c r="F15" s="594"/>
      <c r="G15" s="594"/>
      <c r="H15" s="594"/>
      <c r="I15" s="594"/>
      <c r="J15" s="594"/>
      <c r="K15" s="604"/>
    </row>
    <row r="16" spans="1:13">
      <c r="B16" s="430" t="s">
        <v>631</v>
      </c>
      <c r="C16" s="266" t="s">
        <v>128</v>
      </c>
      <c r="D16" s="637">
        <v>1.0901086346622078</v>
      </c>
      <c r="E16" s="637">
        <v>1.0385060359552349</v>
      </c>
      <c r="F16" s="637">
        <v>0.84656829932026456</v>
      </c>
      <c r="G16" s="637">
        <v>0.84940058794815265</v>
      </c>
      <c r="H16" s="637">
        <v>0.81086398616797528</v>
      </c>
      <c r="I16" s="637">
        <v>0.72982882482106293</v>
      </c>
      <c r="J16" s="594"/>
      <c r="K16" s="604"/>
    </row>
    <row r="17" spans="2:12">
      <c r="B17" s="430" t="s">
        <v>632</v>
      </c>
      <c r="C17" s="266" t="s">
        <v>128</v>
      </c>
      <c r="D17" s="637">
        <v>-0.35113880002194037</v>
      </c>
      <c r="E17" s="637">
        <v>-0.55957060746967591</v>
      </c>
      <c r="F17" s="637">
        <v>-0.29099211962829724</v>
      </c>
      <c r="G17" s="637">
        <v>-6.8830073189457677E-2</v>
      </c>
      <c r="H17" s="637">
        <v>4.488565645724623E-2</v>
      </c>
      <c r="I17" s="637">
        <v>-0.20290096580956549</v>
      </c>
      <c r="J17" s="594"/>
      <c r="K17" s="604"/>
    </row>
    <row r="18" spans="2:12">
      <c r="B18" s="430" t="s">
        <v>142</v>
      </c>
      <c r="C18" s="266" t="s">
        <v>128</v>
      </c>
      <c r="D18" s="637">
        <v>0.24827717116580683</v>
      </c>
      <c r="E18" s="637">
        <v>0.23281211217444264</v>
      </c>
      <c r="F18" s="637">
        <v>8.2514469966497625E-2</v>
      </c>
      <c r="G18" s="637">
        <v>4.6331505018872822E-2</v>
      </c>
      <c r="H18" s="637">
        <v>-5.8168532398328802E-2</v>
      </c>
      <c r="I18" s="637">
        <v>-7.5262079985255609E-2</v>
      </c>
      <c r="J18" s="594"/>
      <c r="K18" s="604"/>
    </row>
    <row r="19" spans="2:12">
      <c r="B19" s="268" t="s">
        <v>366</v>
      </c>
      <c r="C19" s="266" t="s">
        <v>128</v>
      </c>
      <c r="D19" s="738">
        <f>SUM(D15:D18)</f>
        <v>0.98724700580607416</v>
      </c>
      <c r="E19" s="739">
        <f t="shared" ref="E19:K19" si="1">SUM(E15:E18)</f>
        <v>0.71174754066000168</v>
      </c>
      <c r="F19" s="739">
        <f t="shared" si="1"/>
        <v>0.63809064965846496</v>
      </c>
      <c r="G19" s="739">
        <f t="shared" si="1"/>
        <v>0.82690201977756783</v>
      </c>
      <c r="H19" s="739">
        <f t="shared" si="1"/>
        <v>0.79758111022689271</v>
      </c>
      <c r="I19" s="739">
        <f t="shared" si="1"/>
        <v>0.45166577902624183</v>
      </c>
      <c r="J19" s="739">
        <f t="shared" si="1"/>
        <v>0</v>
      </c>
      <c r="K19" s="740">
        <f t="shared" si="1"/>
        <v>0</v>
      </c>
    </row>
    <row r="20" spans="2:12" s="31" customFormat="1">
      <c r="B20" s="369"/>
      <c r="C20" s="369"/>
      <c r="D20" s="741"/>
      <c r="E20" s="741"/>
      <c r="F20" s="741"/>
      <c r="G20" s="741"/>
      <c r="H20" s="741"/>
      <c r="I20" s="741"/>
      <c r="J20" s="741"/>
      <c r="K20" s="741"/>
      <c r="L20" s="369"/>
    </row>
    <row r="21" spans="2:12">
      <c r="B21" s="14" t="s">
        <v>333</v>
      </c>
      <c r="C21" s="266"/>
      <c r="D21" s="742"/>
      <c r="E21" s="742"/>
      <c r="F21" s="742"/>
      <c r="G21" s="742"/>
      <c r="H21" s="742"/>
      <c r="I21" s="742"/>
      <c r="J21" s="742"/>
      <c r="K21" s="742"/>
      <c r="L21" s="266"/>
    </row>
    <row r="22" spans="2:12">
      <c r="B22" s="369" t="s">
        <v>491</v>
      </c>
      <c r="C22" s="266" t="s">
        <v>128</v>
      </c>
      <c r="D22" s="852">
        <f>('R5 - Output Incentives'!D102)*INDEX(Data!$G$14:$G$30,MATCH('R10 - Tax'!D$6,Data!$C$14:$C$30,0),1)</f>
        <v>1.459196167023</v>
      </c>
      <c r="E22" s="853">
        <f>('R5 - Output Incentives'!E102)*INDEX(Data!$G$14:$G$30,MATCH('R10 - Tax'!E$6,Data!$C$14:$C$30,0),1)</f>
        <v>1.5955874913953982</v>
      </c>
      <c r="F22" s="853">
        <f>('R5 - Output Incentives'!F102)*INDEX(Data!$G$14:$G$30,MATCH('R10 - Tax'!F$6,Data!$C$14:$C$30,0),1)</f>
        <v>2.1007627333178029</v>
      </c>
      <c r="G22" s="853">
        <f>('R5 - Output Incentives'!G102)*INDEX(Data!$G$14:$G$30,MATCH('R10 - Tax'!G$6,Data!$C$14:$C$30,0),1)</f>
        <v>1.7800761763358763</v>
      </c>
      <c r="H22" s="855">
        <f>('R5 - Output Incentives'!H102)*INDEX(Data!$G$14:$G$30,MATCH('R10 - Tax'!H$6,Data!$C$14:$C$30,0),1)</f>
        <v>0.98831240414770793</v>
      </c>
      <c r="I22" s="855">
        <f>('R5 - Output Incentives'!I102)*INDEX(Data!$G$14:$G$30,MATCH('R10 - Tax'!I$6,Data!$C$14:$C$30,0),1)</f>
        <v>1.9372692558782176</v>
      </c>
      <c r="J22" s="855">
        <f>('R5 - Output Incentives'!J102)*INDEX(Data!$G$14:$G$30,MATCH('R10 - Tax'!J$6,Data!$C$14:$C$30,0),1)</f>
        <v>2.3551143373176919</v>
      </c>
      <c r="K22" s="856">
        <f>('R5 - Output Incentives'!K102)*INDEX(Data!$G$14:$G$30,MATCH('R10 - Tax'!K$6,Data!$C$14:$C$30,0),1)</f>
        <v>1.1342501472882958</v>
      </c>
    </row>
    <row r="23" spans="2:12">
      <c r="B23" s="369" t="s">
        <v>492</v>
      </c>
      <c r="C23" s="266" t="s">
        <v>128</v>
      </c>
      <c r="D23" s="597">
        <f>('R4 - Totex'!D77-'R4 - Totex'!D79)*D40</f>
        <v>1.1401098647619827</v>
      </c>
      <c r="E23" s="599">
        <f>('R4 - Totex'!E77-'R4 - Totex'!E79)*E40</f>
        <v>1.1648269564822449</v>
      </c>
      <c r="F23" s="599">
        <f>('R4 - Totex'!F77-'R4 - Totex'!F79)*F40</f>
        <v>1.123276226405425</v>
      </c>
      <c r="G23" s="599">
        <f>('R4 - Totex'!G77-'R4 - Totex'!G79)*G40</f>
        <v>1.179387257949533</v>
      </c>
      <c r="H23" s="857">
        <f>('R4 - Totex'!H77-'R4 - Totex'!H79)*H40</f>
        <v>1.1886292968886352</v>
      </c>
      <c r="I23" s="857">
        <f>('R4 - Totex'!I77-'R4 - Totex'!I79)*I40</f>
        <v>1.2168870359220871</v>
      </c>
      <c r="J23" s="857">
        <f>('R4 - Totex'!J77-'R4 - Totex'!J79)*J40</f>
        <v>1.2860170455241202</v>
      </c>
      <c r="K23" s="858">
        <f>('R4 - Totex'!K77-'R4 - Totex'!K79)*K40</f>
        <v>1.4575642149814072</v>
      </c>
    </row>
    <row r="24" spans="2:12">
      <c r="B24" s="369" t="s">
        <v>493</v>
      </c>
      <c r="C24" s="266" t="s">
        <v>128</v>
      </c>
      <c r="D24" s="595">
        <v>-0.58316466921426247</v>
      </c>
      <c r="E24" s="595">
        <v>6.7675650604549382</v>
      </c>
      <c r="F24" s="595">
        <v>2.2451797052707918</v>
      </c>
      <c r="G24" s="595">
        <v>8.8472352399382004E-2</v>
      </c>
      <c r="H24" s="595">
        <v>-2.394178737811882</v>
      </c>
      <c r="I24" s="595">
        <v>-4.2202277709381919</v>
      </c>
      <c r="J24" s="596"/>
      <c r="K24" s="605"/>
    </row>
    <row r="25" spans="2:12">
      <c r="B25" s="369" t="s">
        <v>494</v>
      </c>
      <c r="C25" s="266" t="s">
        <v>128</v>
      </c>
      <c r="D25" s="595"/>
      <c r="E25" s="596"/>
      <c r="F25" s="596"/>
      <c r="G25" s="596"/>
      <c r="H25" s="596"/>
      <c r="I25" s="596"/>
      <c r="J25" s="596"/>
      <c r="K25" s="605"/>
    </row>
    <row r="26" spans="2:12">
      <c r="B26" s="369" t="s">
        <v>495</v>
      </c>
      <c r="C26" s="266" t="s">
        <v>128</v>
      </c>
      <c r="D26" s="595"/>
      <c r="E26" s="596"/>
      <c r="F26" s="596"/>
      <c r="G26" s="596"/>
      <c r="H26" s="596"/>
      <c r="I26" s="596"/>
      <c r="J26" s="596"/>
      <c r="K26" s="605"/>
    </row>
    <row r="27" spans="2:12">
      <c r="B27" s="369" t="s">
        <v>496</v>
      </c>
      <c r="C27" s="266" t="s">
        <v>128</v>
      </c>
      <c r="D27" s="595"/>
      <c r="E27" s="596"/>
      <c r="F27" s="596"/>
      <c r="G27" s="596"/>
      <c r="H27" s="596"/>
      <c r="I27" s="596"/>
      <c r="J27" s="596"/>
      <c r="K27" s="605"/>
    </row>
    <row r="28" spans="2:12">
      <c r="B28" s="369" t="s">
        <v>573</v>
      </c>
      <c r="C28" s="266" t="s">
        <v>128</v>
      </c>
      <c r="D28" s="595">
        <v>0.41618520024597272</v>
      </c>
      <c r="E28" s="595">
        <v>0.45663242014527317</v>
      </c>
      <c r="F28" s="595">
        <v>-1.0193995099845548</v>
      </c>
      <c r="G28" s="595">
        <v>-0.37052621912571326</v>
      </c>
      <c r="H28" s="595">
        <v>0.493628394692744</v>
      </c>
      <c r="I28" s="595">
        <v>-0.14795988039129959</v>
      </c>
      <c r="J28" s="596"/>
      <c r="K28" s="605"/>
    </row>
    <row r="29" spans="2:12">
      <c r="B29" s="430" t="s">
        <v>633</v>
      </c>
      <c r="C29" s="266" t="s">
        <v>128</v>
      </c>
      <c r="D29" s="595">
        <v>1.4184140849061724</v>
      </c>
      <c r="E29" s="595">
        <v>0.2648970868648704</v>
      </c>
      <c r="F29" s="595">
        <v>-1.5094098896399155</v>
      </c>
      <c r="G29" s="595">
        <v>-0.18260263227987761</v>
      </c>
      <c r="H29" s="595">
        <v>0.79178755241251086</v>
      </c>
      <c r="I29" s="595">
        <v>0.87215685848349933</v>
      </c>
      <c r="J29" s="596"/>
      <c r="K29" s="605"/>
    </row>
    <row r="30" spans="2:12">
      <c r="B30" s="430" t="s">
        <v>388</v>
      </c>
      <c r="C30" s="266" t="s">
        <v>128</v>
      </c>
      <c r="D30" s="595">
        <v>0.19487455592322478</v>
      </c>
      <c r="E30" s="595">
        <v>0.30740433087591157</v>
      </c>
      <c r="F30" s="595">
        <v>-3.1054663467904031E-2</v>
      </c>
      <c r="G30" s="595">
        <v>0.67735236586062753</v>
      </c>
      <c r="H30" s="595">
        <v>0.94751592190072786</v>
      </c>
      <c r="I30" s="595">
        <v>0.37330667738652568</v>
      </c>
      <c r="J30" s="596"/>
      <c r="K30" s="605"/>
    </row>
    <row r="31" spans="2:12">
      <c r="B31" s="430" t="s">
        <v>587</v>
      </c>
      <c r="C31" s="266" t="s">
        <v>128</v>
      </c>
      <c r="D31" s="595">
        <v>-1.8809201851900483</v>
      </c>
      <c r="E31" s="595">
        <v>-0.38201713895261386</v>
      </c>
      <c r="F31" s="595">
        <v>0</v>
      </c>
      <c r="G31" s="595">
        <v>0</v>
      </c>
      <c r="H31" s="595">
        <v>0</v>
      </c>
      <c r="I31" s="595">
        <v>0</v>
      </c>
      <c r="J31" s="596"/>
      <c r="K31" s="605"/>
    </row>
    <row r="32" spans="2:12">
      <c r="B32" s="430" t="s">
        <v>634</v>
      </c>
      <c r="C32" s="266" t="s">
        <v>128</v>
      </c>
      <c r="D32" s="595">
        <v>0.8252536583585719</v>
      </c>
      <c r="E32" s="595">
        <v>0.86867282279819746</v>
      </c>
      <c r="F32" s="595">
        <v>0.89169907170491913</v>
      </c>
      <c r="G32" s="595">
        <v>0.96686469084110405</v>
      </c>
      <c r="H32" s="595">
        <v>1.0474476532770454</v>
      </c>
      <c r="I32" s="595">
        <v>1.1163025401756275</v>
      </c>
      <c r="J32" s="596"/>
      <c r="K32" s="605"/>
    </row>
    <row r="33" spans="2:13">
      <c r="B33" s="430" t="s">
        <v>635</v>
      </c>
      <c r="C33" s="266"/>
      <c r="D33" s="595">
        <v>0.11529269533016664</v>
      </c>
      <c r="E33" s="595">
        <v>-0.10944816791722177</v>
      </c>
      <c r="F33" s="595">
        <v>-0.10926463936888184</v>
      </c>
      <c r="G33" s="595">
        <v>-0.86493064923201557</v>
      </c>
      <c r="H33" s="595">
        <v>-1.0483308096971022</v>
      </c>
      <c r="I33" s="595">
        <v>-1.1712949041576906</v>
      </c>
      <c r="J33" s="607"/>
      <c r="K33" s="608"/>
    </row>
    <row r="34" spans="2:13">
      <c r="B34" s="430" t="s">
        <v>636</v>
      </c>
      <c r="C34" s="266" t="s">
        <v>128</v>
      </c>
      <c r="D34" s="606">
        <v>0</v>
      </c>
      <c r="E34" s="606">
        <v>-2.2313522533725045</v>
      </c>
      <c r="F34" s="606">
        <v>3.3553706302923119</v>
      </c>
      <c r="G34" s="606">
        <v>-0.42558126254799789</v>
      </c>
      <c r="H34" s="606">
        <v>-0.51055824704142017</v>
      </c>
      <c r="I34" s="606">
        <v>-0.49250054104424218</v>
      </c>
      <c r="J34" s="607"/>
      <c r="K34" s="608"/>
    </row>
    <row r="35" spans="2:13">
      <c r="B35" s="14" t="s">
        <v>177</v>
      </c>
      <c r="C35" s="266" t="s">
        <v>128</v>
      </c>
      <c r="D35" s="743">
        <f t="shared" ref="D35:K35" si="2">SUM(D22:D34)</f>
        <v>3.1052413721447798</v>
      </c>
      <c r="E35" s="744">
        <f t="shared" si="2"/>
        <v>8.7027686087744929</v>
      </c>
      <c r="F35" s="744">
        <f t="shared" si="2"/>
        <v>7.0471596645299961</v>
      </c>
      <c r="G35" s="744">
        <f t="shared" si="2"/>
        <v>2.8485120802009187</v>
      </c>
      <c r="H35" s="744">
        <f t="shared" si="2"/>
        <v>1.5042534287689664</v>
      </c>
      <c r="I35" s="744">
        <f t="shared" si="2"/>
        <v>-0.51606072868546704</v>
      </c>
      <c r="J35" s="744">
        <f t="shared" si="2"/>
        <v>3.6411313828418121</v>
      </c>
      <c r="K35" s="745">
        <f t="shared" si="2"/>
        <v>2.591814362269703</v>
      </c>
    </row>
    <row r="37" spans="2:13" ht="12.75" customHeight="1">
      <c r="B37" s="817" t="s">
        <v>503</v>
      </c>
      <c r="C37" s="266" t="s">
        <v>128</v>
      </c>
      <c r="D37" s="637"/>
      <c r="E37" s="637"/>
      <c r="F37" s="638"/>
      <c r="G37" s="638"/>
      <c r="H37" s="638"/>
      <c r="I37" s="638"/>
      <c r="J37" s="590">
        <v>13.102780417274818</v>
      </c>
      <c r="K37" s="590">
        <v>5.0750431063027275</v>
      </c>
    </row>
    <row r="38" spans="2:13" ht="12.75" customHeight="1">
      <c r="B38" s="817" t="s">
        <v>472</v>
      </c>
      <c r="C38" s="266" t="s">
        <v>128</v>
      </c>
      <c r="D38" s="743">
        <f t="shared" ref="D38:K38" si="3">D12+D37-D19-D35</f>
        <v>10.276911622049138</v>
      </c>
      <c r="E38" s="744">
        <f>E12+E37-E19-E35</f>
        <v>1.9846838505654976</v>
      </c>
      <c r="F38" s="744">
        <f>F12+F37-F19-F35</f>
        <v>22.456539685811542</v>
      </c>
      <c r="G38" s="744">
        <f>G12+G37-G19-G35</f>
        <v>14.410305900021516</v>
      </c>
      <c r="H38" s="744">
        <f t="shared" si="3"/>
        <v>16.399295461004137</v>
      </c>
      <c r="I38" s="744">
        <f t="shared" si="3"/>
        <v>15.582834949659226</v>
      </c>
      <c r="J38" s="744">
        <f t="shared" si="3"/>
        <v>9.4616490344330053</v>
      </c>
      <c r="K38" s="745">
        <f t="shared" si="3"/>
        <v>2.4832287440330245</v>
      </c>
    </row>
    <row r="39" spans="2:13" ht="12.75" customHeight="1">
      <c r="B39" s="481"/>
      <c r="C39" s="266"/>
      <c r="D39" s="266"/>
      <c r="E39" s="266"/>
      <c r="F39" s="266"/>
      <c r="G39" s="266"/>
      <c r="H39" s="266"/>
      <c r="I39" s="266"/>
      <c r="J39" s="266"/>
      <c r="K39" s="266"/>
    </row>
    <row r="40" spans="2:13">
      <c r="B40" s="37" t="s">
        <v>480</v>
      </c>
      <c r="C40" s="267" t="s">
        <v>127</v>
      </c>
      <c r="D40" s="112">
        <f>Data!C$34</f>
        <v>1.0603167467048125</v>
      </c>
      <c r="E40" s="112">
        <f>Data!D$34</f>
        <v>1.0830366813119445</v>
      </c>
      <c r="F40" s="112">
        <f>Data!E$34</f>
        <v>1.1235639113109226</v>
      </c>
      <c r="G40" s="112">
        <f>Data!F$34</f>
        <v>1.1578951670583426</v>
      </c>
      <c r="H40" s="112">
        <f>Data!G$34</f>
        <v>1.1878696229692449</v>
      </c>
      <c r="I40" s="112">
        <f>Data!H$34</f>
        <v>1.2022764892203943</v>
      </c>
      <c r="J40" s="112">
        <f>Data!I$34</f>
        <v>1.2717196280780627</v>
      </c>
      <c r="K40" s="112">
        <f>Data!J$34</f>
        <v>1.3772723572085417</v>
      </c>
      <c r="L40" s="266"/>
    </row>
    <row r="41" spans="2:13">
      <c r="B41" s="199"/>
      <c r="C41" s="266"/>
      <c r="D41" s="266"/>
      <c r="E41" s="266"/>
      <c r="F41" s="266"/>
      <c r="G41" s="266"/>
      <c r="H41" s="266"/>
      <c r="I41" s="266"/>
      <c r="J41" s="266"/>
      <c r="K41" s="266"/>
    </row>
    <row r="42" spans="2:13">
      <c r="B42" s="542" t="s">
        <v>473</v>
      </c>
      <c r="C42" s="396" t="str">
        <f>'RFPR cover'!$C$14</f>
        <v>£m 12/13</v>
      </c>
      <c r="D42" s="782">
        <f t="shared" ref="D42:K42" si="4">D38/D40</f>
        <v>9.6923034121521656</v>
      </c>
      <c r="E42" s="783">
        <f t="shared" si="4"/>
        <v>1.8325176652016404</v>
      </c>
      <c r="F42" s="783">
        <f t="shared" si="4"/>
        <v>19.986882330182969</v>
      </c>
      <c r="G42" s="783">
        <f t="shared" si="4"/>
        <v>12.445259562341214</v>
      </c>
      <c r="H42" s="783">
        <f t="shared" si="4"/>
        <v>13.80563585758833</v>
      </c>
      <c r="I42" s="783">
        <f t="shared" si="4"/>
        <v>12.961107606590376</v>
      </c>
      <c r="J42" s="783">
        <f t="shared" si="4"/>
        <v>7.4400432497313123</v>
      </c>
      <c r="K42" s="784">
        <f t="shared" si="4"/>
        <v>1.8030048530604632</v>
      </c>
    </row>
    <row r="43" spans="2:13">
      <c r="B43" s="817"/>
      <c r="C43" s="817"/>
      <c r="D43" s="817"/>
      <c r="E43" s="817"/>
      <c r="F43" s="817"/>
      <c r="G43" s="817"/>
      <c r="H43" s="817"/>
      <c r="I43" s="817"/>
      <c r="J43" s="817"/>
      <c r="K43" s="817"/>
    </row>
    <row r="44" spans="2:13">
      <c r="B44" s="825" t="s">
        <v>453</v>
      </c>
      <c r="C44" s="210"/>
      <c r="D44" s="210"/>
      <c r="E44" s="210"/>
      <c r="F44" s="210"/>
      <c r="G44" s="210"/>
      <c r="H44" s="210"/>
      <c r="I44" s="210"/>
      <c r="J44" s="210"/>
      <c r="K44" s="210"/>
    </row>
    <row r="45" spans="2:13">
      <c r="B45" s="368" t="s">
        <v>441</v>
      </c>
      <c r="C45" s="431"/>
      <c r="D45" s="431"/>
      <c r="E45" s="431"/>
      <c r="F45" s="431"/>
      <c r="G45" s="431"/>
      <c r="H45" s="431"/>
      <c r="I45" s="431"/>
      <c r="J45" s="431"/>
      <c r="K45" s="431"/>
      <c r="L45" s="431"/>
      <c r="M45" s="431"/>
    </row>
    <row r="47" spans="2:13" ht="12.75" customHeight="1">
      <c r="B47" s="213" t="s">
        <v>115</v>
      </c>
      <c r="C47" s="155" t="s">
        <v>7</v>
      </c>
      <c r="D47" s="889">
        <f>'RFPR cover'!$C$12</f>
        <v>0.65</v>
      </c>
      <c r="E47" s="890">
        <f>'RFPR cover'!$C$12</f>
        <v>0.65</v>
      </c>
      <c r="F47" s="890">
        <f>'RFPR cover'!$C$12</f>
        <v>0.65</v>
      </c>
      <c r="G47" s="890">
        <f>'RFPR cover'!$C$12</f>
        <v>0.65</v>
      </c>
      <c r="H47" s="890">
        <f>'RFPR cover'!$C$12</f>
        <v>0.65</v>
      </c>
      <c r="I47" s="890">
        <f>'RFPR cover'!$C$12</f>
        <v>0.65</v>
      </c>
      <c r="J47" s="890">
        <f>'RFPR cover'!$C$12</f>
        <v>0.65</v>
      </c>
      <c r="K47" s="891">
        <f>'RFPR cover'!$C$12</f>
        <v>0.65</v>
      </c>
    </row>
    <row r="48" spans="2:13" ht="12.75" customHeight="1">
      <c r="B48" s="213" t="s">
        <v>403</v>
      </c>
      <c r="C48" s="155" t="s">
        <v>7</v>
      </c>
      <c r="D48" s="889">
        <f>'R8 - Net Debt'!D57</f>
        <v>0.56417774365449824</v>
      </c>
      <c r="E48" s="890">
        <f>'R8 - Net Debt'!E57</f>
        <v>0.59213879997618502</v>
      </c>
      <c r="F48" s="890">
        <f>'R8 - Net Debt'!F57</f>
        <v>0.59258475946055711</v>
      </c>
      <c r="G48" s="890">
        <f>'R8 - Net Debt'!G57</f>
        <v>0.59548802440742565</v>
      </c>
      <c r="H48" s="890">
        <f>'R8 - Net Debt'!H57</f>
        <v>0.60717878475609133</v>
      </c>
      <c r="I48" s="890">
        <f>'R8 - Net Debt'!I57</f>
        <v>0.61041106062008965</v>
      </c>
      <c r="J48" s="890">
        <f>'R8 - Net Debt'!J57</f>
        <v>0.58064475392320158</v>
      </c>
      <c r="K48" s="891">
        <f>'R8 - Net Debt'!K57</f>
        <v>0.55872004540867237</v>
      </c>
    </row>
    <row r="49" spans="2:14" ht="12.75" customHeight="1">
      <c r="B49" s="213"/>
      <c r="C49" s="155"/>
      <c r="D49" s="155"/>
      <c r="E49" s="155"/>
      <c r="F49" s="155"/>
      <c r="G49" s="155"/>
      <c r="H49" s="155"/>
      <c r="I49" s="155"/>
      <c r="J49" s="155"/>
      <c r="K49" s="155"/>
      <c r="L49" s="155"/>
    </row>
    <row r="50" spans="2:14" ht="12.75" customHeight="1">
      <c r="B50" s="817" t="s">
        <v>473</v>
      </c>
      <c r="C50" s="266" t="s">
        <v>128</v>
      </c>
      <c r="D50" s="782">
        <f>D38</f>
        <v>10.276911622049138</v>
      </c>
      <c r="E50" s="782">
        <f t="shared" ref="E50:K50" si="5">E38</f>
        <v>1.9846838505654976</v>
      </c>
      <c r="F50" s="782">
        <f t="shared" si="5"/>
        <v>22.456539685811542</v>
      </c>
      <c r="G50" s="782">
        <f t="shared" si="5"/>
        <v>14.410305900021516</v>
      </c>
      <c r="H50" s="782">
        <f t="shared" si="5"/>
        <v>16.399295461004137</v>
      </c>
      <c r="I50" s="782">
        <f t="shared" si="5"/>
        <v>15.582834949659226</v>
      </c>
      <c r="J50" s="782">
        <f t="shared" si="5"/>
        <v>9.4616490344330053</v>
      </c>
      <c r="K50" s="782">
        <f t="shared" si="5"/>
        <v>2.4832287440330245</v>
      </c>
    </row>
    <row r="51" spans="2:14">
      <c r="B51" s="213" t="s">
        <v>454</v>
      </c>
      <c r="C51" s="266" t="s">
        <v>128</v>
      </c>
      <c r="D51" s="782">
        <f>D86-D88</f>
        <v>-0.72335182395921749</v>
      </c>
      <c r="E51" s="782">
        <f t="shared" ref="E51:K51" si="6">E86-E88</f>
        <v>-0.39493395308867951</v>
      </c>
      <c r="F51" s="782">
        <f t="shared" si="6"/>
        <v>-0.1759891582064923</v>
      </c>
      <c r="G51" s="782">
        <f t="shared" si="6"/>
        <v>-0.19441660488715073</v>
      </c>
      <c r="H51" s="782">
        <f t="shared" si="6"/>
        <v>-0.22793310285322516</v>
      </c>
      <c r="I51" s="782">
        <f t="shared" si="6"/>
        <v>-0.33509098594239184</v>
      </c>
      <c r="J51" s="782">
        <f t="shared" si="6"/>
        <v>-3.6867008818845637E-2</v>
      </c>
      <c r="K51" s="782">
        <f t="shared" si="6"/>
        <v>0.65061850624334916</v>
      </c>
      <c r="L51" s="266"/>
    </row>
    <row r="52" spans="2:14" s="31" customFormat="1">
      <c r="B52" s="826" t="s">
        <v>411</v>
      </c>
      <c r="C52" s="266" t="s">
        <v>128</v>
      </c>
      <c r="D52" s="743">
        <f>SUM(D50:D51)</f>
        <v>9.5535597980899194</v>
      </c>
      <c r="E52" s="744">
        <f t="shared" ref="E52:K52" si="7">SUM(E50:E51)</f>
        <v>1.5897498974768181</v>
      </c>
      <c r="F52" s="744">
        <f t="shared" si="7"/>
        <v>22.280550527605051</v>
      </c>
      <c r="G52" s="744">
        <f t="shared" si="7"/>
        <v>14.215889295134366</v>
      </c>
      <c r="H52" s="744">
        <f t="shared" si="7"/>
        <v>16.171362358150912</v>
      </c>
      <c r="I52" s="744">
        <f t="shared" si="7"/>
        <v>15.247743963716834</v>
      </c>
      <c r="J52" s="744">
        <f t="shared" si="7"/>
        <v>9.4247820256141601</v>
      </c>
      <c r="K52" s="745">
        <f t="shared" si="7"/>
        <v>3.1338472502763737</v>
      </c>
      <c r="L52" s="802"/>
    </row>
    <row r="54" spans="2:14">
      <c r="B54" s="826" t="s">
        <v>411</v>
      </c>
      <c r="C54" s="396" t="str">
        <f>'RFPR cover'!$C$14</f>
        <v>£m 12/13</v>
      </c>
      <c r="D54" s="743">
        <f>D52/D40</f>
        <v>9.0100998855105221</v>
      </c>
      <c r="E54" s="744">
        <f t="shared" ref="E54:K54" si="8">E52/E40</f>
        <v>1.4678633927255933</v>
      </c>
      <c r="F54" s="744">
        <f t="shared" si="8"/>
        <v>19.830247574976958</v>
      </c>
      <c r="G54" s="744">
        <f t="shared" si="8"/>
        <v>12.277354375051186</v>
      </c>
      <c r="H54" s="744">
        <f t="shared" si="8"/>
        <v>13.61375191810053</v>
      </c>
      <c r="I54" s="744">
        <f t="shared" si="8"/>
        <v>12.682393859006675</v>
      </c>
      <c r="J54" s="744">
        <f t="shared" si="8"/>
        <v>7.4110533623340702</v>
      </c>
      <c r="K54" s="745">
        <f t="shared" si="8"/>
        <v>2.2754012551504785</v>
      </c>
    </row>
    <row r="55" spans="2:14">
      <c r="B55" s="826"/>
      <c r="C55" s="396"/>
      <c r="D55" s="396"/>
      <c r="E55" s="396"/>
      <c r="F55" s="396"/>
      <c r="G55" s="396"/>
      <c r="H55" s="396"/>
      <c r="I55" s="396"/>
      <c r="J55" s="396"/>
      <c r="K55" s="396"/>
    </row>
    <row r="57" spans="2:14">
      <c r="B57" s="785" t="s">
        <v>377</v>
      </c>
      <c r="C57" s="786"/>
      <c r="D57" s="786"/>
      <c r="E57" s="786"/>
      <c r="F57" s="786"/>
      <c r="G57" s="786"/>
      <c r="H57" s="786"/>
      <c r="I57" s="786"/>
      <c r="J57" s="786"/>
      <c r="K57" s="786"/>
      <c r="L57" s="786"/>
      <c r="M57" s="488"/>
    </row>
    <row r="58" spans="2:14" s="31" customFormat="1">
      <c r="B58" s="489"/>
      <c r="C58" s="488"/>
      <c r="D58" s="488"/>
      <c r="E58" s="488"/>
      <c r="F58" s="488"/>
      <c r="G58" s="488"/>
      <c r="H58" s="488"/>
      <c r="I58" s="488"/>
      <c r="J58" s="488"/>
      <c r="K58" s="488"/>
      <c r="L58" s="488"/>
      <c r="M58" s="488"/>
    </row>
    <row r="59" spans="2:14">
      <c r="B59" s="367" t="s">
        <v>474</v>
      </c>
      <c r="C59" s="293"/>
      <c r="D59" s="293"/>
      <c r="E59" s="293"/>
      <c r="F59" s="293"/>
      <c r="G59" s="293"/>
      <c r="H59" s="293"/>
      <c r="I59" s="293"/>
      <c r="J59" s="293"/>
      <c r="K59" s="293"/>
      <c r="L59" s="293"/>
      <c r="M59" s="200"/>
      <c r="N59" s="200"/>
    </row>
    <row r="60" spans="2:14" s="31" customFormat="1">
      <c r="B60" s="372"/>
      <c r="C60" s="35"/>
      <c r="D60" s="35"/>
      <c r="E60" s="35"/>
      <c r="F60" s="35"/>
      <c r="G60" s="35"/>
      <c r="H60" s="35"/>
      <c r="I60" s="35"/>
      <c r="J60" s="35"/>
      <c r="K60" s="35"/>
      <c r="L60" s="35"/>
      <c r="M60" s="37"/>
      <c r="N60" s="37"/>
    </row>
    <row r="61" spans="2:14">
      <c r="B61" s="200" t="s">
        <v>376</v>
      </c>
      <c r="C61" s="210" t="str">
        <f>'RFPR cover'!$C$14</f>
        <v>£m 12/13</v>
      </c>
      <c r="D61" s="581">
        <v>10.284235088259434</v>
      </c>
      <c r="E61" s="581">
        <v>7.6771529968093715</v>
      </c>
      <c r="F61" s="581">
        <v>14.648343409888987</v>
      </c>
      <c r="G61" s="581">
        <v>10.952058048773551</v>
      </c>
      <c r="H61" s="581">
        <v>10.114585570657418</v>
      </c>
      <c r="I61" s="581">
        <v>10.356909920570997</v>
      </c>
      <c r="J61" s="581">
        <v>5.6034114303511364</v>
      </c>
      <c r="K61" s="581">
        <v>3.2448280200007238</v>
      </c>
    </row>
    <row r="62" spans="2:14">
      <c r="B62" s="200" t="s">
        <v>379</v>
      </c>
      <c r="C62" s="210" t="str">
        <f>'RFPR cover'!$C$14</f>
        <v>£m 12/13</v>
      </c>
      <c r="D62" s="589"/>
      <c r="E62" s="590"/>
      <c r="F62" s="590"/>
      <c r="G62" s="590"/>
      <c r="H62" s="590"/>
      <c r="I62" s="590"/>
      <c r="J62" s="590"/>
      <c r="K62" s="683"/>
    </row>
    <row r="63" spans="2:14">
      <c r="B63" s="200" t="s">
        <v>380</v>
      </c>
      <c r="C63" s="210" t="str">
        <f>'RFPR cover'!$C$14</f>
        <v>£m 12/13</v>
      </c>
      <c r="D63" s="645">
        <f t="shared" ref="D63:K63" si="9">SUM(D61:D62)</f>
        <v>10.284235088259434</v>
      </c>
      <c r="E63" s="646">
        <f t="shared" si="9"/>
        <v>7.6771529968093715</v>
      </c>
      <c r="F63" s="646">
        <f t="shared" si="9"/>
        <v>14.648343409888987</v>
      </c>
      <c r="G63" s="646">
        <f t="shared" si="9"/>
        <v>10.952058048773551</v>
      </c>
      <c r="H63" s="646">
        <f t="shared" si="9"/>
        <v>10.114585570657418</v>
      </c>
      <c r="I63" s="646">
        <f t="shared" si="9"/>
        <v>10.356909920570997</v>
      </c>
      <c r="J63" s="646">
        <f t="shared" si="9"/>
        <v>5.6034114303511364</v>
      </c>
      <c r="K63" s="647">
        <f t="shared" si="9"/>
        <v>3.2448280200007238</v>
      </c>
    </row>
    <row r="64" spans="2:14">
      <c r="B64" s="200"/>
      <c r="C64" s="210"/>
      <c r="D64" s="210"/>
      <c r="E64" s="210"/>
      <c r="F64" s="210"/>
      <c r="G64" s="210"/>
      <c r="H64" s="210"/>
      <c r="I64" s="210"/>
      <c r="J64" s="210"/>
      <c r="K64" s="210"/>
      <c r="L64" s="210"/>
    </row>
    <row r="65" spans="2:13">
      <c r="B65" s="511" t="s">
        <v>475</v>
      </c>
      <c r="C65" s="293"/>
      <c r="D65" s="293"/>
      <c r="E65" s="293"/>
      <c r="F65" s="293"/>
      <c r="G65" s="293"/>
      <c r="H65" s="293"/>
      <c r="I65" s="293"/>
      <c r="J65" s="293"/>
      <c r="K65" s="293"/>
      <c r="L65" s="293"/>
    </row>
    <row r="66" spans="2:13" s="31" customFormat="1">
      <c r="B66" s="512"/>
      <c r="C66" s="35"/>
      <c r="D66" s="35"/>
      <c r="E66" s="35"/>
      <c r="F66" s="35"/>
      <c r="G66" s="35"/>
      <c r="H66" s="35"/>
      <c r="I66" s="35"/>
      <c r="J66" s="35"/>
      <c r="K66" s="35"/>
      <c r="L66" s="35"/>
    </row>
    <row r="67" spans="2:13">
      <c r="B67" s="200" t="s">
        <v>367</v>
      </c>
      <c r="C67" s="210" t="str">
        <f>'RFPR cover'!$C$14</f>
        <v>£m 12/13</v>
      </c>
      <c r="D67" s="581">
        <v>10.283517468213816</v>
      </c>
      <c r="E67" s="581">
        <v>7.6765468114175182</v>
      </c>
      <c r="F67" s="581">
        <v>14.647869979343414</v>
      </c>
      <c r="G67" s="581">
        <v>10.951227159942</v>
      </c>
      <c r="H67" s="581">
        <v>10.113826697228342</v>
      </c>
      <c r="I67" s="581">
        <v>10.34586652789447</v>
      </c>
      <c r="J67" s="581">
        <v>7.8675994804014513</v>
      </c>
      <c r="K67" s="581">
        <v>0</v>
      </c>
    </row>
    <row r="68" spans="2:13">
      <c r="B68" s="200" t="s">
        <v>382</v>
      </c>
      <c r="C68" s="210" t="str">
        <f>'RFPR cover'!$C$14</f>
        <v>£m 12/13</v>
      </c>
      <c r="D68" s="589"/>
      <c r="E68" s="590"/>
      <c r="F68" s="590"/>
      <c r="G68" s="590"/>
      <c r="H68" s="590"/>
      <c r="I68" s="590"/>
      <c r="J68" s="590"/>
      <c r="K68" s="683"/>
    </row>
    <row r="69" spans="2:13">
      <c r="B69" s="14" t="s">
        <v>383</v>
      </c>
      <c r="C69" s="210" t="str">
        <f>'RFPR cover'!$C$14</f>
        <v>£m 12/13</v>
      </c>
      <c r="D69" s="609">
        <f t="shared" ref="D69:K69" si="10">SUM(D67:D68)</f>
        <v>10.283517468213816</v>
      </c>
      <c r="E69" s="610">
        <f t="shared" si="10"/>
        <v>7.6765468114175182</v>
      </c>
      <c r="F69" s="610">
        <f t="shared" si="10"/>
        <v>14.647869979343414</v>
      </c>
      <c r="G69" s="610">
        <f t="shared" si="10"/>
        <v>10.951227159942</v>
      </c>
      <c r="H69" s="610">
        <f t="shared" si="10"/>
        <v>10.113826697228342</v>
      </c>
      <c r="I69" s="610">
        <f t="shared" si="10"/>
        <v>10.34586652789447</v>
      </c>
      <c r="J69" s="610">
        <f t="shared" si="10"/>
        <v>7.8675994804014513</v>
      </c>
      <c r="K69" s="611">
        <f t="shared" si="10"/>
        <v>0</v>
      </c>
    </row>
    <row r="70" spans="2:13" s="31" customFormat="1">
      <c r="B70" s="512"/>
      <c r="C70" s="35"/>
      <c r="D70" s="746"/>
      <c r="E70" s="746"/>
      <c r="F70" s="746"/>
      <c r="G70" s="746"/>
      <c r="H70" s="746"/>
      <c r="I70" s="746"/>
      <c r="J70" s="746"/>
      <c r="K70" s="746"/>
      <c r="L70" s="35"/>
    </row>
    <row r="71" spans="2:13" s="31" customFormat="1">
      <c r="B71" s="513" t="s">
        <v>381</v>
      </c>
      <c r="C71" s="35"/>
      <c r="D71" s="701">
        <f t="shared" ref="D71:K71" si="11">D69-D63</f>
        <v>-7.1762004561826132E-4</v>
      </c>
      <c r="E71" s="702">
        <f t="shared" si="11"/>
        <v>-6.0618539185330889E-4</v>
      </c>
      <c r="F71" s="702">
        <f t="shared" si="11"/>
        <v>-4.7343054557380526E-4</v>
      </c>
      <c r="G71" s="702">
        <f t="shared" si="11"/>
        <v>-8.3088883155113535E-4</v>
      </c>
      <c r="H71" s="702">
        <f t="shared" si="11"/>
        <v>-7.588734290759902E-4</v>
      </c>
      <c r="I71" s="702">
        <f t="shared" si="11"/>
        <v>-1.1043392676526764E-2</v>
      </c>
      <c r="J71" s="702">
        <f t="shared" si="11"/>
        <v>2.2641880500503149</v>
      </c>
      <c r="K71" s="703">
        <f t="shared" si="11"/>
        <v>-3.2448280200007238</v>
      </c>
      <c r="L71" s="35"/>
    </row>
    <row r="72" spans="2:13">
      <c r="B72" s="200" t="s">
        <v>378</v>
      </c>
      <c r="C72" s="210" t="str">
        <f>'RFPR cover'!$C$14</f>
        <v>£m 12/13</v>
      </c>
      <c r="D72" s="585">
        <v>0</v>
      </c>
      <c r="E72" s="585">
        <v>0</v>
      </c>
      <c r="F72" s="585">
        <v>2.9224107752412465E-5</v>
      </c>
      <c r="G72" s="585">
        <v>5.1289434047419036E-5</v>
      </c>
      <c r="H72" s="585">
        <v>4.5892578226514047E-5</v>
      </c>
      <c r="I72" s="585">
        <v>8.264432277531597E-4</v>
      </c>
      <c r="J72" s="585">
        <v>-9.7644987794783589E-2</v>
      </c>
      <c r="K72" s="585">
        <v>8.5558940038129805E-2</v>
      </c>
    </row>
    <row r="73" spans="2:13">
      <c r="B73" s="200" t="s">
        <v>429</v>
      </c>
      <c r="C73" s="210" t="str">
        <f>'RFPR cover'!$C$14</f>
        <v>£m 12/13</v>
      </c>
      <c r="D73" s="585">
        <v>0</v>
      </c>
      <c r="E73" s="585">
        <v>0</v>
      </c>
      <c r="F73" s="585">
        <v>-2.9224107752412465E-5</v>
      </c>
      <c r="G73" s="585">
        <v>-5.1289434047419036E-5</v>
      </c>
      <c r="H73" s="585">
        <v>-6.1306240063174755E-5</v>
      </c>
      <c r="I73" s="585">
        <v>1.5185443853376057E-3</v>
      </c>
      <c r="J73" s="585">
        <v>0</v>
      </c>
      <c r="K73" s="585">
        <v>0</v>
      </c>
    </row>
    <row r="74" spans="2:13">
      <c r="B74" s="200" t="s">
        <v>333</v>
      </c>
      <c r="C74" s="210" t="str">
        <f>'RFPR cover'!$C$14</f>
        <v>£m 12/13</v>
      </c>
      <c r="D74" s="585">
        <v>-7.1762004561826132E-4</v>
      </c>
      <c r="E74" s="585">
        <v>-6.0618539185330889E-4</v>
      </c>
      <c r="F74" s="585">
        <v>-4.7343054557380526E-4</v>
      </c>
      <c r="G74" s="585">
        <v>-8.3088883155113535E-4</v>
      </c>
      <c r="H74" s="585">
        <v>-7.4345976723932949E-4</v>
      </c>
      <c r="I74" s="585">
        <v>-1.338838028961753E-2</v>
      </c>
      <c r="J74" s="585">
        <v>2.3618330378451073</v>
      </c>
      <c r="K74" s="585">
        <v>-3.3292756700414436</v>
      </c>
    </row>
    <row r="75" spans="2:13">
      <c r="B75" s="200" t="s">
        <v>122</v>
      </c>
      <c r="C75" s="210" t="str">
        <f>'RFPR cover'!$C$14</f>
        <v>£m 12/13</v>
      </c>
      <c r="D75" s="514" t="str">
        <f>IF(ABS(D71-SUM(D72:D74))&lt;'RFPR cover'!$F$14,"OK","ERROR")</f>
        <v>OK</v>
      </c>
      <c r="E75" s="515" t="str">
        <f>IF(ABS(E71-SUM(E72:E74))&lt;'RFPR cover'!$F$14,"OK","ERROR")</f>
        <v>OK</v>
      </c>
      <c r="F75" s="515" t="str">
        <f>IF(ABS(F71-SUM(F72:F74))&lt;'RFPR cover'!$F$14,"OK","ERROR")</f>
        <v>OK</v>
      </c>
      <c r="G75" s="515" t="str">
        <f>IF(ABS(G71-SUM(G72:G74))&lt;'RFPR cover'!$F$14,"OK","ERROR")</f>
        <v>OK</v>
      </c>
      <c r="H75" s="515" t="str">
        <f>IF(ABS(H71-SUM(H72:H74))&lt;'RFPR cover'!$F$14,"OK","ERROR")</f>
        <v>OK</v>
      </c>
      <c r="I75" s="515" t="str">
        <f>IF(ABS(I71-SUM(I72:I74))&lt;'RFPR cover'!$F$14,"OK","ERROR")</f>
        <v>OK</v>
      </c>
      <c r="J75" s="515" t="str">
        <f>IF(ABS(J71-SUM(J72:J74))&lt;'RFPR cover'!$F$14,"OK","ERROR")</f>
        <v>OK</v>
      </c>
      <c r="K75" s="516" t="str">
        <f>IF(ABS(K71-SUM(K72:K74))&lt;'RFPR cover'!$F$14,"OK","ERROR")</f>
        <v>OK</v>
      </c>
    </row>
    <row r="76" spans="2:13">
      <c r="B76" s="200"/>
      <c r="C76" s="200"/>
      <c r="D76" s="200"/>
      <c r="E76" s="200"/>
      <c r="F76" s="200"/>
      <c r="G76" s="200"/>
      <c r="H76" s="200"/>
      <c r="I76" s="200"/>
      <c r="J76" s="200"/>
      <c r="K76" s="200"/>
      <c r="L76" s="200"/>
      <c r="M76" s="200"/>
    </row>
    <row r="78" spans="2:13">
      <c r="B78" s="830" t="s">
        <v>431</v>
      </c>
      <c r="C78" s="830"/>
      <c r="D78" s="830"/>
      <c r="E78" s="830"/>
      <c r="F78" s="830"/>
      <c r="G78" s="830"/>
      <c r="H78" s="830"/>
      <c r="I78" s="830"/>
      <c r="J78" s="830"/>
      <c r="K78" s="830"/>
      <c r="L78" s="830"/>
    </row>
    <row r="80" spans="2:13">
      <c r="B80" s="14" t="s">
        <v>432</v>
      </c>
      <c r="C80" s="211" t="str">
        <f>'RFPR cover'!$C$14</f>
        <v>£m 12/13</v>
      </c>
      <c r="D80" s="609">
        <f t="shared" ref="D80:K80" si="12">D$69-D42</f>
        <v>0.59121405606165034</v>
      </c>
      <c r="E80" s="610">
        <f t="shared" si="12"/>
        <v>5.8440291462158775</v>
      </c>
      <c r="F80" s="610">
        <f t="shared" si="12"/>
        <v>-5.3390123508395551</v>
      </c>
      <c r="G80" s="610">
        <f t="shared" si="12"/>
        <v>-1.4940324023992133</v>
      </c>
      <c r="H80" s="610">
        <f t="shared" si="12"/>
        <v>-3.6918091603599876</v>
      </c>
      <c r="I80" s="610">
        <f t="shared" si="12"/>
        <v>-2.6152410786959059</v>
      </c>
      <c r="J80" s="610">
        <f t="shared" si="12"/>
        <v>0.42755623067013904</v>
      </c>
      <c r="K80" s="611">
        <f t="shared" si="12"/>
        <v>-1.8030048530604632</v>
      </c>
    </row>
    <row r="81" spans="2:11">
      <c r="B81" s="14"/>
      <c r="C81" s="14"/>
      <c r="D81" s="14"/>
      <c r="E81" s="14"/>
      <c r="F81" s="14"/>
      <c r="G81" s="14"/>
      <c r="H81" s="14"/>
      <c r="I81" s="14"/>
      <c r="J81" s="14"/>
      <c r="K81" s="14"/>
    </row>
    <row r="82" spans="2:11">
      <c r="B82" s="14" t="s">
        <v>443</v>
      </c>
      <c r="C82" s="211" t="str">
        <f>'RFPR cover'!$C$14</f>
        <v>£m 12/13</v>
      </c>
      <c r="D82" s="609">
        <f t="shared" ref="D82:K82" si="13">D$69-D54</f>
        <v>1.2734175827032939</v>
      </c>
      <c r="E82" s="610">
        <f t="shared" si="13"/>
        <v>6.2086834186919244</v>
      </c>
      <c r="F82" s="610">
        <f t="shared" si="13"/>
        <v>-5.1823775956335449</v>
      </c>
      <c r="G82" s="610">
        <f t="shared" si="13"/>
        <v>-1.3261272151091852</v>
      </c>
      <c r="H82" s="610">
        <f t="shared" si="13"/>
        <v>-3.4999252208721874</v>
      </c>
      <c r="I82" s="610">
        <f t="shared" si="13"/>
        <v>-2.3365273311122046</v>
      </c>
      <c r="J82" s="610">
        <f t="shared" si="13"/>
        <v>0.4565461180673811</v>
      </c>
      <c r="K82" s="611">
        <f t="shared" si="13"/>
        <v>-2.2754012551504785</v>
      </c>
    </row>
    <row r="84" spans="2:11">
      <c r="B84" s="14" t="s">
        <v>442</v>
      </c>
      <c r="C84" s="211" t="str">
        <f>'RFPR cover'!$C$14</f>
        <v>£m 12/13</v>
      </c>
      <c r="D84" s="609">
        <f>D80-D82</f>
        <v>-0.68220352664164352</v>
      </c>
      <c r="E84" s="610">
        <f t="shared" ref="E84:K84" si="14">E80-E82</f>
        <v>-0.36465427247604687</v>
      </c>
      <c r="F84" s="610">
        <f t="shared" si="14"/>
        <v>-0.15663475520601011</v>
      </c>
      <c r="G84" s="610">
        <f t="shared" si="14"/>
        <v>-0.16790518729002812</v>
      </c>
      <c r="H84" s="610">
        <f t="shared" si="14"/>
        <v>-0.19188393948780025</v>
      </c>
      <c r="I84" s="610">
        <f t="shared" si="14"/>
        <v>-0.27871374758370138</v>
      </c>
      <c r="J84" s="610">
        <f t="shared" si="14"/>
        <v>-2.8989887397242065E-2</v>
      </c>
      <c r="K84" s="611">
        <f t="shared" si="14"/>
        <v>0.47239640209001532</v>
      </c>
    </row>
    <row r="86" spans="2:11">
      <c r="B86" t="s">
        <v>526</v>
      </c>
      <c r="C86" s="266" t="s">
        <v>128</v>
      </c>
      <c r="D86" s="585">
        <f>-'R7 - Financing'!D86*Data!$G$20*D$40</f>
        <v>0.49378601576065406</v>
      </c>
      <c r="E86" s="585">
        <f>-'R7 - Financing'!E86*Data!$G$21*E$40</f>
        <v>-0.22292495195339151</v>
      </c>
      <c r="F86" s="585">
        <f>-'R7 - Financing'!F86*Data!$G$22*F$40</f>
        <v>-2.2698760882793469</v>
      </c>
      <c r="G86" s="585">
        <f>-'R7 - Financing'!G86*Data!$G$23*G$40</f>
        <v>-1.6281077534452282</v>
      </c>
      <c r="H86" s="585">
        <f>-'R7 - Financing'!H86*Data!$G$24*H$40</f>
        <v>-6.5067272893430408E-2</v>
      </c>
      <c r="I86" s="585">
        <f>-'R7 - Financing'!I86*Data!$G$25*I$40</f>
        <v>2.7866930323262946</v>
      </c>
      <c r="J86" s="585">
        <f>-'R7 - Financing'!J86*Data!$G$26*J$40</f>
        <v>-1.5073638802596385</v>
      </c>
      <c r="K86" s="585">
        <f>-'R7 - Financing'!K86*Data!$G$27*K$40</f>
        <v>-5.0340274891196577</v>
      </c>
    </row>
    <row r="87" spans="2:11">
      <c r="B87" t="s">
        <v>526</v>
      </c>
      <c r="C87" s="396" t="str">
        <f>'RFPR cover'!$C$14</f>
        <v>£m 12/13</v>
      </c>
      <c r="D87" s="782">
        <f>D86/D$40</f>
        <v>0.46569670553182529</v>
      </c>
      <c r="E87" s="782">
        <f t="shared" ref="E87:K87" si="15">E86/E$40</f>
        <v>-0.20583324258542168</v>
      </c>
      <c r="F87" s="782">
        <f t="shared" si="15"/>
        <v>-2.020246525745883</v>
      </c>
      <c r="G87" s="782">
        <f t="shared" si="15"/>
        <v>-1.40609253735938</v>
      </c>
      <c r="H87" s="782">
        <f t="shared" si="15"/>
        <v>-5.4776443167883805E-2</v>
      </c>
      <c r="I87" s="782">
        <f t="shared" si="15"/>
        <v>2.3178470653895107</v>
      </c>
      <c r="J87" s="782">
        <f t="shared" si="15"/>
        <v>-1.1852957577903414</v>
      </c>
      <c r="K87" s="782">
        <f t="shared" si="15"/>
        <v>-3.6550704461408303</v>
      </c>
    </row>
    <row r="88" spans="2:11">
      <c r="B88" t="s">
        <v>527</v>
      </c>
      <c r="C88" s="266" t="s">
        <v>128</v>
      </c>
      <c r="D88" s="585">
        <f>-'R7 - Financing'!D88*Data!$G$20*D$40</f>
        <v>1.2171378397198716</v>
      </c>
      <c r="E88" s="585">
        <f>-'R7 - Financing'!E88*Data!$G$21*E$40</f>
        <v>0.17200900113528803</v>
      </c>
      <c r="F88" s="585">
        <f>-'R7 - Financing'!F88*Data!$G$22*F$40</f>
        <v>-2.0938869300728546</v>
      </c>
      <c r="G88" s="585">
        <f>-'R7 - Financing'!G88*Data!$G$23*G$40</f>
        <v>-1.4336911485580774</v>
      </c>
      <c r="H88" s="585">
        <f>-'R7 - Financing'!H88*Data!$G$24*H$40</f>
        <v>0.16286582995979476</v>
      </c>
      <c r="I88" s="585">
        <f>-'R7 - Financing'!I88*Data!$G$25*I$40</f>
        <v>3.1217840182686865</v>
      </c>
      <c r="J88" s="585">
        <f>-'R7 - Financing'!J88*Data!$G$26*J$40</f>
        <v>-1.4704968714407929</v>
      </c>
      <c r="K88" s="585">
        <f>-'R7 - Financing'!K88*Data!$G$27*K$40</f>
        <v>-5.6846459953630069</v>
      </c>
    </row>
    <row r="89" spans="2:11">
      <c r="B89" t="s">
        <v>527</v>
      </c>
      <c r="C89" s="396" t="str">
        <f>'RFPR cover'!$C$14</f>
        <v>£m 12/13</v>
      </c>
      <c r="D89" s="782">
        <f t="shared" ref="D89:K89" si="16">D88/D$40</f>
        <v>1.147900232173469</v>
      </c>
      <c r="E89" s="782">
        <f t="shared" si="16"/>
        <v>0.15882102989062535</v>
      </c>
      <c r="F89" s="782">
        <f t="shared" si="16"/>
        <v>-1.8636117705398743</v>
      </c>
      <c r="G89" s="782">
        <f t="shared" si="16"/>
        <v>-1.2381873500693508</v>
      </c>
      <c r="H89" s="782">
        <f t="shared" si="16"/>
        <v>0.13710749631991517</v>
      </c>
      <c r="I89" s="782">
        <f t="shared" si="16"/>
        <v>2.5965608129732121</v>
      </c>
      <c r="J89" s="782">
        <f t="shared" si="16"/>
        <v>-1.1563058703930993</v>
      </c>
      <c r="K89" s="782">
        <f t="shared" si="16"/>
        <v>-4.1274668482308456</v>
      </c>
    </row>
    <row r="90" spans="2:11">
      <c r="B90" t="s">
        <v>530</v>
      </c>
      <c r="C90" s="396" t="str">
        <f>'RFPR cover'!$C$14</f>
        <v>£m 12/13</v>
      </c>
      <c r="D90" s="782">
        <f>D87-D89</f>
        <v>-0.68220352664164374</v>
      </c>
      <c r="E90" s="782">
        <f t="shared" ref="E90:K90" si="17">E87-E89</f>
        <v>-0.36465427247604704</v>
      </c>
      <c r="F90" s="782">
        <f t="shared" si="17"/>
        <v>-0.15663475520600878</v>
      </c>
      <c r="G90" s="782">
        <f t="shared" si="17"/>
        <v>-0.16790518729002923</v>
      </c>
      <c r="H90" s="782">
        <f t="shared" si="17"/>
        <v>-0.19188393948779897</v>
      </c>
      <c r="I90" s="782">
        <f t="shared" si="17"/>
        <v>-0.27871374758370138</v>
      </c>
      <c r="J90" s="782">
        <f t="shared" si="17"/>
        <v>-2.8989887397242065E-2</v>
      </c>
      <c r="K90" s="782">
        <f t="shared" si="17"/>
        <v>0.47239640209001532</v>
      </c>
    </row>
  </sheetData>
  <conditionalFormatting sqref="D6:K7">
    <cfRule type="expression" dxfId="47" priority="92">
      <formula>AND(D$6="Actuals",E$6="Forecast")</formula>
    </cfRule>
  </conditionalFormatting>
  <conditionalFormatting sqref="D5:K5">
    <cfRule type="expression" dxfId="46" priority="67">
      <formula>AND(D$5="Actuals",E$5="Forecast")</formula>
    </cfRule>
  </conditionalFormatting>
  <conditionalFormatting sqref="D37:F37">
    <cfRule type="expression" dxfId="45" priority="35">
      <formula>AND(D$5="Actuals",E$5="Actuals")</formula>
    </cfRule>
  </conditionalFormatting>
  <conditionalFormatting sqref="J12:K12 D19:K19 I25:K27 I15:K15 J16:K18 J24:K24 J28:K34">
    <cfRule type="expression" dxfId="44" priority="34">
      <formula>NOT(AND(D$5="Actuals"))</formula>
    </cfRule>
  </conditionalFormatting>
  <conditionalFormatting sqref="G37">
    <cfRule type="expression" dxfId="43" priority="200">
      <formula>AND(E$5="Actuals",F$5="Actuals")</formula>
    </cfRule>
  </conditionalFormatting>
  <conditionalFormatting sqref="H37">
    <cfRule type="expression" dxfId="42" priority="23">
      <formula>AND(F$5="Actuals",G$5="Actuals")</formula>
    </cfRule>
  </conditionalFormatting>
  <conditionalFormatting sqref="D12 D15:H15 D16:D18">
    <cfRule type="expression" dxfId="41" priority="22">
      <formula>NOT(AND(D$5="Actuals"))</formula>
    </cfRule>
  </conditionalFormatting>
  <conditionalFormatting sqref="D25:H27 D24">
    <cfRule type="expression" dxfId="40" priority="21">
      <formula>NOT(AND(D$5="Actuals"))</formula>
    </cfRule>
  </conditionalFormatting>
  <conditionalFormatting sqref="D34">
    <cfRule type="expression" dxfId="39" priority="19">
      <formula>NOT(AND(D$5="Actuals"))</formula>
    </cfRule>
  </conditionalFormatting>
  <conditionalFormatting sqref="E12:I12">
    <cfRule type="expression" dxfId="38" priority="18">
      <formula>NOT(AND(E$5="Actuals"))</formula>
    </cfRule>
  </conditionalFormatting>
  <conditionalFormatting sqref="E16:I18">
    <cfRule type="expression" dxfId="37" priority="17">
      <formula>NOT(AND(E$5="Actuals"))</formula>
    </cfRule>
  </conditionalFormatting>
  <conditionalFormatting sqref="E24:I24">
    <cfRule type="expression" dxfId="36" priority="16">
      <formula>NOT(AND(E$5="Actuals"))</formula>
    </cfRule>
  </conditionalFormatting>
  <conditionalFormatting sqref="D28">
    <cfRule type="expression" dxfId="35" priority="15">
      <formula>NOT(AND(D$5="Actuals"))</formula>
    </cfRule>
  </conditionalFormatting>
  <conditionalFormatting sqref="E28:H28">
    <cfRule type="expression" dxfId="34" priority="14">
      <formula>NOT(AND(E$5="Actuals"))</formula>
    </cfRule>
  </conditionalFormatting>
  <conditionalFormatting sqref="I28">
    <cfRule type="expression" dxfId="33" priority="13">
      <formula>NOT(AND(I$5="Actuals"))</formula>
    </cfRule>
  </conditionalFormatting>
  <conditionalFormatting sqref="D29">
    <cfRule type="expression" dxfId="32" priority="12">
      <formula>NOT(AND(D$5="Actuals"))</formula>
    </cfRule>
  </conditionalFormatting>
  <conditionalFormatting sqref="E29:I29">
    <cfRule type="expression" dxfId="31" priority="11">
      <formula>NOT(AND(E$5="Actuals"))</formula>
    </cfRule>
  </conditionalFormatting>
  <conditionalFormatting sqref="D30">
    <cfRule type="expression" dxfId="30" priority="10">
      <formula>NOT(AND(D$5="Actuals"))</formula>
    </cfRule>
  </conditionalFormatting>
  <conditionalFormatting sqref="E30:I30">
    <cfRule type="expression" dxfId="29" priority="9">
      <formula>NOT(AND(E$5="Actuals"))</formula>
    </cfRule>
  </conditionalFormatting>
  <conditionalFormatting sqref="D31">
    <cfRule type="expression" dxfId="28" priority="8">
      <formula>NOT(AND(D$5="Actuals"))</formula>
    </cfRule>
  </conditionalFormatting>
  <conditionalFormatting sqref="E31:I31">
    <cfRule type="expression" dxfId="27" priority="7">
      <formula>NOT(AND(E$5="Actuals"))</formula>
    </cfRule>
  </conditionalFormatting>
  <conditionalFormatting sqref="D32">
    <cfRule type="expression" dxfId="26" priority="6">
      <formula>NOT(AND(D$5="Actuals"))</formula>
    </cfRule>
  </conditionalFormatting>
  <conditionalFormatting sqref="D33">
    <cfRule type="expression" dxfId="25" priority="5">
      <formula>NOT(AND(D$5="Actuals"))</formula>
    </cfRule>
  </conditionalFormatting>
  <conditionalFormatting sqref="E34:I34">
    <cfRule type="expression" dxfId="24" priority="4">
      <formula>NOT(AND(E$5="Actuals"))</formula>
    </cfRule>
  </conditionalFormatting>
  <conditionalFormatting sqref="E32:I32">
    <cfRule type="expression" dxfId="23" priority="3">
      <formula>NOT(AND(E$5="Actuals"))</formula>
    </cfRule>
  </conditionalFormatting>
  <conditionalFormatting sqref="E33:I33">
    <cfRule type="expression" dxfId="22" priority="2">
      <formula>NOT(AND(E$5="Actuals"))</formula>
    </cfRule>
  </conditionalFormatting>
  <conditionalFormatting sqref="I37">
    <cfRule type="expression" dxfId="21" priority="1">
      <formula>AND(G$5="Actuals",H$5="Actuals")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60" zoomScaleNormal="60" workbookViewId="0">
      <pane ySplit="6" topLeftCell="A7" activePane="bottomLeft" state="frozen"/>
      <selection activeCell="D85" sqref="D85:N85"/>
      <selection pane="bottomLeft" activeCell="M20" sqref="M20"/>
    </sheetView>
  </sheetViews>
  <sheetFormatPr defaultRowHeight="12.6"/>
  <cols>
    <col min="1" max="1" width="8.36328125" customWidth="1"/>
    <col min="2" max="2" width="83.08984375" bestFit="1" customWidth="1"/>
    <col min="3" max="3" width="14.08984375" customWidth="1"/>
    <col min="4" max="11" width="11.08984375" customWidth="1"/>
    <col min="12" max="12" width="5" customWidth="1"/>
    <col min="17" max="17" width="13.08984375" customWidth="1"/>
  </cols>
  <sheetData>
    <row r="1" spans="1:18" s="31" customFormat="1" ht="21">
      <c r="A1" s="923" t="s">
        <v>260</v>
      </c>
      <c r="B1" s="934"/>
      <c r="C1" s="120"/>
      <c r="D1" s="120"/>
      <c r="E1" s="120"/>
      <c r="F1" s="120"/>
      <c r="G1" s="120"/>
      <c r="H1" s="120"/>
      <c r="I1" s="126"/>
      <c r="J1" s="126"/>
      <c r="K1" s="127"/>
      <c r="L1" s="128"/>
    </row>
    <row r="2" spans="1:18" s="31" customFormat="1" ht="21">
      <c r="A2" s="908" t="str">
        <f>'RFPR cover'!C5</f>
        <v>WPD-SWEST</v>
      </c>
      <c r="B2" s="900"/>
      <c r="C2" s="29"/>
      <c r="D2" s="29"/>
      <c r="E2" s="29"/>
      <c r="F2" s="29"/>
      <c r="G2" s="29"/>
      <c r="H2" s="29"/>
      <c r="I2" s="27"/>
      <c r="J2" s="27"/>
      <c r="K2" s="27"/>
      <c r="L2" s="123"/>
    </row>
    <row r="3" spans="1:18" s="31" customFormat="1" ht="22.8">
      <c r="A3" s="925">
        <f>'RFPR cover'!C7</f>
        <v>2022</v>
      </c>
      <c r="B3" s="917" t="str">
        <f>'R1 - RoRE'!B3</f>
        <v/>
      </c>
      <c r="C3" s="124"/>
      <c r="D3" s="124"/>
      <c r="E3" s="124"/>
      <c r="F3" s="124"/>
      <c r="G3" s="124"/>
      <c r="H3" s="124"/>
      <c r="I3" s="28"/>
      <c r="J3" s="28"/>
      <c r="K3" s="28"/>
      <c r="L3" s="125"/>
    </row>
    <row r="4" spans="1:18" s="2" customFormat="1" ht="12.75" customHeight="1"/>
    <row r="5" spans="1:18" s="2" customFormat="1">
      <c r="B5" s="3"/>
      <c r="C5" s="3"/>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Actuals</v>
      </c>
      <c r="K5" s="391" t="str">
        <f>IF(K6&lt;='RFPR cover'!$C$7,"Actuals","N/A")</f>
        <v>N/A</v>
      </c>
    </row>
    <row r="6" spans="1:18"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8" s="2" customFormat="1"/>
    <row r="8" spans="1:18">
      <c r="B8" s="14" t="s">
        <v>230</v>
      </c>
      <c r="C8" s="152" t="s">
        <v>128</v>
      </c>
      <c r="D8" s="637">
        <v>125.2</v>
      </c>
      <c r="E8" s="638">
        <v>24.4</v>
      </c>
      <c r="F8" s="638">
        <v>94.9</v>
      </c>
      <c r="G8" s="638">
        <v>38.6</v>
      </c>
      <c r="H8" s="638">
        <v>25</v>
      </c>
      <c r="I8" s="638">
        <v>0</v>
      </c>
      <c r="J8" s="638">
        <v>0</v>
      </c>
      <c r="K8" s="639"/>
    </row>
    <row r="9" spans="1:18">
      <c r="B9" s="15" t="s">
        <v>105</v>
      </c>
      <c r="C9" s="14"/>
      <c r="D9" s="747"/>
      <c r="E9" s="747"/>
      <c r="F9" s="747"/>
      <c r="G9" s="747"/>
      <c r="H9" s="747"/>
      <c r="I9" s="747"/>
      <c r="J9" s="747"/>
      <c r="K9" s="747"/>
    </row>
    <row r="10" spans="1:18">
      <c r="B10" s="430" t="s">
        <v>22</v>
      </c>
      <c r="C10" s="152" t="s">
        <v>128</v>
      </c>
      <c r="D10" s="593">
        <v>5.507261804362539</v>
      </c>
      <c r="E10" s="594">
        <v>0.97126222828598407</v>
      </c>
      <c r="F10" s="594">
        <v>5.34399111117727</v>
      </c>
      <c r="G10" s="594">
        <v>2.7648099392942198</v>
      </c>
      <c r="H10" s="594">
        <v>2.5165511353456438</v>
      </c>
      <c r="I10" s="594">
        <v>0</v>
      </c>
      <c r="J10" s="594">
        <v>0</v>
      </c>
      <c r="K10" s="604"/>
      <c r="M10" s="322"/>
    </row>
    <row r="11" spans="1:18">
      <c r="B11" s="430" t="s">
        <v>22</v>
      </c>
      <c r="C11" s="152" t="s">
        <v>128</v>
      </c>
      <c r="D11" s="595">
        <v>0</v>
      </c>
      <c r="E11" s="596">
        <v>0</v>
      </c>
      <c r="F11" s="596">
        <v>0</v>
      </c>
      <c r="G11" s="596">
        <v>0</v>
      </c>
      <c r="H11" s="596">
        <v>0</v>
      </c>
      <c r="I11" s="596">
        <v>0</v>
      </c>
      <c r="J11" s="596">
        <v>0</v>
      </c>
      <c r="K11" s="605"/>
    </row>
    <row r="12" spans="1:18">
      <c r="B12" s="430" t="s">
        <v>20</v>
      </c>
      <c r="C12" s="152" t="s">
        <v>128</v>
      </c>
      <c r="D12" s="606">
        <v>0</v>
      </c>
      <c r="E12" s="607">
        <v>0</v>
      </c>
      <c r="F12" s="607">
        <v>0</v>
      </c>
      <c r="G12" s="607">
        <v>0</v>
      </c>
      <c r="H12" s="607">
        <v>0</v>
      </c>
      <c r="I12" s="607">
        <v>0</v>
      </c>
      <c r="J12" s="607">
        <v>0</v>
      </c>
      <c r="K12" s="608"/>
      <c r="Q12" s="216"/>
    </row>
    <row r="13" spans="1:18">
      <c r="B13" s="14" t="s">
        <v>106</v>
      </c>
      <c r="C13" s="152" t="s">
        <v>128</v>
      </c>
      <c r="D13" s="738">
        <f>D8-SUM(D10:D12)</f>
        <v>119.69273819563746</v>
      </c>
      <c r="E13" s="739">
        <f t="shared" ref="E13:K13" si="1">E8-SUM(E10:E12)</f>
        <v>23.428737771714015</v>
      </c>
      <c r="F13" s="739">
        <f t="shared" si="1"/>
        <v>89.556008888822731</v>
      </c>
      <c r="G13" s="739">
        <f t="shared" si="1"/>
        <v>35.835190060705784</v>
      </c>
      <c r="H13" s="739">
        <f t="shared" si="1"/>
        <v>22.483448864654356</v>
      </c>
      <c r="I13" s="739">
        <f t="shared" ref="I13" si="2">I8-SUM(I10:I12)</f>
        <v>0</v>
      </c>
      <c r="J13" s="739">
        <f t="shared" ref="J13" si="3">J8-SUM(J10:J12)</f>
        <v>0</v>
      </c>
      <c r="K13" s="740">
        <f t="shared" si="1"/>
        <v>0</v>
      </c>
      <c r="R13" s="215"/>
    </row>
    <row r="14" spans="1:18">
      <c r="C14" s="14"/>
      <c r="Q14" s="216"/>
    </row>
    <row r="15" spans="1:18">
      <c r="B15" s="14" t="s">
        <v>502</v>
      </c>
      <c r="C15" s="152" t="s">
        <v>128</v>
      </c>
      <c r="D15" s="593">
        <v>0</v>
      </c>
      <c r="E15" s="594">
        <v>0</v>
      </c>
      <c r="F15" s="594">
        <v>0</v>
      </c>
      <c r="G15" s="594">
        <v>0</v>
      </c>
      <c r="H15" s="594">
        <v>0</v>
      </c>
      <c r="I15" s="594">
        <v>0</v>
      </c>
      <c r="J15" s="594">
        <v>0</v>
      </c>
      <c r="K15" s="604"/>
    </row>
  </sheetData>
  <conditionalFormatting sqref="D6:K6">
    <cfRule type="expression" dxfId="20" priority="14">
      <formula>AND(D$5="Actuals",E$5="N/A")</formula>
    </cfRule>
  </conditionalFormatting>
  <conditionalFormatting sqref="D5:K5">
    <cfRule type="expression" dxfId="19" priority="7">
      <formula>AND(D$5="Actuals",E$5="N/A")</formula>
    </cfRule>
  </conditionalFormatting>
  <conditionalFormatting sqref="D8:H8 D5:K6 D10:H13 K10:K13 K8">
    <cfRule type="expression" dxfId="18" priority="6">
      <formula>D$5="N/A"</formula>
    </cfRule>
  </conditionalFormatting>
  <conditionalFormatting sqref="D15:H15 K15">
    <cfRule type="expression" dxfId="17" priority="5">
      <formula>D$5="N/A"</formula>
    </cfRule>
  </conditionalFormatting>
  <conditionalFormatting sqref="J8 J10:J13">
    <cfRule type="expression" dxfId="16" priority="4">
      <formula>J$5="N/A"</formula>
    </cfRule>
  </conditionalFormatting>
  <conditionalFormatting sqref="J15">
    <cfRule type="expression" dxfId="15" priority="3">
      <formula>J$5="N/A"</formula>
    </cfRule>
  </conditionalFormatting>
  <conditionalFormatting sqref="I8 I10:I13">
    <cfRule type="expression" dxfId="14" priority="2">
      <formula>I$5="N/A"</formula>
    </cfRule>
  </conditionalFormatting>
  <conditionalFormatting sqref="I15">
    <cfRule type="expression" dxfId="13" priority="1">
      <formula>I$5="N/A"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70" zoomScaleNormal="70" workbookViewId="0">
      <pane ySplit="6" topLeftCell="A7" activePane="bottomLeft" state="frozen"/>
      <selection activeCell="D85" sqref="D85:N85"/>
      <selection pane="bottomLeft" activeCell="D26" sqref="D26"/>
    </sheetView>
  </sheetViews>
  <sheetFormatPr defaultRowHeight="12.6"/>
  <cols>
    <col min="1" max="1" width="8.36328125" customWidth="1"/>
    <col min="2" max="2" width="82" customWidth="1"/>
    <col min="3" max="3" width="14.08984375" customWidth="1"/>
    <col min="4" max="11" width="11.08984375" customWidth="1"/>
    <col min="12" max="12" width="5" customWidth="1"/>
  </cols>
  <sheetData>
    <row r="1" spans="1:12" s="31" customFormat="1" ht="21">
      <c r="A1" s="919" t="s">
        <v>259</v>
      </c>
      <c r="B1" s="915"/>
      <c r="C1" s="256"/>
      <c r="D1" s="256"/>
      <c r="E1" s="256"/>
      <c r="F1" s="256"/>
      <c r="G1" s="256"/>
      <c r="H1" s="256"/>
      <c r="I1" s="257"/>
      <c r="J1" s="257"/>
      <c r="K1" s="258"/>
      <c r="L1" s="259"/>
    </row>
    <row r="2" spans="1:12" s="31" customFormat="1" ht="21">
      <c r="A2" s="908" t="str">
        <f>'RFPR cover'!C5</f>
        <v>WPD-SWEST</v>
      </c>
      <c r="B2" s="900"/>
      <c r="C2" s="29"/>
      <c r="D2" s="29"/>
      <c r="E2" s="29"/>
      <c r="F2" s="29"/>
      <c r="G2" s="29"/>
      <c r="H2" s="29"/>
      <c r="I2" s="27"/>
      <c r="J2" s="27"/>
      <c r="K2" s="27"/>
      <c r="L2" s="123"/>
    </row>
    <row r="3" spans="1:12" s="31" customFormat="1" ht="21">
      <c r="A3" s="911">
        <f>'RFPR cover'!C7</f>
        <v>2022</v>
      </c>
      <c r="B3" s="918"/>
      <c r="C3" s="260"/>
      <c r="D3" s="260"/>
      <c r="E3" s="260"/>
      <c r="F3" s="260"/>
      <c r="G3" s="260"/>
      <c r="H3" s="260"/>
      <c r="I3" s="255"/>
      <c r="J3" s="255"/>
      <c r="K3" s="255"/>
      <c r="L3" s="261"/>
    </row>
    <row r="4" spans="1:12" s="2" customFormat="1" ht="12.75" customHeight="1">
      <c r="A4" s="35"/>
      <c r="B4" s="269"/>
      <c r="C4" s="31"/>
      <c r="D4" s="270"/>
      <c r="E4" s="270"/>
      <c r="F4" s="35"/>
      <c r="G4" s="35"/>
      <c r="H4" s="35"/>
      <c r="I4" s="35"/>
      <c r="J4" s="35"/>
      <c r="K4" s="35"/>
    </row>
    <row r="5" spans="1:12" s="2" customFormat="1" ht="12.75" customHeight="1">
      <c r="A5" s="35"/>
      <c r="B5" s="269"/>
      <c r="C5" s="3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row>
    <row r="6" spans="1:12" s="2" customFormat="1">
      <c r="A6" s="35"/>
      <c r="B6" s="35"/>
      <c r="C6" s="3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A7" s="35"/>
      <c r="B7" s="35"/>
      <c r="C7" s="31"/>
      <c r="D7" s="31"/>
      <c r="E7" s="31"/>
      <c r="F7" s="31"/>
      <c r="G7" s="31"/>
      <c r="H7" s="31"/>
      <c r="I7" s="31"/>
      <c r="J7" s="31"/>
      <c r="K7" s="31"/>
      <c r="L7" s="31"/>
    </row>
    <row r="8" spans="1:12">
      <c r="B8" s="14" t="s">
        <v>391</v>
      </c>
      <c r="C8" s="152" t="s">
        <v>128</v>
      </c>
      <c r="D8" s="748">
        <v>51.763798323994465</v>
      </c>
      <c r="E8" s="749">
        <v>105.85862570239269</v>
      </c>
      <c r="F8" s="749">
        <v>0</v>
      </c>
      <c r="G8" s="749">
        <v>54.344982891809458</v>
      </c>
      <c r="H8" s="749">
        <v>53.633380647422761</v>
      </c>
      <c r="I8" s="749">
        <v>49.96524279268715</v>
      </c>
      <c r="J8" s="749">
        <v>11.242179628354611</v>
      </c>
      <c r="K8" s="750"/>
    </row>
    <row r="9" spans="1:12">
      <c r="B9" s="16" t="s">
        <v>24</v>
      </c>
      <c r="D9" s="747"/>
      <c r="E9" s="747"/>
      <c r="F9" s="747"/>
      <c r="G9" s="747"/>
      <c r="H9" s="747"/>
      <c r="I9" s="747"/>
      <c r="J9" s="747"/>
      <c r="K9" s="747"/>
    </row>
    <row r="10" spans="1:12">
      <c r="B10" t="s">
        <v>23</v>
      </c>
      <c r="C10" s="152" t="s">
        <v>128</v>
      </c>
      <c r="D10" s="676">
        <v>41.00773470345063</v>
      </c>
      <c r="E10" s="677">
        <v>83.862165828947809</v>
      </c>
      <c r="F10" s="677">
        <v>0</v>
      </c>
      <c r="G10" s="677">
        <v>42.928145743424871</v>
      </c>
      <c r="H10" s="677">
        <v>42.366037424828896</v>
      </c>
      <c r="I10" s="677">
        <v>43.068628047465069</v>
      </c>
      <c r="J10" s="677">
        <v>9.6904413106796401</v>
      </c>
      <c r="K10" s="678"/>
    </row>
    <row r="11" spans="1:12">
      <c r="B11" t="s">
        <v>25</v>
      </c>
      <c r="C11" s="152" t="s">
        <v>128</v>
      </c>
      <c r="D11" s="751">
        <v>1.1916971284990834</v>
      </c>
      <c r="E11" s="752">
        <v>2.4370588009559624</v>
      </c>
      <c r="F11" s="752">
        <v>0</v>
      </c>
      <c r="G11" s="752">
        <v>-8.8552002484216935E-2</v>
      </c>
      <c r="H11" s="752">
        <v>-8.7392487836136998E-2</v>
      </c>
      <c r="I11" s="752">
        <v>-3.1683727714216339</v>
      </c>
      <c r="J11" s="752">
        <v>-0.71288387356986749</v>
      </c>
      <c r="K11" s="753"/>
    </row>
    <row r="12" spans="1:12">
      <c r="D12" s="747"/>
      <c r="E12" s="747"/>
      <c r="F12" s="747"/>
      <c r="G12" s="747"/>
      <c r="H12" s="747"/>
      <c r="I12" s="747"/>
      <c r="J12" s="747"/>
      <c r="K12" s="747"/>
    </row>
    <row r="13" spans="1:12">
      <c r="D13" s="747"/>
      <c r="E13" s="747"/>
      <c r="F13" s="747"/>
      <c r="G13" s="747"/>
      <c r="H13" s="747"/>
      <c r="I13" s="747"/>
      <c r="J13" s="747"/>
      <c r="K13" s="747"/>
    </row>
    <row r="14" spans="1:12">
      <c r="B14" t="s">
        <v>23</v>
      </c>
      <c r="C14" s="210" t="str">
        <f>'RFPR cover'!$C$14</f>
        <v>£m 12/13</v>
      </c>
      <c r="D14" s="17">
        <f>D10/Data!C$34</f>
        <v>38.674985404966918</v>
      </c>
      <c r="E14" s="17">
        <f>E10/Data!D$34</f>
        <v>77.432433523267889</v>
      </c>
      <c r="F14" s="17">
        <f>F10/Data!E$34</f>
        <v>0</v>
      </c>
      <c r="G14" s="17">
        <f>G10/Data!F$34</f>
        <v>37.074293912535055</v>
      </c>
      <c r="H14" s="17">
        <f>H10/Data!G$34</f>
        <v>35.665561780196981</v>
      </c>
      <c r="I14" s="17">
        <f>I10/Data!H$34</f>
        <v>35.822565303088098</v>
      </c>
      <c r="J14" s="17">
        <f>J10/Data!I$34</f>
        <v>7.6199510463833198</v>
      </c>
      <c r="K14" s="17">
        <f>K10/Data!J$34</f>
        <v>0</v>
      </c>
    </row>
    <row r="15" spans="1:12">
      <c r="D15" s="747"/>
      <c r="E15" s="747"/>
      <c r="F15" s="747"/>
      <c r="G15" s="747"/>
      <c r="H15" s="747"/>
      <c r="I15" s="747"/>
      <c r="J15" s="747"/>
      <c r="K15" s="747"/>
    </row>
    <row r="16" spans="1:12">
      <c r="D16" s="747"/>
      <c r="E16" s="747"/>
      <c r="F16" s="747"/>
      <c r="G16" s="747"/>
      <c r="H16" s="747"/>
      <c r="I16" s="747"/>
      <c r="J16" s="747"/>
      <c r="K16" s="747"/>
    </row>
    <row r="17" spans="2:11" s="2" customFormat="1">
      <c r="B17" s="14" t="s">
        <v>313</v>
      </c>
      <c r="C17" s="210" t="str">
        <f>'RFPR cover'!$C$14</f>
        <v>£m 12/13</v>
      </c>
      <c r="D17" s="754">
        <v>38.102678465092197</v>
      </c>
      <c r="E17" s="754">
        <v>38.102678465092197</v>
      </c>
      <c r="F17" s="754">
        <v>38.102678465092197</v>
      </c>
      <c r="G17" s="754">
        <v>38.096387397332229</v>
      </c>
      <c r="H17" s="754">
        <v>38.096387397332229</v>
      </c>
      <c r="I17" s="754">
        <v>38.096387397332229</v>
      </c>
      <c r="J17" s="754">
        <v>24.20567663744292</v>
      </c>
      <c r="K17" s="754">
        <v>24.20567663744292</v>
      </c>
    </row>
    <row r="18" spans="2:11" s="2" customFormat="1">
      <c r="B18" s="200" t="s">
        <v>314</v>
      </c>
      <c r="C18" s="210" t="str">
        <f>'RFPR cover'!$C$14</f>
        <v>£m 12/13</v>
      </c>
      <c r="D18" s="754">
        <v>1.7436112179257888</v>
      </c>
      <c r="E18" s="754">
        <v>1.7436112179257888</v>
      </c>
      <c r="F18" s="754">
        <v>1.7436112179257888</v>
      </c>
      <c r="G18" s="754">
        <v>1.73732015016582</v>
      </c>
      <c r="H18" s="754">
        <v>1.73732015016582</v>
      </c>
      <c r="I18" s="754">
        <v>1.73732015016582</v>
      </c>
      <c r="J18" s="754">
        <v>1.73732015016582</v>
      </c>
      <c r="K18" s="754">
        <v>7.6973201501658197</v>
      </c>
    </row>
    <row r="19" spans="2:11" s="2" customFormat="1">
      <c r="B19" s="14" t="s">
        <v>315</v>
      </c>
      <c r="C19" s="210" t="str">
        <f>'RFPR cover'!$C$14</f>
        <v>£m 12/13</v>
      </c>
      <c r="D19" s="17">
        <f>D17-D18</f>
        <v>36.359067247166408</v>
      </c>
      <c r="E19" s="17">
        <f t="shared" ref="E19:K19" si="1">E17-E18</f>
        <v>36.359067247166408</v>
      </c>
      <c r="F19" s="17">
        <f t="shared" si="1"/>
        <v>36.359067247166408</v>
      </c>
      <c r="G19" s="17">
        <f t="shared" si="1"/>
        <v>36.359067247166408</v>
      </c>
      <c r="H19" s="17">
        <f t="shared" si="1"/>
        <v>36.359067247166408</v>
      </c>
      <c r="I19" s="17">
        <f t="shared" si="1"/>
        <v>36.359067247166408</v>
      </c>
      <c r="J19" s="17">
        <f t="shared" si="1"/>
        <v>22.468356487277099</v>
      </c>
      <c r="K19" s="17">
        <f t="shared" si="1"/>
        <v>16.508356487277101</v>
      </c>
    </row>
    <row r="20" spans="2:11" s="2" customFormat="1">
      <c r="B20" s="14"/>
      <c r="C20" s="14"/>
      <c r="D20" s="14"/>
      <c r="E20" s="14"/>
      <c r="F20" s="14"/>
      <c r="G20" s="14"/>
      <c r="H20" s="14"/>
      <c r="I20" s="14"/>
      <c r="J20" s="14"/>
      <c r="K20" s="14"/>
    </row>
    <row r="21" spans="2:11" s="2" customFormat="1">
      <c r="B21" s="14"/>
      <c r="C21" s="14"/>
      <c r="D21" s="1030" t="s">
        <v>118</v>
      </c>
      <c r="E21" s="14"/>
      <c r="F21" s="14"/>
      <c r="G21" s="14"/>
      <c r="H21" s="14"/>
      <c r="I21" s="14"/>
      <c r="J21" s="14"/>
      <c r="K21" s="14"/>
    </row>
    <row r="22" spans="2:11" s="2" customFormat="1" ht="12.75" customHeight="1">
      <c r="B22" s="14"/>
      <c r="C22" s="14"/>
      <c r="D22" s="1031"/>
      <c r="E22" s="14"/>
      <c r="F22" s="14"/>
      <c r="G22" s="14"/>
      <c r="H22" s="14"/>
      <c r="I22" s="14"/>
      <c r="J22" s="14"/>
      <c r="K22" s="14"/>
    </row>
    <row r="23" spans="2:11">
      <c r="C23" s="14"/>
      <c r="D23" s="1032"/>
      <c r="E23" s="14"/>
    </row>
    <row r="24" spans="2:11">
      <c r="B24" s="14" t="s">
        <v>117</v>
      </c>
      <c r="C24" s="14"/>
      <c r="D24" s="945">
        <v>43555</v>
      </c>
    </row>
    <row r="25" spans="2:11">
      <c r="B25" s="14"/>
      <c r="C25" s="14"/>
      <c r="D25" s="40"/>
      <c r="E25" s="41"/>
      <c r="F25" s="41"/>
    </row>
    <row r="26" spans="2:11">
      <c r="B26" s="200" t="s">
        <v>312</v>
      </c>
      <c r="C26" s="14"/>
      <c r="D26" s="983" t="s">
        <v>643</v>
      </c>
      <c r="E26" s="41"/>
      <c r="F26" s="41"/>
    </row>
    <row r="27" spans="2:11">
      <c r="B27" s="200"/>
      <c r="C27" s="14"/>
      <c r="D27" s="40"/>
      <c r="E27" s="41"/>
      <c r="F27" s="41"/>
    </row>
    <row r="28" spans="2:11">
      <c r="B28" s="14"/>
      <c r="D28" s="362" t="s">
        <v>282</v>
      </c>
      <c r="E28" s="41"/>
      <c r="F28" s="41"/>
    </row>
    <row r="29" spans="2:11">
      <c r="B29" t="s">
        <v>26</v>
      </c>
      <c r="D29" s="946">
        <v>389.98603000000003</v>
      </c>
    </row>
    <row r="30" spans="2:11">
      <c r="B30" t="s">
        <v>27</v>
      </c>
      <c r="D30" s="946">
        <v>2304.3139700000002</v>
      </c>
    </row>
    <row r="31" spans="2:11">
      <c r="D31" s="747"/>
    </row>
    <row r="32" spans="2:11">
      <c r="B32" t="s">
        <v>28</v>
      </c>
      <c r="D32" s="946">
        <v>410.80000000000007</v>
      </c>
    </row>
    <row r="33" spans="2:4">
      <c r="B33" t="s">
        <v>29</v>
      </c>
      <c r="D33" s="946">
        <v>2011.8000000000002</v>
      </c>
    </row>
    <row r="34" spans="2:4">
      <c r="D34" s="747"/>
    </row>
    <row r="35" spans="2:4">
      <c r="B35" s="43" t="s">
        <v>31</v>
      </c>
      <c r="D35" s="17">
        <f>D29-D32</f>
        <v>-20.81397000000004</v>
      </c>
    </row>
    <row r="36" spans="2:4">
      <c r="B36" s="43" t="s">
        <v>30</v>
      </c>
      <c r="D36" s="17">
        <f>D30-D33</f>
        <v>292.51396999999997</v>
      </c>
    </row>
    <row r="37" spans="2:4">
      <c r="D37" s="747"/>
    </row>
    <row r="38" spans="2:4">
      <c r="B38" t="s">
        <v>32</v>
      </c>
      <c r="D38" s="946">
        <v>182.41686200340436</v>
      </c>
    </row>
    <row r="39" spans="2:4">
      <c r="B39" t="s">
        <v>33</v>
      </c>
      <c r="D39" s="946">
        <v>-12.722406168740672</v>
      </c>
    </row>
  </sheetData>
  <mergeCells count="1">
    <mergeCell ref="D21:D23"/>
  </mergeCells>
  <conditionalFormatting sqref="D6:J6">
    <cfRule type="expression" dxfId="12" priority="22">
      <formula>AND(D$4="Actuals",E$4="Forecast")</formula>
    </cfRule>
  </conditionalFormatting>
  <conditionalFormatting sqref="D11:K11">
    <cfRule type="expression" dxfId="11" priority="16">
      <formula>D$5="Forecast"</formula>
    </cfRule>
    <cfRule type="expression" dxfId="10" priority="17">
      <formula>D$5="Actuals"</formula>
    </cfRule>
  </conditionalFormatting>
  <conditionalFormatting sqref="D8:K8">
    <cfRule type="expression" dxfId="9" priority="20">
      <formula>D$5="Forecast"</formula>
    </cfRule>
    <cfRule type="expression" dxfId="8" priority="21">
      <formula>D$5="Actuals"</formula>
    </cfRule>
  </conditionalFormatting>
  <conditionalFormatting sqref="D10:K10">
    <cfRule type="expression" dxfId="7" priority="18">
      <formula>D$5="Forecast"</formula>
    </cfRule>
    <cfRule type="expression" dxfId="6" priority="19">
      <formula>D$5="Actuals"</formula>
    </cfRule>
  </conditionalFormatting>
  <conditionalFormatting sqref="D5:K6">
    <cfRule type="expression" dxfId="5" priority="15">
      <formula>AND(D$5="Actuals",E$5="Forecast")</formula>
    </cfRule>
  </conditionalFormatting>
  <conditionalFormatting sqref="D21">
    <cfRule type="expression" dxfId="4" priority="12">
      <formula>AND(E$4="Actuals",F$4="Forecast")</formula>
    </cfRule>
  </conditionalFormatting>
  <conditionalFormatting sqref="K6">
    <cfRule type="expression" dxfId="3" priority="118">
      <formula>AND(K$4="Actuals",#REF!="Forecast")</formula>
    </cfRule>
  </conditionalFormatting>
  <conditionalFormatting sqref="K5">
    <cfRule type="expression" dxfId="2" priority="120">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60" zoomScaleNormal="60" workbookViewId="0">
      <pane ySplit="6" topLeftCell="A7" activePane="bottomLeft" state="frozen"/>
      <selection activeCell="D85" sqref="D85:N85"/>
      <selection pane="bottomLeft" activeCell="J19" sqref="J19"/>
    </sheetView>
  </sheetViews>
  <sheetFormatPr defaultRowHeight="12.6"/>
  <cols>
    <col min="1" max="1" width="8.36328125" customWidth="1"/>
    <col min="2" max="2" width="70.7265625" customWidth="1"/>
    <col min="3" max="3" width="14.08984375" customWidth="1"/>
    <col min="4" max="11" width="11.08984375" customWidth="1"/>
    <col min="12" max="12" width="5" customWidth="1"/>
  </cols>
  <sheetData>
    <row r="1" spans="1:19" s="31" customFormat="1" ht="21">
      <c r="A1" s="905" t="s">
        <v>258</v>
      </c>
      <c r="B1" s="915"/>
      <c r="C1" s="256"/>
      <c r="D1" s="256"/>
      <c r="E1" s="256"/>
      <c r="F1" s="256"/>
      <c r="G1" s="256"/>
      <c r="H1" s="256"/>
      <c r="I1" s="257"/>
      <c r="J1" s="257"/>
      <c r="K1" s="258"/>
      <c r="L1" s="363"/>
      <c r="M1" s="33"/>
      <c r="N1" s="33"/>
      <c r="O1" s="32" t="s">
        <v>84</v>
      </c>
      <c r="P1" s="33"/>
      <c r="Q1" s="33"/>
      <c r="R1" s="33"/>
      <c r="S1" s="33"/>
    </row>
    <row r="2" spans="1:19" s="31" customFormat="1" ht="21">
      <c r="A2" s="908" t="str">
        <f>'RFPR cover'!C5</f>
        <v>WPD-SWEST</v>
      </c>
      <c r="B2" s="900"/>
      <c r="C2" s="29"/>
      <c r="D2" s="29"/>
      <c r="E2" s="29"/>
      <c r="F2" s="29"/>
      <c r="G2" s="29"/>
      <c r="H2" s="29"/>
      <c r="I2" s="27"/>
      <c r="J2" s="27"/>
      <c r="K2" s="27"/>
      <c r="L2" s="123"/>
      <c r="M2" s="33"/>
      <c r="N2" s="33"/>
      <c r="O2" s="32" t="s">
        <v>84</v>
      </c>
      <c r="P2" s="33"/>
      <c r="Q2" s="33"/>
      <c r="R2" s="33"/>
      <c r="S2" s="33"/>
    </row>
    <row r="3" spans="1:19" s="31" customFormat="1" ht="21">
      <c r="A3" s="911">
        <f>'RFPR cover'!C7</f>
        <v>2022</v>
      </c>
      <c r="B3" s="918"/>
      <c r="C3" s="260"/>
      <c r="D3" s="260"/>
      <c r="E3" s="260"/>
      <c r="F3" s="260"/>
      <c r="G3" s="260"/>
      <c r="H3" s="260"/>
      <c r="I3" s="255"/>
      <c r="J3" s="255"/>
      <c r="K3" s="255"/>
      <c r="L3" s="261"/>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c r="M5" s="33"/>
      <c r="N5" s="33"/>
      <c r="O5" s="32" t="s">
        <v>84</v>
      </c>
      <c r="P5" s="33"/>
      <c r="Q5" s="33"/>
      <c r="R5" s="33"/>
      <c r="S5" s="33"/>
    </row>
    <row r="6" spans="1:19" s="2" customFormat="1" ht="19.8">
      <c r="C6" s="14"/>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M6" s="33"/>
    </row>
    <row r="7" spans="1:19">
      <c r="D7" s="758"/>
      <c r="E7" s="758"/>
      <c r="F7" s="758"/>
      <c r="G7" s="758"/>
      <c r="H7" s="758"/>
      <c r="I7" s="758"/>
      <c r="J7" s="758"/>
      <c r="K7" s="758"/>
    </row>
    <row r="8" spans="1:19">
      <c r="B8" s="51" t="s">
        <v>465</v>
      </c>
      <c r="C8" s="210" t="str">
        <f>'RFPR cover'!$C$14</f>
        <v>£m 12/13</v>
      </c>
      <c r="D8" s="755">
        <f>(D16+D21)/Data!C34</f>
        <v>2.3238338993111897E-3</v>
      </c>
      <c r="E8" s="755">
        <f>(E16+E21)/Data!D34</f>
        <v>1.6841534838787566E-3</v>
      </c>
      <c r="F8" s="755">
        <f>(F16+F21)/Data!E34</f>
        <v>2.8224028629577859E-3</v>
      </c>
      <c r="G8" s="755">
        <f>(G16+G21)/Data!F34</f>
        <v>1.5949630437545035E-3</v>
      </c>
      <c r="H8" s="755">
        <f>(H16+H21)/Data!G34</f>
        <v>3.1980782457456253E-3</v>
      </c>
      <c r="I8" s="755">
        <f>(I16+I21)/Data!H34</f>
        <v>3.5404085816899923E-3</v>
      </c>
      <c r="J8" s="755">
        <f>(J16+J21)/Data!I34</f>
        <v>3.1137513038030518</v>
      </c>
      <c r="K8" s="755">
        <f>(K16+K21)/Data!J34</f>
        <v>9.9574002709622439E-2</v>
      </c>
    </row>
    <row r="9" spans="1:19">
      <c r="D9" s="758"/>
      <c r="E9" s="758"/>
      <c r="F9" s="758"/>
      <c r="G9" s="758"/>
      <c r="H9" s="758"/>
      <c r="I9" s="758"/>
      <c r="J9" s="758"/>
      <c r="K9" s="758"/>
    </row>
    <row r="10" spans="1:19">
      <c r="B10" s="14" t="s">
        <v>449</v>
      </c>
      <c r="D10" s="758"/>
      <c r="E10" s="758"/>
      <c r="F10" s="758"/>
      <c r="G10" s="758"/>
      <c r="H10" s="758"/>
      <c r="I10" s="758"/>
      <c r="J10" s="758"/>
      <c r="K10" s="758"/>
    </row>
    <row r="11" spans="1:19">
      <c r="B11" s="44" t="s">
        <v>637</v>
      </c>
      <c r="C11" s="152" t="s">
        <v>128</v>
      </c>
      <c r="D11" s="637">
        <v>0</v>
      </c>
      <c r="E11" s="638">
        <v>0</v>
      </c>
      <c r="F11" s="638">
        <v>0</v>
      </c>
      <c r="G11" s="638">
        <v>0</v>
      </c>
      <c r="H11" s="638">
        <v>0</v>
      </c>
      <c r="I11" s="638">
        <v>0</v>
      </c>
      <c r="J11" s="638">
        <f>14.9/4</f>
        <v>3.7250000000000001</v>
      </c>
      <c r="K11" s="639">
        <v>0</v>
      </c>
    </row>
    <row r="12" spans="1:19">
      <c r="B12" s="44" t="s">
        <v>36</v>
      </c>
      <c r="C12" s="152" t="s">
        <v>128</v>
      </c>
      <c r="D12" s="637">
        <v>0</v>
      </c>
      <c r="E12" s="638">
        <v>0</v>
      </c>
      <c r="F12" s="638">
        <v>0</v>
      </c>
      <c r="G12" s="638">
        <v>0</v>
      </c>
      <c r="H12" s="638">
        <v>0</v>
      </c>
      <c r="I12" s="638">
        <v>0</v>
      </c>
      <c r="J12" s="638">
        <v>0</v>
      </c>
      <c r="K12" s="639">
        <v>0</v>
      </c>
    </row>
    <row r="13" spans="1:19">
      <c r="B13" s="44" t="s">
        <v>20</v>
      </c>
      <c r="C13" s="152" t="s">
        <v>128</v>
      </c>
      <c r="D13" s="637">
        <v>0</v>
      </c>
      <c r="E13" s="638">
        <v>0</v>
      </c>
      <c r="F13" s="638">
        <v>0</v>
      </c>
      <c r="G13" s="638">
        <v>0</v>
      </c>
      <c r="H13" s="638">
        <v>0</v>
      </c>
      <c r="I13" s="638">
        <v>0</v>
      </c>
      <c r="J13" s="638">
        <v>0</v>
      </c>
      <c r="K13" s="639">
        <v>0</v>
      </c>
    </row>
    <row r="14" spans="1:19">
      <c r="B14" s="14" t="s">
        <v>462</v>
      </c>
      <c r="C14" s="152" t="s">
        <v>128</v>
      </c>
      <c r="D14" s="755">
        <f>SUM(D11:D13)</f>
        <v>0</v>
      </c>
      <c r="E14" s="756">
        <f t="shared" ref="E14:H14" si="1">SUM(E11:E13)</f>
        <v>0</v>
      </c>
      <c r="F14" s="756">
        <f t="shared" si="1"/>
        <v>0</v>
      </c>
      <c r="G14" s="756">
        <f t="shared" si="1"/>
        <v>0</v>
      </c>
      <c r="H14" s="756">
        <f t="shared" si="1"/>
        <v>0</v>
      </c>
      <c r="I14" s="756">
        <f t="shared" ref="I14:K14" si="2">SUM(I11:I13)</f>
        <v>0</v>
      </c>
      <c r="J14" s="756">
        <f t="shared" si="2"/>
        <v>3.7250000000000001</v>
      </c>
      <c r="K14" s="757">
        <f t="shared" si="2"/>
        <v>0</v>
      </c>
    </row>
    <row r="15" spans="1:19">
      <c r="B15" s="35" t="s">
        <v>456</v>
      </c>
      <c r="C15" s="152" t="s">
        <v>128</v>
      </c>
      <c r="D15" s="637">
        <v>0</v>
      </c>
      <c r="E15" s="638">
        <v>0</v>
      </c>
      <c r="F15" s="638">
        <v>0</v>
      </c>
      <c r="G15" s="638">
        <v>0</v>
      </c>
      <c r="H15" s="638">
        <v>0</v>
      </c>
      <c r="I15" s="638">
        <v>0</v>
      </c>
      <c r="J15" s="638">
        <f>+J14*Data!$G$26</f>
        <v>0.70774999999999999</v>
      </c>
      <c r="K15" s="639">
        <f>+K14*Data!$G$27</f>
        <v>0</v>
      </c>
    </row>
    <row r="16" spans="1:19">
      <c r="B16" s="51" t="s">
        <v>463</v>
      </c>
      <c r="C16" s="152" t="s">
        <v>128</v>
      </c>
      <c r="D16" s="755">
        <f>D14-D15</f>
        <v>0</v>
      </c>
      <c r="E16" s="755">
        <f t="shared" ref="E16:K16" si="3">E14-E15</f>
        <v>0</v>
      </c>
      <c r="F16" s="755">
        <f t="shared" si="3"/>
        <v>0</v>
      </c>
      <c r="G16" s="755">
        <f t="shared" si="3"/>
        <v>0</v>
      </c>
      <c r="H16" s="755">
        <f t="shared" si="3"/>
        <v>0</v>
      </c>
      <c r="I16" s="755">
        <f t="shared" si="3"/>
        <v>0</v>
      </c>
      <c r="J16" s="755">
        <f t="shared" si="3"/>
        <v>3.0172500000000002</v>
      </c>
      <c r="K16" s="755">
        <f t="shared" si="3"/>
        <v>0</v>
      </c>
    </row>
    <row r="18" spans="2:13">
      <c r="B18" s="14" t="s">
        <v>460</v>
      </c>
      <c r="D18" s="758"/>
      <c r="E18" s="758"/>
      <c r="F18" s="758"/>
      <c r="G18" s="758"/>
      <c r="H18" s="758"/>
      <c r="I18" s="758"/>
      <c r="J18" s="758"/>
      <c r="K18" s="758"/>
    </row>
    <row r="19" spans="2:13">
      <c r="B19" s="840" t="s">
        <v>461</v>
      </c>
      <c r="C19" s="152" t="s">
        <v>128</v>
      </c>
      <c r="D19" s="637">
        <v>3.0799999999999994E-3</v>
      </c>
      <c r="E19" s="638">
        <v>2.2799999999999973E-3</v>
      </c>
      <c r="F19" s="638">
        <v>3.9149999999999949E-3</v>
      </c>
      <c r="G19" s="638">
        <v>2.2800000000000042E-3</v>
      </c>
      <c r="H19" s="638">
        <v>4.6899999999999997E-3</v>
      </c>
      <c r="I19" s="638">
        <v>5.2550000000000001E-3</v>
      </c>
      <c r="J19" s="638">
        <v>1.1636649999999999</v>
      </c>
      <c r="K19" s="639">
        <f>AVERAGE(D19:J19)</f>
        <v>0.16930928571428572</v>
      </c>
      <c r="M19" s="322"/>
    </row>
    <row r="20" spans="2:13">
      <c r="B20" s="35" t="s">
        <v>456</v>
      </c>
      <c r="C20" s="152" t="s">
        <v>128</v>
      </c>
      <c r="D20" s="637">
        <v>6.159999999999999E-4</v>
      </c>
      <c r="E20" s="638">
        <v>4.5599999999999948E-4</v>
      </c>
      <c r="F20" s="638">
        <v>7.4384999999999903E-4</v>
      </c>
      <c r="G20" s="638">
        <v>4.3320000000000083E-4</v>
      </c>
      <c r="H20" s="638">
        <v>8.9109999999999992E-4</v>
      </c>
      <c r="I20" s="638">
        <f>+I19*Data!$G$25</f>
        <v>9.9845000000000012E-4</v>
      </c>
      <c r="J20" s="638">
        <f>+J19*Data!$G$26</f>
        <v>0.22109635</v>
      </c>
      <c r="K20" s="638">
        <f>+K19*Data!$G$27</f>
        <v>3.2168764285714288E-2</v>
      </c>
    </row>
    <row r="21" spans="2:13">
      <c r="B21" s="51" t="s">
        <v>464</v>
      </c>
      <c r="C21" s="152" t="s">
        <v>128</v>
      </c>
      <c r="D21" s="755">
        <f>D19-D20</f>
        <v>2.4639999999999996E-3</v>
      </c>
      <c r="E21" s="755">
        <f t="shared" ref="E21:K21" si="4">E19-E20</f>
        <v>1.8239999999999979E-3</v>
      </c>
      <c r="F21" s="755">
        <f t="shared" si="4"/>
        <v>3.1711499999999958E-3</v>
      </c>
      <c r="G21" s="755">
        <f t="shared" si="4"/>
        <v>1.8468000000000035E-3</v>
      </c>
      <c r="H21" s="755">
        <f t="shared" si="4"/>
        <v>3.7989E-3</v>
      </c>
      <c r="I21" s="755">
        <f t="shared" si="4"/>
        <v>4.2565499999999996E-3</v>
      </c>
      <c r="J21" s="755">
        <f t="shared" si="4"/>
        <v>0.9425686499999999</v>
      </c>
      <c r="K21" s="755">
        <f t="shared" si="4"/>
        <v>0.13714052142857142</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60" zoomScaleNormal="60" workbookViewId="0">
      <pane ySplit="4" topLeftCell="A134" activePane="bottomLeft" state="frozen"/>
      <selection activeCell="D85" sqref="D85:N85"/>
      <selection pane="bottomLeft" activeCell="S51" sqref="S51"/>
    </sheetView>
  </sheetViews>
  <sheetFormatPr defaultRowHeight="12.6"/>
  <cols>
    <col min="1" max="1" width="8.36328125" customWidth="1"/>
    <col min="2" max="2" width="35.08984375" customWidth="1"/>
    <col min="8" max="8" width="10.08984375" bestFit="1" customWidth="1"/>
    <col min="14" max="14" width="9" customWidth="1"/>
  </cols>
  <sheetData>
    <row r="1" spans="1:14" ht="21">
      <c r="A1" s="905" t="s">
        <v>373</v>
      </c>
      <c r="B1" s="906"/>
      <c r="C1" s="906"/>
      <c r="D1" s="906"/>
      <c r="E1" s="906"/>
      <c r="F1" s="906"/>
      <c r="G1" s="906"/>
      <c r="H1" s="906"/>
      <c r="I1" s="906"/>
      <c r="J1" s="906"/>
      <c r="K1" s="906"/>
      <c r="L1" s="906"/>
      <c r="M1" s="906"/>
      <c r="N1" s="907"/>
    </row>
    <row r="2" spans="1:14" ht="21">
      <c r="A2" s="908" t="str">
        <f>'RFPR cover'!C5</f>
        <v>WPD-SWEST</v>
      </c>
      <c r="B2" s="909"/>
      <c r="C2" s="909"/>
      <c r="D2" s="909"/>
      <c r="E2" s="909"/>
      <c r="F2" s="909"/>
      <c r="G2" s="909"/>
      <c r="H2" s="909"/>
      <c r="I2" s="909"/>
      <c r="J2" s="909"/>
      <c r="K2" s="909"/>
      <c r="L2" s="909"/>
      <c r="M2" s="909"/>
      <c r="N2" s="910"/>
    </row>
    <row r="3" spans="1:14" ht="21">
      <c r="A3" s="911">
        <f>'RFPR cover'!C7</f>
        <v>2022</v>
      </c>
      <c r="B3" s="912"/>
      <c r="C3" s="912"/>
      <c r="D3" s="912"/>
      <c r="E3" s="912"/>
      <c r="F3" s="912"/>
      <c r="G3" s="912"/>
      <c r="H3" s="912"/>
      <c r="I3" s="912"/>
      <c r="J3" s="912"/>
      <c r="K3" s="912"/>
      <c r="L3" s="912"/>
      <c r="M3" s="912"/>
      <c r="N3" s="913"/>
    </row>
    <row r="6" spans="1:14">
      <c r="A6" s="30"/>
      <c r="B6" s="21">
        <v>2018</v>
      </c>
      <c r="C6" s="20" t="s">
        <v>63</v>
      </c>
      <c r="D6" s="18"/>
      <c r="E6" s="18"/>
      <c r="F6" s="837"/>
      <c r="G6" s="18"/>
    </row>
    <row r="7" spans="1:14">
      <c r="A7" s="30"/>
      <c r="B7" s="21">
        <v>2019</v>
      </c>
      <c r="C7" s="20" t="s">
        <v>64</v>
      </c>
      <c r="D7" s="18"/>
      <c r="E7" s="18"/>
      <c r="F7" s="18"/>
      <c r="G7" s="18"/>
    </row>
    <row r="8" spans="1:14" ht="13.2">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ht="13.2">
      <c r="A11" s="30"/>
      <c r="B11" s="21">
        <v>2023</v>
      </c>
      <c r="C11" s="20" t="s">
        <v>68</v>
      </c>
      <c r="D11" s="19"/>
      <c r="E11" s="19"/>
      <c r="F11" s="19"/>
    </row>
    <row r="12" spans="1:14">
      <c r="A12" s="30"/>
      <c r="B12" s="18"/>
      <c r="C12" s="18"/>
      <c r="D12" s="18"/>
      <c r="E12" s="18"/>
      <c r="F12" s="18"/>
    </row>
    <row r="13" spans="1:14" ht="75" customHeight="1">
      <c r="A13" s="30"/>
      <c r="B13" s="550" t="s">
        <v>39</v>
      </c>
      <c r="C13" s="551" t="s">
        <v>40</v>
      </c>
      <c r="D13" s="551" t="s">
        <v>192</v>
      </c>
      <c r="E13" s="551" t="s">
        <v>41</v>
      </c>
      <c r="F13" s="551" t="s">
        <v>42</v>
      </c>
      <c r="G13" s="552" t="s">
        <v>320</v>
      </c>
    </row>
    <row r="14" spans="1:14">
      <c r="A14" s="30"/>
      <c r="B14" s="162" t="s">
        <v>74</v>
      </c>
      <c r="C14" s="169">
        <v>2010</v>
      </c>
      <c r="D14" s="163" t="str">
        <f>IF(VALUE(C14)&lt;='RFPR cover'!$C$7,"Actual","Forecast")</f>
        <v>Actual</v>
      </c>
      <c r="E14" s="373">
        <v>215.767</v>
      </c>
      <c r="F14" s="497">
        <v>221.75</v>
      </c>
      <c r="G14" s="164">
        <v>0.28000000000000003</v>
      </c>
      <c r="H14" s="838"/>
      <c r="J14" s="839"/>
    </row>
    <row r="15" spans="1:14">
      <c r="A15" s="30"/>
      <c r="B15" s="165" t="s">
        <v>75</v>
      </c>
      <c r="C15" s="170">
        <v>2011</v>
      </c>
      <c r="D15" s="166" t="str">
        <f>IF(VALUE(C15)&lt;='RFPR cover'!$C$7,"Actual","Forecast")</f>
        <v>Actual</v>
      </c>
      <c r="E15" s="374">
        <v>226.47499999999999</v>
      </c>
      <c r="F15" s="498">
        <v>233.45</v>
      </c>
      <c r="G15" s="167">
        <v>0.28000000000000003</v>
      </c>
      <c r="H15" s="838"/>
      <c r="J15" s="839"/>
    </row>
    <row r="16" spans="1:14" ht="14.25" customHeight="1">
      <c r="A16" s="30"/>
      <c r="B16" s="165" t="s">
        <v>76</v>
      </c>
      <c r="C16" s="170">
        <v>2012</v>
      </c>
      <c r="D16" s="166" t="str">
        <f>IF(VALUE(C16)&lt;='RFPR cover'!$C$7,"Actual","Forecast")</f>
        <v>Actual</v>
      </c>
      <c r="E16" s="374">
        <v>237.34200000000001</v>
      </c>
      <c r="F16" s="498">
        <v>241.65</v>
      </c>
      <c r="G16" s="167">
        <v>0.26</v>
      </c>
      <c r="H16" s="838"/>
      <c r="J16" s="839"/>
    </row>
    <row r="17" spans="2:15">
      <c r="B17" s="165" t="s">
        <v>77</v>
      </c>
      <c r="C17" s="170">
        <v>2013</v>
      </c>
      <c r="D17" s="166" t="str">
        <f>IF(VALUE(C17)&lt;='RFPR cover'!$C$7,"Actual","Forecast")</f>
        <v>Actual</v>
      </c>
      <c r="E17" s="374">
        <v>244.67500000000001</v>
      </c>
      <c r="F17" s="498">
        <v>249.1</v>
      </c>
      <c r="G17" s="167">
        <v>0.24</v>
      </c>
      <c r="H17" s="838"/>
      <c r="J17" s="839"/>
    </row>
    <row r="18" spans="2:15">
      <c r="B18" s="165" t="s">
        <v>78</v>
      </c>
      <c r="C18" s="170">
        <v>2014</v>
      </c>
      <c r="D18" s="166" t="str">
        <f>IF(VALUE(C18)&lt;='RFPR cover'!$C$7,"Actual","Forecast")</f>
        <v>Actual</v>
      </c>
      <c r="E18" s="374">
        <v>251.733</v>
      </c>
      <c r="F18" s="498">
        <v>255.25</v>
      </c>
      <c r="G18" s="167">
        <v>0.23</v>
      </c>
      <c r="H18" s="838"/>
      <c r="I18" s="517"/>
      <c r="J18" s="839"/>
    </row>
    <row r="19" spans="2:15">
      <c r="B19" s="165" t="s">
        <v>79</v>
      </c>
      <c r="C19" s="170">
        <v>2015</v>
      </c>
      <c r="D19" s="166" t="str">
        <f>IF(VALUE(C19)&lt;='RFPR cover'!$C$7,"Actual","Forecast")</f>
        <v>Actual</v>
      </c>
      <c r="E19" s="374">
        <v>256.66699999999997</v>
      </c>
      <c r="F19" s="498">
        <v>257.55</v>
      </c>
      <c r="G19" s="167">
        <v>0.21</v>
      </c>
      <c r="H19" s="838"/>
      <c r="I19" s="517"/>
      <c r="J19" s="839"/>
    </row>
    <row r="20" spans="2:15">
      <c r="B20" s="165" t="s">
        <v>80</v>
      </c>
      <c r="C20" s="170">
        <v>2016</v>
      </c>
      <c r="D20" s="166" t="str">
        <f>IF(VALUE(C20)&lt;='RFPR cover'!$C$7,"Actual","Forecast")</f>
        <v>Actual</v>
      </c>
      <c r="E20" s="374">
        <v>259.43299999999999</v>
      </c>
      <c r="F20" s="498">
        <v>261.25</v>
      </c>
      <c r="G20" s="167">
        <v>0.2</v>
      </c>
      <c r="H20" s="838"/>
      <c r="I20" s="517"/>
      <c r="J20" s="839"/>
    </row>
    <row r="21" spans="2:15">
      <c r="B21" s="165" t="s">
        <v>81</v>
      </c>
      <c r="C21" s="170">
        <v>2017</v>
      </c>
      <c r="D21" s="166" t="str">
        <f>IF(VALUE(C21)&lt;='RFPR cover'!$C$7,"Actual","Forecast")</f>
        <v>Actual</v>
      </c>
      <c r="E21" s="374">
        <v>264.99200000000002</v>
      </c>
      <c r="F21" s="498">
        <v>269.95000000000005</v>
      </c>
      <c r="G21" s="167">
        <v>0.2</v>
      </c>
      <c r="H21" s="838"/>
      <c r="I21" s="517"/>
      <c r="J21" s="839"/>
    </row>
    <row r="22" spans="2:15">
      <c r="B22" s="165" t="s">
        <v>63</v>
      </c>
      <c r="C22" s="170">
        <v>2018</v>
      </c>
      <c r="D22" s="166" t="str">
        <f>IF(VALUE(C22)&lt;='RFPR cover'!$C$7,"Actual","Forecast")</f>
        <v>Actual</v>
      </c>
      <c r="E22" s="374">
        <v>274.90800000000002</v>
      </c>
      <c r="F22" s="498">
        <v>279</v>
      </c>
      <c r="G22" s="167">
        <v>0.19</v>
      </c>
      <c r="H22" s="838"/>
      <c r="I22" s="517"/>
      <c r="J22" s="839"/>
    </row>
    <row r="23" spans="2:15">
      <c r="B23" s="500" t="s">
        <v>64</v>
      </c>
      <c r="C23" s="501">
        <v>2019</v>
      </c>
      <c r="D23" s="166" t="str">
        <f>IF(VALUE(C23)&lt;='RFPR cover'!$C$7,"Actual","Forecast")</f>
        <v>Actual</v>
      </c>
      <c r="E23" s="374">
        <v>283.30799999999999</v>
      </c>
      <c r="F23" s="498">
        <v>286.64999999999998</v>
      </c>
      <c r="G23" s="167">
        <v>0.19</v>
      </c>
      <c r="H23" s="838"/>
      <c r="J23" s="839"/>
    </row>
    <row r="24" spans="2:15">
      <c r="B24" s="500" t="s">
        <v>65</v>
      </c>
      <c r="C24" s="501">
        <v>2020</v>
      </c>
      <c r="D24" s="166" t="str">
        <f>IF(VALUE(C24)&lt;='RFPR cover'!$C$7,"Actual","Forecast")</f>
        <v>Actual</v>
      </c>
      <c r="E24" s="374">
        <v>290.642</v>
      </c>
      <c r="F24" s="374">
        <v>292.60000000000002</v>
      </c>
      <c r="G24" s="167">
        <v>0.19</v>
      </c>
    </row>
    <row r="25" spans="2:15">
      <c r="B25" s="500" t="s">
        <v>66</v>
      </c>
      <c r="C25" s="501">
        <v>2021</v>
      </c>
      <c r="D25" s="166" t="str">
        <f>IF(VALUE(C25)&lt;='RFPR cover'!$C$7,"Actual","Forecast")</f>
        <v>Actual</v>
      </c>
      <c r="E25" s="374">
        <v>294.16699999999997</v>
      </c>
      <c r="F25" s="374">
        <v>299</v>
      </c>
      <c r="G25" s="167">
        <v>0.19</v>
      </c>
      <c r="J25" s="839"/>
    </row>
    <row r="26" spans="2:15">
      <c r="B26" s="500" t="s">
        <v>67</v>
      </c>
      <c r="C26" s="501">
        <v>2022</v>
      </c>
      <c r="D26" s="166" t="str">
        <f>IF(VALUE(C26)&lt;='RFPR cover'!$C$7,"Actual","Forecast")</f>
        <v>Actual</v>
      </c>
      <c r="E26" s="374">
        <v>311.15800000000002</v>
      </c>
      <c r="F26" s="374">
        <f>+(323.5+334.6)/2</f>
        <v>329.05</v>
      </c>
      <c r="G26" s="947">
        <v>0.19</v>
      </c>
      <c r="I26" s="973"/>
      <c r="J26" s="839"/>
      <c r="O26" s="948"/>
    </row>
    <row r="27" spans="2:15">
      <c r="B27" s="500" t="s">
        <v>68</v>
      </c>
      <c r="C27" s="501">
        <v>2023</v>
      </c>
      <c r="D27" s="166" t="str">
        <f>IF(VALUE(C27)&lt;='RFPR cover'!$C$7,"Actual","Forecast")</f>
        <v>Forecast</v>
      </c>
      <c r="E27" s="499">
        <f t="shared" ref="E27:F27" si="0">E26*(1+INDEX($D$43:$J$43,0,MATCH($C27,$D$42:$J$42,0)))</f>
        <v>336.98411399999998</v>
      </c>
      <c r="F27" s="499">
        <f t="shared" si="0"/>
        <v>356.36115000000001</v>
      </c>
      <c r="G27" s="947">
        <v>0.19</v>
      </c>
      <c r="H27" s="838"/>
      <c r="J27" s="839"/>
    </row>
    <row r="28" spans="2:15">
      <c r="B28" s="500" t="s">
        <v>205</v>
      </c>
      <c r="C28" s="501">
        <v>2024</v>
      </c>
      <c r="D28" s="166" t="str">
        <f>IF(VALUE(C28)&lt;='RFPR cover'!$C$7,"Actual","Forecast")</f>
        <v>Forecast</v>
      </c>
      <c r="E28" s="376"/>
      <c r="F28" s="376"/>
      <c r="G28" s="167">
        <v>0.19</v>
      </c>
    </row>
    <row r="29" spans="2:15">
      <c r="B29" s="500" t="s">
        <v>206</v>
      </c>
      <c r="C29" s="501">
        <v>2025</v>
      </c>
      <c r="D29" s="166" t="str">
        <f>IF(VALUE(C29)&lt;='RFPR cover'!$C$7,"Actual","Forecast")</f>
        <v>Forecast</v>
      </c>
      <c r="E29" s="376"/>
      <c r="F29" s="376"/>
      <c r="G29" s="167">
        <v>0.19</v>
      </c>
    </row>
    <row r="30" spans="2:15">
      <c r="B30" s="502" t="s">
        <v>207</v>
      </c>
      <c r="C30" s="503">
        <v>2026</v>
      </c>
      <c r="D30" s="168" t="str">
        <f>IF(VALUE(C30)&lt;='RFPR cover'!$C$7,"Actual","Forecast")</f>
        <v>Forecast</v>
      </c>
      <c r="E30" s="375"/>
      <c r="F30" s="375"/>
      <c r="G30" s="167">
        <v>0.19</v>
      </c>
    </row>
    <row r="31" spans="2:15">
      <c r="B31" s="88"/>
      <c r="C31" s="67"/>
      <c r="D31" s="67"/>
      <c r="E31" s="67"/>
      <c r="F31" s="67"/>
    </row>
    <row r="32" spans="2:15">
      <c r="B32" s="88"/>
      <c r="C32" s="343" t="str">
        <f>IF(C33&lt;='RFPR cover'!$C$7,"Actuals","Forecast")</f>
        <v>Actuals</v>
      </c>
      <c r="D32" s="344" t="str">
        <f>IF(D33&lt;='RFPR cover'!$C$7,"Actuals","Forecast")</f>
        <v>Actuals</v>
      </c>
      <c r="E32" s="344" t="str">
        <f>IF(E33&lt;='RFPR cover'!$C$7,"Actuals","Forecast")</f>
        <v>Actuals</v>
      </c>
      <c r="F32" s="344" t="str">
        <f>IF(F33&lt;='RFPR cover'!$C$7,"Actuals","Forecast")</f>
        <v>Actuals</v>
      </c>
      <c r="G32" s="344" t="str">
        <f>IF(G33&lt;='RFPR cover'!$C$7,"Actuals","Forecast")</f>
        <v>Actuals</v>
      </c>
      <c r="H32" s="344" t="str">
        <f>IF(H33&lt;='RFPR cover'!$C$7,"Actuals","Forecast")</f>
        <v>Actuals</v>
      </c>
      <c r="I32" s="344" t="str">
        <f>IF(I33&lt;='RFPR cover'!$C$7,"Actuals","Forecast")</f>
        <v>Actuals</v>
      </c>
      <c r="J32" s="345" t="str">
        <f>IF(J33&lt;='RFPR cover'!$C$7,"Actuals","Forecast")</f>
        <v>Forecast</v>
      </c>
    </row>
    <row r="33" spans="2:15" ht="15.75" customHeight="1">
      <c r="B33" s="289"/>
      <c r="C33" s="90">
        <f>'RFPR cover'!$C$13</f>
        <v>2016</v>
      </c>
      <c r="D33" s="91">
        <f t="shared" ref="D33:J33" si="1">C33+1</f>
        <v>2017</v>
      </c>
      <c r="E33" s="91">
        <f t="shared" si="1"/>
        <v>2018</v>
      </c>
      <c r="F33" s="91">
        <f t="shared" si="1"/>
        <v>2019</v>
      </c>
      <c r="G33" s="91">
        <f t="shared" si="1"/>
        <v>2020</v>
      </c>
      <c r="H33" s="91">
        <f t="shared" si="1"/>
        <v>2021</v>
      </c>
      <c r="I33" s="91">
        <f t="shared" si="1"/>
        <v>2022</v>
      </c>
      <c r="J33" s="316">
        <f t="shared" si="1"/>
        <v>2023</v>
      </c>
    </row>
    <row r="34" spans="2:15" ht="15.75" customHeight="1">
      <c r="B34" s="495" t="s">
        <v>374</v>
      </c>
      <c r="C34" s="493">
        <f>INDEX(Data!$E$14:$E$30,MATCH(C$33,Data!$C$14:$C$30,0),0)/IF('RFPR cover'!$C$6="ED1",Data!$E$17,Data!$E$14)</f>
        <v>1.0603167467048125</v>
      </c>
      <c r="D34" s="490">
        <f>INDEX(Data!$E$14:$E$30,MATCH(D$33,Data!$C$14:$C$30,0),0)/IF('RFPR cover'!$C$6="ED1",Data!$E$17,Data!$E$14)</f>
        <v>1.0830366813119445</v>
      </c>
      <c r="E34" s="490">
        <f>INDEX(Data!$E$14:$E$30,MATCH(E$33,Data!$C$14:$C$30,0),0)/IF('RFPR cover'!$C$6="ED1",Data!$E$17,Data!$E$14)</f>
        <v>1.1235639113109226</v>
      </c>
      <c r="F34" s="490">
        <f>INDEX(Data!$E$14:$E$30,MATCH(F$33,Data!$C$14:$C$30,0),0)/IF('RFPR cover'!$C$6="ED1",Data!$E$17,Data!$E$14)</f>
        <v>1.1578951670583426</v>
      </c>
      <c r="G34" s="490">
        <f>INDEX(Data!$E$14:$E$30,MATCH(G$33,Data!$C$14:$C$30,0),0)/IF('RFPR cover'!$C$6="ED1",Data!$E$17,Data!$E$14)</f>
        <v>1.1878696229692449</v>
      </c>
      <c r="H34" s="490">
        <f>INDEX(Data!$E$14:$E$30,MATCH(H$33,Data!$C$14:$C$30,0),0)/IF('RFPR cover'!$C$6="ED1",Data!$E$17,Data!$E$14)</f>
        <v>1.2022764892203943</v>
      </c>
      <c r="I34" s="491">
        <f>INDEX(Data!$E$14:$E$30,MATCH(I$33,Data!$C$14:$C$30,0),0)/IF('RFPR cover'!$C$6="ED1",Data!$E$17,Data!$E$14)</f>
        <v>1.2717196280780627</v>
      </c>
      <c r="J34" s="492">
        <f>INDEX(Data!$E$14:$E$30,MATCH(J$33,Data!$C$14:$C$30,0),0)/IF('RFPR cover'!$C$6="ED1",Data!$E$17,Data!$E$14)</f>
        <v>1.3772723572085417</v>
      </c>
    </row>
    <row r="35" spans="2:15" ht="15.75" customHeight="1">
      <c r="B35" s="496" t="s">
        <v>42</v>
      </c>
      <c r="C35" s="494">
        <f>INDEX(Data!$F$14:$F$30,MATCH(C$33,Data!$C$14:$C$30,0),0)/IF('RFPR cover'!$C$6="ED1",Data!$E$17,Data!$E$14)</f>
        <v>1.0677429242873198</v>
      </c>
      <c r="D35" s="494">
        <f>INDEX(Data!$F$14:$F$30,MATCH(D$33,Data!$C$14:$C$30,0),0)/IF('RFPR cover'!$C$6="ED1",Data!$E$17,Data!$E$14)</f>
        <v>1.1033002963114336</v>
      </c>
      <c r="E35" s="494">
        <f>INDEX(Data!$F$14:$F$30,MATCH(E$33,Data!$C$14:$C$30,0),0)/IF('RFPR cover'!$C$6="ED1",Data!$E$17,Data!$E$14)</f>
        <v>1.1402881373250229</v>
      </c>
      <c r="F35" s="494">
        <f>INDEX(Data!$F$14:$F$30,MATCH(F$33,Data!$C$14:$C$30,0),0)/IF('RFPR cover'!$C$6="ED1",Data!$E$17,Data!$E$14)</f>
        <v>1.171554102380709</v>
      </c>
      <c r="G35" s="494">
        <f>INDEX(Data!$F$14:$F$30,MATCH(G$33,Data!$C$14:$C$30,0),0)/IF('RFPR cover'!$C$6="ED1",Data!$E$17,Data!$E$14)</f>
        <v>1.1958720752017984</v>
      </c>
      <c r="H35" s="494">
        <f>INDEX(Data!$F$14:$F$30,MATCH(H$33,Data!$C$14:$C$30,0),0)/IF('RFPR cover'!$C$6="ED1",Data!$E$17,Data!$E$14)</f>
        <v>1.2220292224379279</v>
      </c>
      <c r="I35" s="494">
        <f>INDEX(Data!$F$14:$F$30,MATCH(I$33,Data!$C$14:$C$30,0),0)/IF('RFPR cover'!$C$6="ED1",Data!$E$17,Data!$E$14)</f>
        <v>1.3448452028200675</v>
      </c>
      <c r="J35" s="494">
        <f>INDEX(Data!$F$14:$F$30,MATCH(J$33,Data!$C$14:$C$30,0),0)/IF('RFPR cover'!$C$6="ED1",Data!$E$17,Data!$E$14)</f>
        <v>1.4564673546541329</v>
      </c>
    </row>
    <row r="36" spans="2:15">
      <c r="B36" s="496" t="s">
        <v>504</v>
      </c>
      <c r="C36" s="494">
        <f>INDEX(Data!$E$14:$E$30,MATCH(C$33,Data!$C$14:$C$30,0))/INDEX(Data!$E$14:$E$30,MATCH(C$33-1,Data!$C$14:$C$30,0))</f>
        <v>1.0107766093810269</v>
      </c>
      <c r="D36" s="494">
        <f>INDEX(Data!$E$14:$E$30,MATCH(D$33,Data!$C$14:$C$30,0))/INDEX(Data!$E$14:$E$30,MATCH(D$33-1,Data!$C$14:$C$30,0))</f>
        <v>1.0214274976583551</v>
      </c>
      <c r="E36" s="494">
        <f>INDEX(Data!$E$14:$E$30,MATCH(E$33,Data!$C$14:$C$30,0))/INDEX(Data!$E$14:$E$30,MATCH(E$33-1,Data!$C$14:$C$30,0))</f>
        <v>1.0374199975848328</v>
      </c>
      <c r="F36" s="494">
        <f>INDEX(Data!$E$14:$E$30,MATCH(F$33,Data!$C$14:$C$30,0))/INDEX(Data!$E$14:$E$30,MATCH(F$33-1,Data!$C$14:$C$30,0))</f>
        <v>1.0305556768082411</v>
      </c>
      <c r="G36" s="494">
        <f>INDEX(Data!$E$14:$E$30,MATCH(G$33,Data!$C$14:$C$30,0))/INDEX(Data!$E$14:$E$30,MATCH(G$33-1,Data!$C$14:$C$30,0))</f>
        <v>1.0258870204865376</v>
      </c>
      <c r="H36" s="494">
        <f>INDEX(Data!$E$14:$E$30,MATCH(H$33,Data!$C$14:$C$30,0))/INDEX(Data!$E$14:$E$30,MATCH(H$33-1,Data!$C$14:$C$30,0))</f>
        <v>1.0121283228163858</v>
      </c>
      <c r="I36" s="494">
        <f>INDEX(Data!$E$14:$E$30,MATCH(I$33,Data!$C$14:$C$30,0))/INDEX(Data!$E$14:$E$30,MATCH(I$33-1,Data!$C$14:$C$30,0))</f>
        <v>1.057759707921011</v>
      </c>
      <c r="J36" s="494">
        <f>INDEX(Data!$E$14:$E$30,MATCH(J$33,Data!$C$14:$C$30,0))/INDEX(Data!$E$14:$E$30,MATCH(J$33-1,Data!$C$14:$C$30,0))</f>
        <v>1.083</v>
      </c>
    </row>
    <row r="37" spans="2:15" ht="15.75" customHeight="1">
      <c r="B37" s="14" t="s">
        <v>275</v>
      </c>
      <c r="F37" s="517"/>
    </row>
    <row r="38" spans="2:15">
      <c r="C38" s="510" t="s">
        <v>276</v>
      </c>
      <c r="D38" s="117">
        <v>2017</v>
      </c>
      <c r="E38" s="118">
        <f t="shared" ref="E38:J38" si="2">D38+1</f>
        <v>2018</v>
      </c>
      <c r="F38" s="118">
        <f t="shared" si="2"/>
        <v>2019</v>
      </c>
      <c r="G38" s="118">
        <f t="shared" si="2"/>
        <v>2020</v>
      </c>
      <c r="H38" s="118">
        <f t="shared" si="2"/>
        <v>2021</v>
      </c>
      <c r="I38" s="118">
        <f t="shared" si="2"/>
        <v>2022</v>
      </c>
      <c r="J38" s="195">
        <f t="shared" si="2"/>
        <v>2023</v>
      </c>
      <c r="K38" s="1001" t="s">
        <v>384</v>
      </c>
      <c r="L38" s="1001"/>
      <c r="M38" s="1001"/>
    </row>
    <row r="39" spans="2:15" ht="13.2" thickBot="1">
      <c r="B39" t="s">
        <v>385</v>
      </c>
      <c r="C39" s="200"/>
      <c r="D39" s="759"/>
      <c r="E39" s="759"/>
      <c r="F39" s="759"/>
      <c r="G39" s="759"/>
      <c r="H39" s="759"/>
      <c r="I39" s="974">
        <v>9.0999999999999998E-2</v>
      </c>
      <c r="J39" s="975">
        <v>5.8999999999999997E-2</v>
      </c>
      <c r="K39" s="1002" t="s">
        <v>647</v>
      </c>
      <c r="L39" s="1002"/>
      <c r="M39" s="1002"/>
      <c r="O39" s="322"/>
    </row>
    <row r="41" spans="2:15">
      <c r="B41" s="14" t="s">
        <v>277</v>
      </c>
    </row>
    <row r="42" spans="2:15">
      <c r="C42" s="509" t="s">
        <v>278</v>
      </c>
      <c r="D42" s="117">
        <v>2017</v>
      </c>
      <c r="E42" s="118">
        <f t="shared" ref="E42:J42" si="3">D42+1</f>
        <v>2018</v>
      </c>
      <c r="F42" s="118">
        <f t="shared" si="3"/>
        <v>2019</v>
      </c>
      <c r="G42" s="118">
        <f t="shared" si="3"/>
        <v>2020</v>
      </c>
      <c r="H42" s="118">
        <f t="shared" si="3"/>
        <v>2021</v>
      </c>
      <c r="I42" s="118">
        <f t="shared" si="3"/>
        <v>2022</v>
      </c>
      <c r="J42" s="195">
        <f t="shared" si="3"/>
        <v>2023</v>
      </c>
    </row>
    <row r="43" spans="2:15">
      <c r="B43" t="s">
        <v>279</v>
      </c>
      <c r="D43" s="569"/>
      <c r="E43" s="570"/>
      <c r="F43" s="570"/>
      <c r="G43" s="570"/>
      <c r="H43" s="570"/>
      <c r="I43" s="570"/>
      <c r="J43" s="760">
        <f>(I39*0.75)+(J39*0.25)</f>
        <v>8.3000000000000004E-2</v>
      </c>
      <c r="O43" s="322"/>
    </row>
    <row r="45" spans="2:15">
      <c r="B45" s="315" t="str">
        <f>"Selected Capitalisation rates for "&amp;'RFPR cover'!C5</f>
        <v>Selected Capitalisation rates for WPD-SWEST</v>
      </c>
      <c r="C45" s="271"/>
      <c r="D45" s="271"/>
      <c r="E45" s="271"/>
      <c r="F45" s="271"/>
      <c r="G45" s="271"/>
      <c r="H45" s="271"/>
      <c r="I45" s="271"/>
      <c r="J45" s="271"/>
      <c r="K45" s="271"/>
      <c r="L45" s="271"/>
      <c r="M45" s="284"/>
    </row>
    <row r="46" spans="2:15">
      <c r="B46" s="201"/>
      <c r="C46" s="42"/>
      <c r="D46" s="42"/>
      <c r="E46" s="42"/>
      <c r="F46" s="42"/>
      <c r="G46" s="42"/>
      <c r="H46" s="42"/>
      <c r="I46" s="42"/>
      <c r="J46" s="42"/>
      <c r="K46" s="42"/>
      <c r="L46" s="42"/>
      <c r="M46" s="202"/>
    </row>
    <row r="47" spans="2:15">
      <c r="B47" s="201"/>
      <c r="C47" s="314" t="s">
        <v>252</v>
      </c>
      <c r="D47" s="42"/>
      <c r="E47" s="42"/>
      <c r="F47" s="42"/>
      <c r="G47" s="42"/>
      <c r="H47" s="42"/>
      <c r="I47" s="42"/>
      <c r="J47" s="42"/>
      <c r="K47" s="42"/>
      <c r="L47" s="42"/>
      <c r="M47" s="202"/>
    </row>
    <row r="48" spans="2:15">
      <c r="B48" s="317" t="str">
        <f>INDEX($G$54:$G$57,MATCH(LEFT('RFPR cover'!$C$6,2),Data!$E$54:$E$57,0),0)</f>
        <v>Totex</v>
      </c>
      <c r="C48" s="313">
        <f>INDEX($F$73:$F$100,MATCH('RFPR cover'!$C$5,Data!$B$73:$B$100,0),0)</f>
        <v>0.8</v>
      </c>
      <c r="D48" s="42"/>
      <c r="E48" s="42"/>
      <c r="F48" s="42"/>
      <c r="G48" s="42"/>
      <c r="H48" s="42"/>
      <c r="I48" s="42"/>
      <c r="J48" s="42"/>
      <c r="K48" s="42"/>
      <c r="L48" s="42"/>
      <c r="M48" s="202"/>
    </row>
    <row r="49" spans="2:20">
      <c r="B49" s="318"/>
      <c r="C49" s="42"/>
      <c r="D49" s="42"/>
      <c r="E49" s="42"/>
      <c r="F49" s="42"/>
      <c r="G49" s="42"/>
      <c r="H49" s="42"/>
      <c r="I49" s="42"/>
      <c r="J49" s="42"/>
      <c r="K49" s="42"/>
      <c r="L49" s="42"/>
      <c r="M49" s="202"/>
    </row>
    <row r="50" spans="2:20">
      <c r="B50" s="318"/>
      <c r="C50" s="90">
        <v>2014</v>
      </c>
      <c r="D50" s="91">
        <f t="shared" ref="D50:J50" si="4">C50+1</f>
        <v>2015</v>
      </c>
      <c r="E50" s="91">
        <f t="shared" si="4"/>
        <v>2016</v>
      </c>
      <c r="F50" s="91">
        <f t="shared" si="4"/>
        <v>2017</v>
      </c>
      <c r="G50" s="91">
        <f t="shared" si="4"/>
        <v>2018</v>
      </c>
      <c r="H50" s="91">
        <f t="shared" si="4"/>
        <v>2019</v>
      </c>
      <c r="I50" s="91">
        <f t="shared" si="4"/>
        <v>2020</v>
      </c>
      <c r="J50" s="91">
        <f t="shared" si="4"/>
        <v>2021</v>
      </c>
      <c r="K50" s="42"/>
      <c r="L50" s="42"/>
      <c r="M50" s="202"/>
    </row>
    <row r="51" spans="2:20">
      <c r="B51" s="317" t="str">
        <f>INDEX($J$54:$J$57,MATCH(LEFT('RFPR cover'!$C$6,2),Data!$E$54:$E$57,0),0)</f>
        <v>n/a</v>
      </c>
      <c r="C51" s="319">
        <f>IFERROR(INDEX(C$106:C$115,MATCH('RFPR cover'!$C$5,Data!$B$106:$B$115,0),0),0)</f>
        <v>0</v>
      </c>
      <c r="D51" s="301">
        <f>IFERROR(INDEX(D$106:D$115,MATCH('RFPR cover'!$C$5,Data!$B$106:$B$115,0),0),0)</f>
        <v>0</v>
      </c>
      <c r="E51" s="301">
        <f>IFERROR(INDEX(E$106:E$115,MATCH('RFPR cover'!$C$5,Data!$B$106:$B$115,0),0),0)</f>
        <v>0</v>
      </c>
      <c r="F51" s="301">
        <f>IFERROR(INDEX(F$106:F$115,MATCH('RFPR cover'!$C$5,Data!$B$106:$B$115,0),0),0)</f>
        <v>0</v>
      </c>
      <c r="G51" s="301">
        <f>IFERROR(INDEX(G$106:G$115,MATCH('RFPR cover'!$C$5,Data!$B$106:$B$115,0),0),0)</f>
        <v>0</v>
      </c>
      <c r="H51" s="301">
        <f>IFERROR(INDEX(H$106:H$115,MATCH('RFPR cover'!$C$5,Data!$B$106:$B$115,0),0),0)</f>
        <v>0</v>
      </c>
      <c r="I51" s="301">
        <f>IFERROR(INDEX(I$106:I$115,MATCH('RFPR cover'!$C$5,Data!$B$106:$B$115,0),0),0)</f>
        <v>0</v>
      </c>
      <c r="J51" s="301">
        <f>IFERROR(INDEX(J$106:J$115,MATCH('RFPR cover'!$C$5,Data!$B$106:$B$115,0),0),0)</f>
        <v>0</v>
      </c>
      <c r="K51" s="42"/>
      <c r="L51" s="42"/>
      <c r="M51" s="202"/>
    </row>
    <row r="52" spans="2:20">
      <c r="B52" s="295"/>
      <c r="C52" s="296"/>
      <c r="D52" s="296"/>
      <c r="E52" s="296"/>
      <c r="F52" s="296"/>
      <c r="G52" s="296"/>
      <c r="H52" s="296"/>
      <c r="I52" s="296"/>
      <c r="J52" s="296"/>
      <c r="K52" s="296"/>
      <c r="L52" s="296"/>
      <c r="M52" s="297"/>
    </row>
    <row r="53" spans="2:20">
      <c r="B53" s="42"/>
      <c r="C53" s="42"/>
      <c r="D53" s="42"/>
      <c r="E53" s="42"/>
      <c r="F53" s="42"/>
      <c r="G53" s="42"/>
      <c r="H53" s="42"/>
      <c r="I53" s="42"/>
      <c r="J53" s="42"/>
      <c r="K53" s="42"/>
    </row>
    <row r="54" spans="2:20">
      <c r="B54" s="305"/>
      <c r="C54" s="305"/>
      <c r="E54" s="302" t="s">
        <v>172</v>
      </c>
      <c r="F54" s="331" t="s">
        <v>159</v>
      </c>
      <c r="G54" s="1006" t="s">
        <v>253</v>
      </c>
      <c r="H54" s="1007"/>
      <c r="I54" s="1008"/>
      <c r="J54" s="1015" t="s">
        <v>255</v>
      </c>
      <c r="K54" s="1016"/>
    </row>
    <row r="55" spans="2:20">
      <c r="B55" s="305"/>
      <c r="C55" s="305"/>
      <c r="E55" s="303" t="s">
        <v>174</v>
      </c>
      <c r="F55" s="332" t="s">
        <v>184</v>
      </c>
      <c r="G55" s="1009" t="s">
        <v>253</v>
      </c>
      <c r="H55" s="1010"/>
      <c r="I55" s="1011"/>
      <c r="J55" s="1017" t="s">
        <v>255</v>
      </c>
      <c r="K55" s="1018"/>
    </row>
    <row r="56" spans="2:20">
      <c r="B56" s="305"/>
      <c r="C56" s="305"/>
      <c r="E56" s="303" t="s">
        <v>173</v>
      </c>
      <c r="F56" s="332" t="s">
        <v>184</v>
      </c>
      <c r="G56" s="1009" t="s">
        <v>244</v>
      </c>
      <c r="H56" s="1010"/>
      <c r="I56" s="1011"/>
      <c r="J56" s="1017" t="s">
        <v>245</v>
      </c>
      <c r="K56" s="1018"/>
    </row>
    <row r="57" spans="2:20">
      <c r="B57" s="305"/>
      <c r="C57" s="305"/>
      <c r="E57" s="304" t="s">
        <v>175</v>
      </c>
      <c r="F57" s="333" t="s">
        <v>184</v>
      </c>
      <c r="G57" s="1012" t="s">
        <v>254</v>
      </c>
      <c r="H57" s="1013"/>
      <c r="I57" s="1014"/>
      <c r="J57" s="1019" t="s">
        <v>256</v>
      </c>
      <c r="K57" s="1020"/>
    </row>
    <row r="58" spans="2:20">
      <c r="B58" s="305"/>
      <c r="C58" s="305"/>
      <c r="E58" s="305"/>
      <c r="F58" s="445"/>
      <c r="G58" s="446"/>
      <c r="H58" s="446"/>
      <c r="I58" s="446"/>
      <c r="J58" s="447"/>
      <c r="K58" s="447"/>
    </row>
    <row r="59" spans="2:20">
      <c r="B59" s="448"/>
      <c r="C59" s="448"/>
      <c r="D59" s="217"/>
      <c r="E59" s="448"/>
      <c r="F59" s="449"/>
      <c r="G59" s="450"/>
      <c r="H59" s="450"/>
      <c r="I59" s="450"/>
      <c r="J59" s="451"/>
      <c r="K59" s="451"/>
      <c r="L59" s="217"/>
      <c r="M59" s="217"/>
      <c r="N59" s="217"/>
      <c r="O59" s="217"/>
      <c r="P59" s="217"/>
      <c r="Q59" s="217"/>
      <c r="R59" s="217"/>
      <c r="S59" s="217"/>
      <c r="T59" s="217"/>
    </row>
    <row r="60" spans="2:20" s="31" customFormat="1">
      <c r="B60" s="399"/>
      <c r="C60" s="399"/>
      <c r="E60" s="399"/>
      <c r="F60" s="452"/>
      <c r="G60" s="453"/>
      <c r="H60" s="453"/>
      <c r="I60" s="453"/>
      <c r="J60" s="454"/>
      <c r="K60" s="454"/>
    </row>
    <row r="61" spans="2:20">
      <c r="B61" s="444" t="s">
        <v>351</v>
      </c>
      <c r="C61" s="43"/>
      <c r="I61" s="67"/>
    </row>
    <row r="62" spans="2:20">
      <c r="C62" s="117">
        <v>2014</v>
      </c>
      <c r="D62" s="118">
        <f t="shared" ref="D62:L62" si="5">C62+1</f>
        <v>2015</v>
      </c>
      <c r="E62" s="118">
        <f t="shared" si="5"/>
        <v>2016</v>
      </c>
      <c r="F62" s="118">
        <f t="shared" si="5"/>
        <v>2017</v>
      </c>
      <c r="G62" s="118">
        <f t="shared" si="5"/>
        <v>2018</v>
      </c>
      <c r="H62" s="118">
        <f t="shared" si="5"/>
        <v>2019</v>
      </c>
      <c r="I62" s="118">
        <f t="shared" si="5"/>
        <v>2020</v>
      </c>
      <c r="J62" s="118">
        <f t="shared" si="5"/>
        <v>2021</v>
      </c>
      <c r="K62" s="118">
        <f t="shared" si="5"/>
        <v>2022</v>
      </c>
      <c r="L62" s="195">
        <f t="shared" si="5"/>
        <v>2023</v>
      </c>
    </row>
    <row r="63" spans="2:20">
      <c r="B63" s="441" t="s">
        <v>349</v>
      </c>
      <c r="C63" s="565"/>
      <c r="D63" s="566"/>
      <c r="E63" s="439">
        <v>2.5499999999999998E-2</v>
      </c>
      <c r="F63" s="439">
        <v>2.3799999999999998E-2</v>
      </c>
      <c r="G63" s="439">
        <v>2.2200000000000001E-2</v>
      </c>
      <c r="H63" s="439">
        <v>1.9099999999999999E-2</v>
      </c>
      <c r="I63" s="439">
        <v>1.5800000000000002E-2</v>
      </c>
      <c r="J63" s="439">
        <v>1.09E-2</v>
      </c>
      <c r="K63" s="439">
        <v>7.6E-3</v>
      </c>
      <c r="L63" s="440">
        <v>3.8999999999999998E-3</v>
      </c>
    </row>
    <row r="64" spans="2:20">
      <c r="B64" s="442" t="s">
        <v>336</v>
      </c>
      <c r="C64" s="553"/>
      <c r="D64" s="554"/>
      <c r="E64" s="401">
        <v>2.5499999999999998E-2</v>
      </c>
      <c r="F64" s="401">
        <v>2.4199999999999999E-2</v>
      </c>
      <c r="G64" s="401">
        <v>2.29E-2</v>
      </c>
      <c r="H64" s="401">
        <v>2.0899999999999998E-2</v>
      </c>
      <c r="I64" s="401">
        <v>1.9400000000000001E-2</v>
      </c>
      <c r="J64" s="401">
        <v>1.78E-2</v>
      </c>
      <c r="K64" s="401">
        <v>1.6199999999999999E-2</v>
      </c>
      <c r="L64" s="404">
        <v>1.44E-2</v>
      </c>
    </row>
    <row r="65" spans="1:20">
      <c r="B65" s="442" t="s">
        <v>61</v>
      </c>
      <c r="C65" s="400">
        <v>2.92E-2</v>
      </c>
      <c r="D65" s="401">
        <v>2.5000000000000001E-2</v>
      </c>
      <c r="E65" s="401">
        <v>2.1499999999999998E-2</v>
      </c>
      <c r="F65" s="401">
        <v>1.7899999999999999E-2</v>
      </c>
      <c r="G65" s="401">
        <v>1.5100000000000001E-2</v>
      </c>
      <c r="H65" s="401">
        <v>1.1599999999999999E-2</v>
      </c>
      <c r="I65" s="401">
        <v>1.0200000000000001E-2</v>
      </c>
      <c r="J65" s="401">
        <v>7.6E-3</v>
      </c>
      <c r="K65" s="567"/>
      <c r="L65" s="568"/>
    </row>
    <row r="66" spans="1:20">
      <c r="B66" s="442" t="s">
        <v>350</v>
      </c>
      <c r="C66" s="437">
        <v>2.92E-2</v>
      </c>
      <c r="D66" s="438">
        <v>2.7199999999999998E-2</v>
      </c>
      <c r="E66" s="438">
        <v>2.5499999999999998E-2</v>
      </c>
      <c r="F66" s="438">
        <v>2.3800000000000002E-2</v>
      </c>
      <c r="G66" s="438">
        <v>2.2200000000000001E-2</v>
      </c>
      <c r="H66" s="438">
        <v>1.9099999999999999E-2</v>
      </c>
      <c r="I66" s="438">
        <v>1.5800000000000002E-2</v>
      </c>
      <c r="J66" s="438">
        <v>1.09E-2</v>
      </c>
      <c r="K66" s="554"/>
      <c r="L66" s="555"/>
    </row>
    <row r="67" spans="1:20">
      <c r="B67" s="442" t="s">
        <v>173</v>
      </c>
      <c r="C67" s="400">
        <v>2.92E-2</v>
      </c>
      <c r="D67" s="401">
        <v>2.7199999999999998E-2</v>
      </c>
      <c r="E67" s="401">
        <v>2.5499999999999998E-2</v>
      </c>
      <c r="F67" s="401">
        <v>2.3800000000000002E-2</v>
      </c>
      <c r="G67" s="401">
        <v>2.2200000000000001E-2</v>
      </c>
      <c r="H67" s="438">
        <v>1.9099999999999999E-2</v>
      </c>
      <c r="I67" s="438">
        <v>1.5800000000000002E-2</v>
      </c>
      <c r="J67" s="438">
        <v>1.09E-2</v>
      </c>
      <c r="K67" s="554"/>
      <c r="L67" s="555"/>
    </row>
    <row r="68" spans="1:20">
      <c r="B68" s="443" t="s">
        <v>175</v>
      </c>
      <c r="C68" s="402">
        <v>2.92E-2</v>
      </c>
      <c r="D68" s="403">
        <v>2.7199999999999998E-2</v>
      </c>
      <c r="E68" s="403">
        <v>2.5499999999999998E-2</v>
      </c>
      <c r="F68" s="403">
        <v>2.3800000000000002E-2</v>
      </c>
      <c r="G68" s="403">
        <v>2.2200000000000001E-2</v>
      </c>
      <c r="H68" s="403">
        <v>1.9099999999999999E-2</v>
      </c>
      <c r="I68" s="403">
        <v>1.5800000000000002E-2</v>
      </c>
      <c r="J68" s="403">
        <v>1.09E-2</v>
      </c>
      <c r="K68" s="556"/>
      <c r="L68" s="557"/>
    </row>
    <row r="69" spans="1:20">
      <c r="I69" s="67"/>
    </row>
    <row r="70" spans="1:20">
      <c r="H70" s="67"/>
      <c r="K70" s="42"/>
      <c r="L70" s="42"/>
      <c r="M70" s="42"/>
      <c r="N70" s="42"/>
      <c r="O70" s="42"/>
      <c r="P70" s="42"/>
      <c r="Q70" s="42"/>
      <c r="R70" s="42"/>
      <c r="S70" s="42"/>
      <c r="T70" s="42"/>
    </row>
    <row r="71" spans="1:20" ht="37.799999999999997">
      <c r="B71" s="22"/>
      <c r="C71" s="74" t="s">
        <v>251</v>
      </c>
      <c r="D71" s="75" t="s">
        <v>212</v>
      </c>
      <c r="E71" s="75" t="s">
        <v>72</v>
      </c>
      <c r="F71" s="75" t="s">
        <v>274</v>
      </c>
      <c r="G71" s="75" t="s">
        <v>116</v>
      </c>
      <c r="H71" s="76" t="s">
        <v>186</v>
      </c>
      <c r="I71" s="330" t="s">
        <v>269</v>
      </c>
      <c r="J71" s="330" t="s">
        <v>481</v>
      </c>
      <c r="K71" s="1003" t="s">
        <v>345</v>
      </c>
      <c r="L71" s="1004"/>
      <c r="M71" s="1004"/>
      <c r="N71" s="1004"/>
      <c r="O71" s="1004"/>
      <c r="P71" s="1004"/>
      <c r="Q71" s="1004"/>
      <c r="R71" s="1004"/>
      <c r="S71" s="1004"/>
      <c r="T71" s="1005"/>
    </row>
    <row r="72" spans="1:20">
      <c r="A72" s="334" t="s">
        <v>189</v>
      </c>
      <c r="B72" s="68" t="s">
        <v>69</v>
      </c>
      <c r="C72" s="306"/>
      <c r="D72" s="70"/>
      <c r="E72" s="69"/>
      <c r="F72" s="69"/>
      <c r="G72" s="70"/>
      <c r="H72" s="71"/>
      <c r="I72" s="71"/>
      <c r="J72" s="424"/>
      <c r="K72" s="425">
        <v>2014</v>
      </c>
      <c r="L72" s="426">
        <f t="shared" ref="L72:T72" si="6">K72+1</f>
        <v>2015</v>
      </c>
      <c r="M72" s="426">
        <f t="shared" si="6"/>
        <v>2016</v>
      </c>
      <c r="N72" s="426">
        <f t="shared" si="6"/>
        <v>2017</v>
      </c>
      <c r="O72" s="426">
        <f t="shared" si="6"/>
        <v>2018</v>
      </c>
      <c r="P72" s="426">
        <f t="shared" si="6"/>
        <v>2019</v>
      </c>
      <c r="Q72" s="426">
        <f t="shared" si="6"/>
        <v>2020</v>
      </c>
      <c r="R72" s="426">
        <f t="shared" si="6"/>
        <v>2021</v>
      </c>
      <c r="S72" s="426">
        <f t="shared" si="6"/>
        <v>2022</v>
      </c>
      <c r="T72" s="427">
        <f t="shared" si="6"/>
        <v>2023</v>
      </c>
    </row>
    <row r="73" spans="1:20">
      <c r="A73" s="60" t="s">
        <v>172</v>
      </c>
      <c r="B73" s="72" t="s">
        <v>43</v>
      </c>
      <c r="C73" s="307">
        <v>0.06</v>
      </c>
      <c r="D73" s="308">
        <v>0.58109999999999995</v>
      </c>
      <c r="E73" s="309">
        <v>0.65</v>
      </c>
      <c r="F73" s="309">
        <v>0.68</v>
      </c>
      <c r="G73" s="340">
        <v>2016</v>
      </c>
      <c r="H73" s="341" t="str">
        <f t="shared" ref="H73:H97" si="7">VLOOKUP($A73,$E$54:$F$57,2,FALSE)</f>
        <v>£m 12/13</v>
      </c>
      <c r="I73" s="341" t="s">
        <v>270</v>
      </c>
      <c r="J73" s="424" t="s">
        <v>482</v>
      </c>
      <c r="K73" s="553"/>
      <c r="L73" s="554"/>
      <c r="M73" s="432">
        <f t="shared" ref="M73:M82" si="8">E$64</f>
        <v>2.5499999999999998E-2</v>
      </c>
      <c r="N73" s="432">
        <f t="shared" ref="N73:N82" si="9">F$64</f>
        <v>2.4199999999999999E-2</v>
      </c>
      <c r="O73" s="432">
        <f t="shared" ref="O73:O82" si="10">G$64</f>
        <v>2.29E-2</v>
      </c>
      <c r="P73" s="432">
        <f t="shared" ref="P73:P82" si="11">H$64</f>
        <v>2.0899999999999998E-2</v>
      </c>
      <c r="Q73" s="432">
        <f t="shared" ref="Q73:Q82" si="12">I$64</f>
        <v>1.9400000000000001E-2</v>
      </c>
      <c r="R73" s="432">
        <f t="shared" ref="R73:R82" si="13">J$64</f>
        <v>1.78E-2</v>
      </c>
      <c r="S73" s="432">
        <f t="shared" ref="S73:S82" si="14">K$64</f>
        <v>1.6199999999999999E-2</v>
      </c>
      <c r="T73" s="436">
        <f t="shared" ref="T73:T82" si="15">L$64</f>
        <v>1.44E-2</v>
      </c>
    </row>
    <row r="74" spans="1:20">
      <c r="A74" s="60" t="s">
        <v>172</v>
      </c>
      <c r="B74" s="72" t="s">
        <v>44</v>
      </c>
      <c r="C74" s="307">
        <v>0.06</v>
      </c>
      <c r="D74" s="308">
        <v>0.55843703457782867</v>
      </c>
      <c r="E74" s="309">
        <v>0.65</v>
      </c>
      <c r="F74" s="309">
        <v>0.7</v>
      </c>
      <c r="G74" s="340">
        <v>2016</v>
      </c>
      <c r="H74" s="341" t="str">
        <f t="shared" si="7"/>
        <v>£m 12/13</v>
      </c>
      <c r="I74" s="341" t="s">
        <v>270</v>
      </c>
      <c r="J74" s="424" t="s">
        <v>482</v>
      </c>
      <c r="K74" s="553"/>
      <c r="L74" s="554"/>
      <c r="M74" s="432">
        <f t="shared" si="8"/>
        <v>2.5499999999999998E-2</v>
      </c>
      <c r="N74" s="432">
        <f t="shared" si="9"/>
        <v>2.4199999999999999E-2</v>
      </c>
      <c r="O74" s="432">
        <f t="shared" si="10"/>
        <v>2.29E-2</v>
      </c>
      <c r="P74" s="432">
        <f t="shared" si="11"/>
        <v>2.0899999999999998E-2</v>
      </c>
      <c r="Q74" s="432">
        <f t="shared" si="12"/>
        <v>1.9400000000000001E-2</v>
      </c>
      <c r="R74" s="432">
        <f t="shared" si="13"/>
        <v>1.78E-2</v>
      </c>
      <c r="S74" s="432">
        <f t="shared" si="14"/>
        <v>1.6199999999999999E-2</v>
      </c>
      <c r="T74" s="436">
        <f t="shared" si="15"/>
        <v>1.44E-2</v>
      </c>
    </row>
    <row r="75" spans="1:20">
      <c r="A75" s="60" t="s">
        <v>172</v>
      </c>
      <c r="B75" s="72" t="s">
        <v>73</v>
      </c>
      <c r="C75" s="307">
        <v>0.06</v>
      </c>
      <c r="D75" s="308">
        <v>0.55843703457782867</v>
      </c>
      <c r="E75" s="309">
        <v>0.65</v>
      </c>
      <c r="F75" s="309">
        <v>0.72</v>
      </c>
      <c r="G75" s="340">
        <v>2016</v>
      </c>
      <c r="H75" s="341" t="str">
        <f t="shared" si="7"/>
        <v>£m 12/13</v>
      </c>
      <c r="I75" s="341" t="s">
        <v>270</v>
      </c>
      <c r="J75" s="424" t="s">
        <v>482</v>
      </c>
      <c r="K75" s="553"/>
      <c r="L75" s="554"/>
      <c r="M75" s="432">
        <f t="shared" si="8"/>
        <v>2.5499999999999998E-2</v>
      </c>
      <c r="N75" s="432">
        <f t="shared" si="9"/>
        <v>2.4199999999999999E-2</v>
      </c>
      <c r="O75" s="432">
        <f t="shared" si="10"/>
        <v>2.29E-2</v>
      </c>
      <c r="P75" s="432">
        <f t="shared" si="11"/>
        <v>2.0899999999999998E-2</v>
      </c>
      <c r="Q75" s="432">
        <f t="shared" si="12"/>
        <v>1.9400000000000001E-2</v>
      </c>
      <c r="R75" s="432">
        <f t="shared" si="13"/>
        <v>1.78E-2</v>
      </c>
      <c r="S75" s="432">
        <f t="shared" si="14"/>
        <v>1.6199999999999999E-2</v>
      </c>
      <c r="T75" s="436">
        <f t="shared" si="15"/>
        <v>1.44E-2</v>
      </c>
    </row>
    <row r="76" spans="1:20">
      <c r="A76" s="60" t="s">
        <v>172</v>
      </c>
      <c r="B76" s="72" t="s">
        <v>59</v>
      </c>
      <c r="C76" s="307">
        <v>0.06</v>
      </c>
      <c r="D76" s="308">
        <v>0.53280000000000005</v>
      </c>
      <c r="E76" s="309">
        <v>0.65</v>
      </c>
      <c r="F76" s="309">
        <v>0.68</v>
      </c>
      <c r="G76" s="340">
        <v>2016</v>
      </c>
      <c r="H76" s="341" t="str">
        <f t="shared" si="7"/>
        <v>£m 12/13</v>
      </c>
      <c r="I76" s="341" t="s">
        <v>270</v>
      </c>
      <c r="J76" s="424" t="s">
        <v>482</v>
      </c>
      <c r="K76" s="553"/>
      <c r="L76" s="554"/>
      <c r="M76" s="432">
        <f t="shared" si="8"/>
        <v>2.5499999999999998E-2</v>
      </c>
      <c r="N76" s="432">
        <f t="shared" si="9"/>
        <v>2.4199999999999999E-2</v>
      </c>
      <c r="O76" s="432">
        <f t="shared" si="10"/>
        <v>2.29E-2</v>
      </c>
      <c r="P76" s="432">
        <f t="shared" si="11"/>
        <v>2.0899999999999998E-2</v>
      </c>
      <c r="Q76" s="432">
        <f t="shared" si="12"/>
        <v>1.9400000000000001E-2</v>
      </c>
      <c r="R76" s="432">
        <f t="shared" si="13"/>
        <v>1.78E-2</v>
      </c>
      <c r="S76" s="432">
        <f t="shared" si="14"/>
        <v>1.6199999999999999E-2</v>
      </c>
      <c r="T76" s="436">
        <f t="shared" si="15"/>
        <v>1.44E-2</v>
      </c>
    </row>
    <row r="77" spans="1:20">
      <c r="A77" s="60" t="s">
        <v>172</v>
      </c>
      <c r="B77" s="72" t="s">
        <v>57</v>
      </c>
      <c r="C77" s="307">
        <v>0.06</v>
      </c>
      <c r="D77" s="308">
        <v>0.53280000000000005</v>
      </c>
      <c r="E77" s="309">
        <v>0.65</v>
      </c>
      <c r="F77" s="309">
        <v>0.68</v>
      </c>
      <c r="G77" s="340">
        <v>2016</v>
      </c>
      <c r="H77" s="341" t="str">
        <f t="shared" si="7"/>
        <v>£m 12/13</v>
      </c>
      <c r="I77" s="341" t="s">
        <v>270</v>
      </c>
      <c r="J77" s="424" t="s">
        <v>482</v>
      </c>
      <c r="K77" s="553"/>
      <c r="L77" s="554"/>
      <c r="M77" s="432">
        <f t="shared" si="8"/>
        <v>2.5499999999999998E-2</v>
      </c>
      <c r="N77" s="432">
        <f t="shared" si="9"/>
        <v>2.4199999999999999E-2</v>
      </c>
      <c r="O77" s="432">
        <f t="shared" si="10"/>
        <v>2.29E-2</v>
      </c>
      <c r="P77" s="432">
        <f t="shared" si="11"/>
        <v>2.0899999999999998E-2</v>
      </c>
      <c r="Q77" s="432">
        <f t="shared" si="12"/>
        <v>1.9400000000000001E-2</v>
      </c>
      <c r="R77" s="432">
        <f t="shared" si="13"/>
        <v>1.78E-2</v>
      </c>
      <c r="S77" s="432">
        <f t="shared" si="14"/>
        <v>1.6199999999999999E-2</v>
      </c>
      <c r="T77" s="436">
        <f t="shared" si="15"/>
        <v>1.44E-2</v>
      </c>
    </row>
    <row r="78" spans="1:20">
      <c r="A78" s="60" t="s">
        <v>172</v>
      </c>
      <c r="B78" s="72" t="s">
        <v>58</v>
      </c>
      <c r="C78" s="307">
        <v>0.06</v>
      </c>
      <c r="D78" s="308">
        <v>0.53280000000000005</v>
      </c>
      <c r="E78" s="309">
        <v>0.65</v>
      </c>
      <c r="F78" s="309">
        <v>0.68</v>
      </c>
      <c r="G78" s="340">
        <v>2016</v>
      </c>
      <c r="H78" s="341" t="str">
        <f t="shared" si="7"/>
        <v>£m 12/13</v>
      </c>
      <c r="I78" s="341" t="s">
        <v>270</v>
      </c>
      <c r="J78" s="424" t="s">
        <v>482</v>
      </c>
      <c r="K78" s="553"/>
      <c r="L78" s="554"/>
      <c r="M78" s="432">
        <f t="shared" si="8"/>
        <v>2.5499999999999998E-2</v>
      </c>
      <c r="N78" s="432">
        <f t="shared" si="9"/>
        <v>2.4199999999999999E-2</v>
      </c>
      <c r="O78" s="432">
        <f t="shared" si="10"/>
        <v>2.29E-2</v>
      </c>
      <c r="P78" s="432">
        <f t="shared" si="11"/>
        <v>2.0899999999999998E-2</v>
      </c>
      <c r="Q78" s="432">
        <f t="shared" si="12"/>
        <v>1.9400000000000001E-2</v>
      </c>
      <c r="R78" s="432">
        <f t="shared" si="13"/>
        <v>1.78E-2</v>
      </c>
      <c r="S78" s="432">
        <f t="shared" si="14"/>
        <v>1.6199999999999999E-2</v>
      </c>
      <c r="T78" s="436">
        <f t="shared" si="15"/>
        <v>1.44E-2</v>
      </c>
    </row>
    <row r="79" spans="1:20">
      <c r="A79" s="60" t="s">
        <v>172</v>
      </c>
      <c r="B79" s="72" t="s">
        <v>45</v>
      </c>
      <c r="C79" s="307">
        <v>0.06</v>
      </c>
      <c r="D79" s="308">
        <v>0.53500000000000003</v>
      </c>
      <c r="E79" s="309">
        <v>0.65</v>
      </c>
      <c r="F79" s="309">
        <v>0.8</v>
      </c>
      <c r="G79" s="340">
        <v>2016</v>
      </c>
      <c r="H79" s="341" t="str">
        <f t="shared" si="7"/>
        <v>£m 12/13</v>
      </c>
      <c r="I79" s="341" t="s">
        <v>270</v>
      </c>
      <c r="J79" s="424" t="s">
        <v>482</v>
      </c>
      <c r="K79" s="553"/>
      <c r="L79" s="554"/>
      <c r="M79" s="432">
        <f t="shared" si="8"/>
        <v>2.5499999999999998E-2</v>
      </c>
      <c r="N79" s="432">
        <f t="shared" si="9"/>
        <v>2.4199999999999999E-2</v>
      </c>
      <c r="O79" s="432">
        <f t="shared" si="10"/>
        <v>2.29E-2</v>
      </c>
      <c r="P79" s="432">
        <f t="shared" si="11"/>
        <v>2.0899999999999998E-2</v>
      </c>
      <c r="Q79" s="432">
        <f t="shared" si="12"/>
        <v>1.9400000000000001E-2</v>
      </c>
      <c r="R79" s="432">
        <f t="shared" si="13"/>
        <v>1.78E-2</v>
      </c>
      <c r="S79" s="432">
        <f t="shared" si="14"/>
        <v>1.6199999999999999E-2</v>
      </c>
      <c r="T79" s="436">
        <f t="shared" si="15"/>
        <v>1.44E-2</v>
      </c>
    </row>
    <row r="80" spans="1:20">
      <c r="A80" s="60" t="s">
        <v>172</v>
      </c>
      <c r="B80" s="72" t="s">
        <v>46</v>
      </c>
      <c r="C80" s="307">
        <v>0.06</v>
      </c>
      <c r="D80" s="308">
        <v>0.53500000000000003</v>
      </c>
      <c r="E80" s="309">
        <v>0.65</v>
      </c>
      <c r="F80" s="309">
        <v>0.8</v>
      </c>
      <c r="G80" s="340">
        <v>2016</v>
      </c>
      <c r="H80" s="341" t="str">
        <f t="shared" si="7"/>
        <v>£m 12/13</v>
      </c>
      <c r="I80" s="341" t="s">
        <v>270</v>
      </c>
      <c r="J80" s="424" t="s">
        <v>482</v>
      </c>
      <c r="K80" s="553"/>
      <c r="L80" s="554"/>
      <c r="M80" s="432">
        <f t="shared" si="8"/>
        <v>2.5499999999999998E-2</v>
      </c>
      <c r="N80" s="432">
        <f t="shared" si="9"/>
        <v>2.4199999999999999E-2</v>
      </c>
      <c r="O80" s="432">
        <f t="shared" si="10"/>
        <v>2.29E-2</v>
      </c>
      <c r="P80" s="432">
        <f t="shared" si="11"/>
        <v>2.0899999999999998E-2</v>
      </c>
      <c r="Q80" s="432">
        <f t="shared" si="12"/>
        <v>1.9400000000000001E-2</v>
      </c>
      <c r="R80" s="432">
        <f t="shared" si="13"/>
        <v>1.78E-2</v>
      </c>
      <c r="S80" s="432">
        <f t="shared" si="14"/>
        <v>1.6199999999999999E-2</v>
      </c>
      <c r="T80" s="436">
        <f t="shared" si="15"/>
        <v>1.44E-2</v>
      </c>
    </row>
    <row r="81" spans="1:20">
      <c r="A81" s="60" t="s">
        <v>172</v>
      </c>
      <c r="B81" s="72" t="s">
        <v>47</v>
      </c>
      <c r="C81" s="307">
        <v>0.06</v>
      </c>
      <c r="D81" s="308">
        <v>0.56469999999999998</v>
      </c>
      <c r="E81" s="309">
        <v>0.65</v>
      </c>
      <c r="F81" s="309">
        <v>0.62</v>
      </c>
      <c r="G81" s="340">
        <v>2016</v>
      </c>
      <c r="H81" s="341" t="str">
        <f t="shared" si="7"/>
        <v>£m 12/13</v>
      </c>
      <c r="I81" s="341" t="s">
        <v>270</v>
      </c>
      <c r="J81" s="424" t="s">
        <v>482</v>
      </c>
      <c r="K81" s="553"/>
      <c r="L81" s="554"/>
      <c r="M81" s="432">
        <f t="shared" si="8"/>
        <v>2.5499999999999998E-2</v>
      </c>
      <c r="N81" s="432">
        <f t="shared" si="9"/>
        <v>2.4199999999999999E-2</v>
      </c>
      <c r="O81" s="432">
        <f t="shared" si="10"/>
        <v>2.29E-2</v>
      </c>
      <c r="P81" s="432">
        <f t="shared" si="11"/>
        <v>2.0899999999999998E-2</v>
      </c>
      <c r="Q81" s="432">
        <f t="shared" si="12"/>
        <v>1.9400000000000001E-2</v>
      </c>
      <c r="R81" s="432">
        <f t="shared" si="13"/>
        <v>1.78E-2</v>
      </c>
      <c r="S81" s="432">
        <f t="shared" si="14"/>
        <v>1.6199999999999999E-2</v>
      </c>
      <c r="T81" s="436">
        <f t="shared" si="15"/>
        <v>1.44E-2</v>
      </c>
    </row>
    <row r="82" spans="1:20">
      <c r="A82" s="60" t="s">
        <v>172</v>
      </c>
      <c r="B82" s="72" t="s">
        <v>48</v>
      </c>
      <c r="C82" s="307">
        <v>0.06</v>
      </c>
      <c r="D82" s="308">
        <v>0.56469999999999998</v>
      </c>
      <c r="E82" s="309">
        <v>0.65</v>
      </c>
      <c r="F82" s="309">
        <v>0.7</v>
      </c>
      <c r="G82" s="340">
        <v>2016</v>
      </c>
      <c r="H82" s="341" t="str">
        <f t="shared" si="7"/>
        <v>£m 12/13</v>
      </c>
      <c r="I82" s="341" t="s">
        <v>270</v>
      </c>
      <c r="J82" s="424" t="s">
        <v>482</v>
      </c>
      <c r="K82" s="553"/>
      <c r="L82" s="554"/>
      <c r="M82" s="432">
        <f t="shared" si="8"/>
        <v>2.5499999999999998E-2</v>
      </c>
      <c r="N82" s="432">
        <f t="shared" si="9"/>
        <v>2.4199999999999999E-2</v>
      </c>
      <c r="O82" s="432">
        <f t="shared" si="10"/>
        <v>2.29E-2</v>
      </c>
      <c r="P82" s="432">
        <f t="shared" si="11"/>
        <v>2.0899999999999998E-2</v>
      </c>
      <c r="Q82" s="432">
        <f t="shared" si="12"/>
        <v>1.9400000000000001E-2</v>
      </c>
      <c r="R82" s="432">
        <f t="shared" si="13"/>
        <v>1.78E-2</v>
      </c>
      <c r="S82" s="432">
        <f t="shared" si="14"/>
        <v>1.6199999999999999E-2</v>
      </c>
      <c r="T82" s="436">
        <f t="shared" si="15"/>
        <v>1.44E-2</v>
      </c>
    </row>
    <row r="83" spans="1:20">
      <c r="A83" s="60" t="s">
        <v>172</v>
      </c>
      <c r="B83" s="72" t="s">
        <v>246</v>
      </c>
      <c r="C83" s="307">
        <v>6.4000000000000001E-2</v>
      </c>
      <c r="D83" s="308">
        <v>0.7</v>
      </c>
      <c r="E83" s="309">
        <v>0.65</v>
      </c>
      <c r="F83" s="309">
        <v>0.8</v>
      </c>
      <c r="G83" s="340">
        <v>2016</v>
      </c>
      <c r="H83" s="341" t="str">
        <f t="shared" si="7"/>
        <v>£m 12/13</v>
      </c>
      <c r="I83" s="341" t="s">
        <v>271</v>
      </c>
      <c r="J83" s="424" t="s">
        <v>483</v>
      </c>
      <c r="K83" s="553"/>
      <c r="L83" s="554"/>
      <c r="M83" s="432">
        <f t="shared" ref="M83:T86" si="16">E$63</f>
        <v>2.5499999999999998E-2</v>
      </c>
      <c r="N83" s="432">
        <f t="shared" si="16"/>
        <v>2.3799999999999998E-2</v>
      </c>
      <c r="O83" s="432">
        <f t="shared" si="16"/>
        <v>2.2200000000000001E-2</v>
      </c>
      <c r="P83" s="432">
        <f t="shared" si="16"/>
        <v>1.9099999999999999E-2</v>
      </c>
      <c r="Q83" s="432">
        <f t="shared" si="16"/>
        <v>1.5800000000000002E-2</v>
      </c>
      <c r="R83" s="432">
        <f t="shared" si="16"/>
        <v>1.09E-2</v>
      </c>
      <c r="S83" s="432">
        <f t="shared" si="16"/>
        <v>7.6E-3</v>
      </c>
      <c r="T83" s="436">
        <f t="shared" si="16"/>
        <v>3.8999999999999998E-3</v>
      </c>
    </row>
    <row r="84" spans="1:20">
      <c r="A84" s="60" t="s">
        <v>172</v>
      </c>
      <c r="B84" s="72" t="s">
        <v>247</v>
      </c>
      <c r="C84" s="307">
        <v>6.4000000000000001E-2</v>
      </c>
      <c r="D84" s="308">
        <v>0.7</v>
      </c>
      <c r="E84" s="309">
        <v>0.65</v>
      </c>
      <c r="F84" s="309">
        <v>0.8</v>
      </c>
      <c r="G84" s="340">
        <v>2016</v>
      </c>
      <c r="H84" s="341" t="str">
        <f t="shared" si="7"/>
        <v>£m 12/13</v>
      </c>
      <c r="I84" s="341" t="s">
        <v>271</v>
      </c>
      <c r="J84" s="424" t="s">
        <v>483</v>
      </c>
      <c r="K84" s="553"/>
      <c r="L84" s="554"/>
      <c r="M84" s="432">
        <f t="shared" si="16"/>
        <v>2.5499999999999998E-2</v>
      </c>
      <c r="N84" s="432">
        <f t="shared" si="16"/>
        <v>2.3799999999999998E-2</v>
      </c>
      <c r="O84" s="432">
        <f t="shared" si="16"/>
        <v>2.2200000000000001E-2</v>
      </c>
      <c r="P84" s="432">
        <f t="shared" si="16"/>
        <v>1.9099999999999999E-2</v>
      </c>
      <c r="Q84" s="432">
        <f t="shared" si="16"/>
        <v>1.5800000000000002E-2</v>
      </c>
      <c r="R84" s="432">
        <f t="shared" si="16"/>
        <v>1.09E-2</v>
      </c>
      <c r="S84" s="432">
        <f t="shared" si="16"/>
        <v>7.6E-3</v>
      </c>
      <c r="T84" s="436">
        <f t="shared" si="16"/>
        <v>3.8999999999999998E-3</v>
      </c>
    </row>
    <row r="85" spans="1:20">
      <c r="A85" s="60" t="s">
        <v>172</v>
      </c>
      <c r="B85" s="72" t="s">
        <v>248</v>
      </c>
      <c r="C85" s="307">
        <v>6.4000000000000001E-2</v>
      </c>
      <c r="D85" s="308">
        <v>0.7</v>
      </c>
      <c r="E85" s="309">
        <v>0.65</v>
      </c>
      <c r="F85" s="309">
        <v>0.8</v>
      </c>
      <c r="G85" s="340">
        <v>2016</v>
      </c>
      <c r="H85" s="341" t="str">
        <f t="shared" si="7"/>
        <v>£m 12/13</v>
      </c>
      <c r="I85" s="341" t="s">
        <v>271</v>
      </c>
      <c r="J85" s="424" t="s">
        <v>483</v>
      </c>
      <c r="K85" s="553"/>
      <c r="L85" s="554"/>
      <c r="M85" s="432">
        <f t="shared" si="16"/>
        <v>2.5499999999999998E-2</v>
      </c>
      <c r="N85" s="432">
        <f t="shared" si="16"/>
        <v>2.3799999999999998E-2</v>
      </c>
      <c r="O85" s="432">
        <f t="shared" si="16"/>
        <v>2.2200000000000001E-2</v>
      </c>
      <c r="P85" s="432">
        <f t="shared" si="16"/>
        <v>1.9099999999999999E-2</v>
      </c>
      <c r="Q85" s="432">
        <f t="shared" si="16"/>
        <v>1.5800000000000002E-2</v>
      </c>
      <c r="R85" s="432">
        <f t="shared" si="16"/>
        <v>1.09E-2</v>
      </c>
      <c r="S85" s="432">
        <f t="shared" si="16"/>
        <v>7.6E-3</v>
      </c>
      <c r="T85" s="436">
        <f t="shared" si="16"/>
        <v>3.8999999999999998E-3</v>
      </c>
    </row>
    <row r="86" spans="1:20">
      <c r="A86" s="60" t="s">
        <v>172</v>
      </c>
      <c r="B86" s="72" t="s">
        <v>249</v>
      </c>
      <c r="C86" s="307">
        <v>6.4000000000000001E-2</v>
      </c>
      <c r="D86" s="308">
        <v>0.7</v>
      </c>
      <c r="E86" s="309">
        <v>0.65</v>
      </c>
      <c r="F86" s="309">
        <v>0.8</v>
      </c>
      <c r="G86" s="340">
        <v>2016</v>
      </c>
      <c r="H86" s="341" t="str">
        <f t="shared" si="7"/>
        <v>£m 12/13</v>
      </c>
      <c r="I86" s="341" t="s">
        <v>271</v>
      </c>
      <c r="J86" s="424" t="s">
        <v>483</v>
      </c>
      <c r="K86" s="553"/>
      <c r="L86" s="554"/>
      <c r="M86" s="432">
        <f t="shared" si="16"/>
        <v>2.5499999999999998E-2</v>
      </c>
      <c r="N86" s="432">
        <f t="shared" si="16"/>
        <v>2.3799999999999998E-2</v>
      </c>
      <c r="O86" s="432">
        <f t="shared" si="16"/>
        <v>2.2200000000000001E-2</v>
      </c>
      <c r="P86" s="432">
        <f t="shared" si="16"/>
        <v>1.9099999999999999E-2</v>
      </c>
      <c r="Q86" s="432">
        <f t="shared" si="16"/>
        <v>1.5800000000000002E-2</v>
      </c>
      <c r="R86" s="432">
        <f t="shared" si="16"/>
        <v>1.09E-2</v>
      </c>
      <c r="S86" s="432">
        <f t="shared" si="16"/>
        <v>7.6E-3</v>
      </c>
      <c r="T86" s="436">
        <f t="shared" si="16"/>
        <v>3.8999999999999998E-3</v>
      </c>
    </row>
    <row r="87" spans="1:20">
      <c r="A87" s="60" t="s">
        <v>173</v>
      </c>
      <c r="B87" s="72" t="s">
        <v>53</v>
      </c>
      <c r="C87" s="307">
        <v>6.7000000000000004E-2</v>
      </c>
      <c r="D87" s="308">
        <v>0.63039999999999996</v>
      </c>
      <c r="E87" s="309">
        <v>0.65</v>
      </c>
      <c r="F87" s="309">
        <v>0.26634501855794862</v>
      </c>
      <c r="G87" s="340">
        <v>2014</v>
      </c>
      <c r="H87" s="341" t="str">
        <f t="shared" si="7"/>
        <v>£m 09/10</v>
      </c>
      <c r="I87" s="341" t="s">
        <v>270</v>
      </c>
      <c r="J87" s="424" t="s">
        <v>483</v>
      </c>
      <c r="K87" s="434">
        <f t="shared" ref="K87:R94" si="17">C$67</f>
        <v>2.92E-2</v>
      </c>
      <c r="L87" s="432">
        <f t="shared" si="17"/>
        <v>2.7199999999999998E-2</v>
      </c>
      <c r="M87" s="432">
        <f t="shared" si="17"/>
        <v>2.5499999999999998E-2</v>
      </c>
      <c r="N87" s="432">
        <f t="shared" si="17"/>
        <v>2.3800000000000002E-2</v>
      </c>
      <c r="O87" s="432">
        <f t="shared" si="17"/>
        <v>2.2200000000000001E-2</v>
      </c>
      <c r="P87" s="432">
        <f t="shared" si="17"/>
        <v>1.9099999999999999E-2</v>
      </c>
      <c r="Q87" s="432">
        <f t="shared" si="17"/>
        <v>1.5800000000000002E-2</v>
      </c>
      <c r="R87" s="432">
        <f t="shared" si="17"/>
        <v>1.09E-2</v>
      </c>
      <c r="S87" s="554"/>
      <c r="T87" s="555"/>
    </row>
    <row r="88" spans="1:20">
      <c r="A88" s="60" t="s">
        <v>173</v>
      </c>
      <c r="B88" s="72" t="s">
        <v>54</v>
      </c>
      <c r="C88" s="307">
        <v>6.7000000000000004E-2</v>
      </c>
      <c r="D88" s="308">
        <v>0.63039999999999996</v>
      </c>
      <c r="E88" s="309">
        <v>0.65</v>
      </c>
      <c r="F88" s="309">
        <v>0.23469337831705597</v>
      </c>
      <c r="G88" s="340">
        <v>2014</v>
      </c>
      <c r="H88" s="341" t="str">
        <f t="shared" si="7"/>
        <v>£m 09/10</v>
      </c>
      <c r="I88" s="341" t="s">
        <v>270</v>
      </c>
      <c r="J88" s="424" t="s">
        <v>483</v>
      </c>
      <c r="K88" s="434">
        <f t="shared" si="17"/>
        <v>2.92E-2</v>
      </c>
      <c r="L88" s="432">
        <f t="shared" si="17"/>
        <v>2.7199999999999998E-2</v>
      </c>
      <c r="M88" s="432">
        <f t="shared" si="17"/>
        <v>2.5499999999999998E-2</v>
      </c>
      <c r="N88" s="432">
        <f t="shared" si="17"/>
        <v>2.3800000000000002E-2</v>
      </c>
      <c r="O88" s="432">
        <f t="shared" si="17"/>
        <v>2.2200000000000001E-2</v>
      </c>
      <c r="P88" s="432">
        <f t="shared" si="17"/>
        <v>1.9099999999999999E-2</v>
      </c>
      <c r="Q88" s="432">
        <f t="shared" si="17"/>
        <v>1.5800000000000002E-2</v>
      </c>
      <c r="R88" s="432">
        <f t="shared" si="17"/>
        <v>1.09E-2</v>
      </c>
      <c r="S88" s="554"/>
      <c r="T88" s="555"/>
    </row>
    <row r="89" spans="1:20">
      <c r="A89" s="60" t="s">
        <v>173</v>
      </c>
      <c r="B89" s="72" t="s">
        <v>55</v>
      </c>
      <c r="C89" s="307">
        <v>6.7000000000000004E-2</v>
      </c>
      <c r="D89" s="308">
        <v>0.63039999999999996</v>
      </c>
      <c r="E89" s="309">
        <v>0.65</v>
      </c>
      <c r="F89" s="309">
        <v>0.24946223864843597</v>
      </c>
      <c r="G89" s="340">
        <v>2014</v>
      </c>
      <c r="H89" s="341" t="str">
        <f t="shared" si="7"/>
        <v>£m 09/10</v>
      </c>
      <c r="I89" s="341" t="s">
        <v>270</v>
      </c>
      <c r="J89" s="424" t="s">
        <v>483</v>
      </c>
      <c r="K89" s="434">
        <f t="shared" si="17"/>
        <v>2.92E-2</v>
      </c>
      <c r="L89" s="432">
        <f t="shared" si="17"/>
        <v>2.7199999999999998E-2</v>
      </c>
      <c r="M89" s="432">
        <f t="shared" si="17"/>
        <v>2.5499999999999998E-2</v>
      </c>
      <c r="N89" s="432">
        <f t="shared" si="17"/>
        <v>2.3800000000000002E-2</v>
      </c>
      <c r="O89" s="432">
        <f t="shared" si="17"/>
        <v>2.2200000000000001E-2</v>
      </c>
      <c r="P89" s="432">
        <f t="shared" si="17"/>
        <v>1.9099999999999999E-2</v>
      </c>
      <c r="Q89" s="432">
        <f t="shared" si="17"/>
        <v>1.5800000000000002E-2</v>
      </c>
      <c r="R89" s="432">
        <f t="shared" si="17"/>
        <v>1.09E-2</v>
      </c>
      <c r="S89" s="554"/>
      <c r="T89" s="555"/>
    </row>
    <row r="90" spans="1:20">
      <c r="A90" s="60" t="s">
        <v>173</v>
      </c>
      <c r="B90" s="72" t="s">
        <v>56</v>
      </c>
      <c r="C90" s="307">
        <v>6.7000000000000004E-2</v>
      </c>
      <c r="D90" s="308">
        <v>0.63039999999999996</v>
      </c>
      <c r="E90" s="309">
        <v>0.65</v>
      </c>
      <c r="F90" s="309">
        <v>0.26095352485819256</v>
      </c>
      <c r="G90" s="340">
        <v>2014</v>
      </c>
      <c r="H90" s="341" t="str">
        <f t="shared" si="7"/>
        <v>£m 09/10</v>
      </c>
      <c r="I90" s="341" t="s">
        <v>270</v>
      </c>
      <c r="J90" s="424" t="s">
        <v>483</v>
      </c>
      <c r="K90" s="434">
        <f t="shared" si="17"/>
        <v>2.92E-2</v>
      </c>
      <c r="L90" s="432">
        <f t="shared" si="17"/>
        <v>2.7199999999999998E-2</v>
      </c>
      <c r="M90" s="432">
        <f t="shared" si="17"/>
        <v>2.5499999999999998E-2</v>
      </c>
      <c r="N90" s="432">
        <f t="shared" si="17"/>
        <v>2.3800000000000002E-2</v>
      </c>
      <c r="O90" s="432">
        <f t="shared" si="17"/>
        <v>2.2200000000000001E-2</v>
      </c>
      <c r="P90" s="432">
        <f t="shared" si="17"/>
        <v>1.9099999999999999E-2</v>
      </c>
      <c r="Q90" s="432">
        <f t="shared" si="17"/>
        <v>1.5800000000000002E-2</v>
      </c>
      <c r="R90" s="432">
        <f t="shared" si="17"/>
        <v>1.09E-2</v>
      </c>
      <c r="S90" s="554"/>
      <c r="T90" s="555"/>
    </row>
    <row r="91" spans="1:20">
      <c r="A91" s="60" t="s">
        <v>173</v>
      </c>
      <c r="B91" s="72" t="s">
        <v>50</v>
      </c>
      <c r="C91" s="307">
        <v>6.7000000000000004E-2</v>
      </c>
      <c r="D91" s="308">
        <v>0.63980000000000004</v>
      </c>
      <c r="E91" s="309">
        <v>0.65</v>
      </c>
      <c r="F91" s="309">
        <v>0.34984411379298247</v>
      </c>
      <c r="G91" s="340">
        <v>2014</v>
      </c>
      <c r="H91" s="341" t="str">
        <f t="shared" si="7"/>
        <v>£m 09/10</v>
      </c>
      <c r="I91" s="341" t="s">
        <v>270</v>
      </c>
      <c r="J91" s="424" t="s">
        <v>483</v>
      </c>
      <c r="K91" s="434">
        <f t="shared" si="17"/>
        <v>2.92E-2</v>
      </c>
      <c r="L91" s="432">
        <f t="shared" si="17"/>
        <v>2.7199999999999998E-2</v>
      </c>
      <c r="M91" s="432">
        <f t="shared" si="17"/>
        <v>2.5499999999999998E-2</v>
      </c>
      <c r="N91" s="432">
        <f t="shared" si="17"/>
        <v>2.3800000000000002E-2</v>
      </c>
      <c r="O91" s="432">
        <f t="shared" si="17"/>
        <v>2.2200000000000001E-2</v>
      </c>
      <c r="P91" s="432">
        <f t="shared" si="17"/>
        <v>1.9099999999999999E-2</v>
      </c>
      <c r="Q91" s="432">
        <f t="shared" si="17"/>
        <v>1.5800000000000002E-2</v>
      </c>
      <c r="R91" s="432">
        <f t="shared" si="17"/>
        <v>1.09E-2</v>
      </c>
      <c r="S91" s="554"/>
      <c r="T91" s="555"/>
    </row>
    <row r="92" spans="1:20">
      <c r="A92" s="60" t="s">
        <v>173</v>
      </c>
      <c r="B92" s="72" t="s">
        <v>52</v>
      </c>
      <c r="C92" s="307">
        <v>6.7000000000000004E-2</v>
      </c>
      <c r="D92" s="308">
        <v>0.63729999999999998</v>
      </c>
      <c r="E92" s="309">
        <v>0.65</v>
      </c>
      <c r="F92" s="309">
        <v>0.35129049661183626</v>
      </c>
      <c r="G92" s="340">
        <v>2014</v>
      </c>
      <c r="H92" s="341" t="str">
        <f t="shared" si="7"/>
        <v>£m 09/10</v>
      </c>
      <c r="I92" s="341" t="s">
        <v>270</v>
      </c>
      <c r="J92" s="424" t="s">
        <v>483</v>
      </c>
      <c r="K92" s="434">
        <f t="shared" si="17"/>
        <v>2.92E-2</v>
      </c>
      <c r="L92" s="432">
        <f t="shared" si="17"/>
        <v>2.7199999999999998E-2</v>
      </c>
      <c r="M92" s="432">
        <f t="shared" si="17"/>
        <v>2.5499999999999998E-2</v>
      </c>
      <c r="N92" s="432">
        <f t="shared" si="17"/>
        <v>2.3800000000000002E-2</v>
      </c>
      <c r="O92" s="432">
        <f t="shared" si="17"/>
        <v>2.2200000000000001E-2</v>
      </c>
      <c r="P92" s="432">
        <f t="shared" si="17"/>
        <v>1.9099999999999999E-2</v>
      </c>
      <c r="Q92" s="432">
        <f t="shared" si="17"/>
        <v>1.5800000000000002E-2</v>
      </c>
      <c r="R92" s="432">
        <f t="shared" si="17"/>
        <v>1.09E-2</v>
      </c>
      <c r="S92" s="554"/>
      <c r="T92" s="555"/>
    </row>
    <row r="93" spans="1:20">
      <c r="A93" s="60" t="s">
        <v>173</v>
      </c>
      <c r="B93" s="72" t="s">
        <v>51</v>
      </c>
      <c r="C93" s="307">
        <v>6.7000000000000004E-2</v>
      </c>
      <c r="D93" s="308">
        <v>0.63729999999999998</v>
      </c>
      <c r="E93" s="309">
        <v>0.65</v>
      </c>
      <c r="F93" s="309">
        <v>0.32230855902021693</v>
      </c>
      <c r="G93" s="340">
        <v>2014</v>
      </c>
      <c r="H93" s="341" t="str">
        <f t="shared" si="7"/>
        <v>£m 09/10</v>
      </c>
      <c r="I93" s="341" t="s">
        <v>270</v>
      </c>
      <c r="J93" s="424" t="s">
        <v>483</v>
      </c>
      <c r="K93" s="434">
        <f t="shared" si="17"/>
        <v>2.92E-2</v>
      </c>
      <c r="L93" s="432">
        <f t="shared" si="17"/>
        <v>2.7199999999999998E-2</v>
      </c>
      <c r="M93" s="432">
        <f t="shared" si="17"/>
        <v>2.5499999999999998E-2</v>
      </c>
      <c r="N93" s="432">
        <f t="shared" si="17"/>
        <v>2.3800000000000002E-2</v>
      </c>
      <c r="O93" s="432">
        <f t="shared" si="17"/>
        <v>2.2200000000000001E-2</v>
      </c>
      <c r="P93" s="432">
        <f t="shared" si="17"/>
        <v>1.9099999999999999E-2</v>
      </c>
      <c r="Q93" s="432">
        <f t="shared" si="17"/>
        <v>1.5800000000000002E-2</v>
      </c>
      <c r="R93" s="432">
        <f t="shared" si="17"/>
        <v>1.09E-2</v>
      </c>
      <c r="S93" s="554"/>
      <c r="T93" s="555"/>
    </row>
    <row r="94" spans="1:20">
      <c r="A94" s="60" t="s">
        <v>173</v>
      </c>
      <c r="B94" s="72" t="s">
        <v>49</v>
      </c>
      <c r="C94" s="307">
        <v>6.7000000000000004E-2</v>
      </c>
      <c r="D94" s="308">
        <v>0.63170000000000004</v>
      </c>
      <c r="E94" s="309">
        <v>0.65</v>
      </c>
      <c r="F94" s="309">
        <v>0.35781904469402892</v>
      </c>
      <c r="G94" s="340">
        <v>2014</v>
      </c>
      <c r="H94" s="341" t="str">
        <f t="shared" si="7"/>
        <v>£m 09/10</v>
      </c>
      <c r="I94" s="341" t="s">
        <v>270</v>
      </c>
      <c r="J94" s="424" t="s">
        <v>483</v>
      </c>
      <c r="K94" s="434">
        <f t="shared" si="17"/>
        <v>2.92E-2</v>
      </c>
      <c r="L94" s="432">
        <f t="shared" si="17"/>
        <v>2.7199999999999998E-2</v>
      </c>
      <c r="M94" s="432">
        <f t="shared" si="17"/>
        <v>2.5499999999999998E-2</v>
      </c>
      <c r="N94" s="432">
        <f t="shared" si="17"/>
        <v>2.3800000000000002E-2</v>
      </c>
      <c r="O94" s="432">
        <f t="shared" si="17"/>
        <v>2.2200000000000001E-2</v>
      </c>
      <c r="P94" s="432">
        <f t="shared" si="17"/>
        <v>1.9099999999999999E-2</v>
      </c>
      <c r="Q94" s="432">
        <f t="shared" si="17"/>
        <v>1.5800000000000002E-2</v>
      </c>
      <c r="R94" s="432">
        <f t="shared" si="17"/>
        <v>1.09E-2</v>
      </c>
      <c r="S94" s="554"/>
      <c r="T94" s="555"/>
    </row>
    <row r="95" spans="1:20">
      <c r="A95" s="60" t="s">
        <v>175</v>
      </c>
      <c r="B95" s="72" t="s">
        <v>113</v>
      </c>
      <c r="C95" s="307">
        <v>6.8000000000000005E-2</v>
      </c>
      <c r="D95" s="308">
        <v>0.44359999999999999</v>
      </c>
      <c r="E95" s="309">
        <v>0.625</v>
      </c>
      <c r="F95" s="309">
        <v>0.64400000000000002</v>
      </c>
      <c r="G95" s="340">
        <v>2014</v>
      </c>
      <c r="H95" s="341" t="str">
        <f t="shared" si="7"/>
        <v>£m 09/10</v>
      </c>
      <c r="I95" s="341" t="s">
        <v>270</v>
      </c>
      <c r="J95" s="424" t="s">
        <v>483</v>
      </c>
      <c r="K95" s="434">
        <f t="shared" ref="K95:R96" si="18">C$68</f>
        <v>2.92E-2</v>
      </c>
      <c r="L95" s="432">
        <f t="shared" si="18"/>
        <v>2.7199999999999998E-2</v>
      </c>
      <c r="M95" s="432">
        <f t="shared" si="18"/>
        <v>2.5499999999999998E-2</v>
      </c>
      <c r="N95" s="432">
        <f t="shared" si="18"/>
        <v>2.3800000000000002E-2</v>
      </c>
      <c r="O95" s="432">
        <f t="shared" si="18"/>
        <v>2.2200000000000001E-2</v>
      </c>
      <c r="P95" s="432">
        <f t="shared" si="18"/>
        <v>1.9099999999999999E-2</v>
      </c>
      <c r="Q95" s="432">
        <f t="shared" si="18"/>
        <v>1.5800000000000002E-2</v>
      </c>
      <c r="R95" s="432">
        <f t="shared" si="18"/>
        <v>1.09E-2</v>
      </c>
      <c r="S95" s="554"/>
      <c r="T95" s="555"/>
    </row>
    <row r="96" spans="1:20">
      <c r="A96" s="60" t="s">
        <v>175</v>
      </c>
      <c r="B96" s="72" t="s">
        <v>114</v>
      </c>
      <c r="C96" s="307">
        <v>6.8000000000000005E-2</v>
      </c>
      <c r="D96" s="308">
        <v>0.44359999999999999</v>
      </c>
      <c r="E96" s="309">
        <v>0.625</v>
      </c>
      <c r="F96" s="309">
        <v>0.374</v>
      </c>
      <c r="G96" s="340">
        <v>2014</v>
      </c>
      <c r="H96" s="341" t="str">
        <f t="shared" si="7"/>
        <v>£m 09/10</v>
      </c>
      <c r="I96" s="341" t="s">
        <v>270</v>
      </c>
      <c r="J96" s="424" t="s">
        <v>483</v>
      </c>
      <c r="K96" s="434">
        <f t="shared" si="18"/>
        <v>2.92E-2</v>
      </c>
      <c r="L96" s="432">
        <f t="shared" si="18"/>
        <v>2.7199999999999998E-2</v>
      </c>
      <c r="M96" s="432">
        <f t="shared" si="18"/>
        <v>2.5499999999999998E-2</v>
      </c>
      <c r="N96" s="432">
        <f t="shared" si="18"/>
        <v>2.3800000000000002E-2</v>
      </c>
      <c r="O96" s="432">
        <f t="shared" si="18"/>
        <v>2.2200000000000001E-2</v>
      </c>
      <c r="P96" s="432">
        <f t="shared" si="18"/>
        <v>1.9099999999999999E-2</v>
      </c>
      <c r="Q96" s="432">
        <f t="shared" si="18"/>
        <v>1.5800000000000002E-2</v>
      </c>
      <c r="R96" s="432">
        <f t="shared" si="18"/>
        <v>1.09E-2</v>
      </c>
      <c r="S96" s="554"/>
      <c r="T96" s="555"/>
    </row>
    <row r="97" spans="1:20">
      <c r="A97" s="60" t="s">
        <v>174</v>
      </c>
      <c r="B97" s="72" t="s">
        <v>111</v>
      </c>
      <c r="C97" s="307">
        <v>7.0000000000000007E-2</v>
      </c>
      <c r="D97" s="308">
        <v>0.46889999999999998</v>
      </c>
      <c r="E97" s="309">
        <v>0.6</v>
      </c>
      <c r="F97" s="309">
        <v>0.85</v>
      </c>
      <c r="G97" s="340">
        <v>2014</v>
      </c>
      <c r="H97" s="341" t="str">
        <f t="shared" si="7"/>
        <v>£m 09/10</v>
      </c>
      <c r="I97" s="341" t="s">
        <v>270</v>
      </c>
      <c r="J97" s="424" t="s">
        <v>483</v>
      </c>
      <c r="K97" s="434">
        <f t="shared" ref="K97:R99" si="19">C$66</f>
        <v>2.92E-2</v>
      </c>
      <c r="L97" s="432">
        <f t="shared" si="19"/>
        <v>2.7199999999999998E-2</v>
      </c>
      <c r="M97" s="432">
        <f t="shared" si="19"/>
        <v>2.5499999999999998E-2</v>
      </c>
      <c r="N97" s="432">
        <f t="shared" si="19"/>
        <v>2.3800000000000002E-2</v>
      </c>
      <c r="O97" s="432">
        <f t="shared" si="19"/>
        <v>2.2200000000000001E-2</v>
      </c>
      <c r="P97" s="432">
        <f t="shared" si="19"/>
        <v>1.9099999999999999E-2</v>
      </c>
      <c r="Q97" s="432">
        <f t="shared" si="19"/>
        <v>1.5800000000000002E-2</v>
      </c>
      <c r="R97" s="432">
        <f t="shared" si="19"/>
        <v>1.09E-2</v>
      </c>
      <c r="S97" s="554"/>
      <c r="T97" s="555"/>
    </row>
    <row r="98" spans="1:20">
      <c r="A98" s="60" t="s">
        <v>174</v>
      </c>
      <c r="B98" s="72" t="s">
        <v>579</v>
      </c>
      <c r="C98" s="307">
        <v>7.0000000000000007E-2</v>
      </c>
      <c r="D98" s="308">
        <v>0.46889999999999998</v>
      </c>
      <c r="E98" s="309">
        <v>0.6</v>
      </c>
      <c r="F98" s="309">
        <v>0.27900000000000003</v>
      </c>
      <c r="G98" s="326">
        <v>2014</v>
      </c>
      <c r="H98" s="327" t="str">
        <f>VLOOKUP($A98,$E$54:$F$57,2,FALSE)</f>
        <v>£m 09/10</v>
      </c>
      <c r="I98" s="324" t="s">
        <v>270</v>
      </c>
      <c r="J98" s="424" t="s">
        <v>483</v>
      </c>
      <c r="K98" s="434">
        <f t="shared" si="19"/>
        <v>2.92E-2</v>
      </c>
      <c r="L98" s="432">
        <f t="shared" si="19"/>
        <v>2.7199999999999998E-2</v>
      </c>
      <c r="M98" s="432">
        <f t="shared" si="19"/>
        <v>2.5499999999999998E-2</v>
      </c>
      <c r="N98" s="432">
        <f t="shared" si="19"/>
        <v>2.3800000000000002E-2</v>
      </c>
      <c r="O98" s="432">
        <f t="shared" si="19"/>
        <v>2.2200000000000001E-2</v>
      </c>
      <c r="P98" s="432">
        <f t="shared" si="19"/>
        <v>1.9099999999999999E-2</v>
      </c>
      <c r="Q98" s="432">
        <f t="shared" si="19"/>
        <v>1.5800000000000002E-2</v>
      </c>
      <c r="R98" s="432">
        <f t="shared" si="19"/>
        <v>1.09E-2</v>
      </c>
      <c r="S98" s="554"/>
      <c r="T98" s="555"/>
    </row>
    <row r="99" spans="1:20">
      <c r="A99" s="60" t="s">
        <v>174</v>
      </c>
      <c r="B99" s="72" t="s">
        <v>60</v>
      </c>
      <c r="C99" s="307">
        <v>7.0000000000000007E-2</v>
      </c>
      <c r="D99" s="308">
        <v>0.5</v>
      </c>
      <c r="E99" s="309">
        <v>0.55000000000000004</v>
      </c>
      <c r="F99" s="309">
        <v>0.9</v>
      </c>
      <c r="G99" s="326">
        <v>2014</v>
      </c>
      <c r="H99" s="327" t="str">
        <f>VLOOKUP($A99,$E$54:$F$57,2,FALSE)</f>
        <v>£m 09/10</v>
      </c>
      <c r="I99" s="324" t="s">
        <v>271</v>
      </c>
      <c r="J99" s="424" t="s">
        <v>483</v>
      </c>
      <c r="K99" s="434">
        <f t="shared" si="19"/>
        <v>2.92E-2</v>
      </c>
      <c r="L99" s="432">
        <f t="shared" si="19"/>
        <v>2.7199999999999998E-2</v>
      </c>
      <c r="M99" s="432">
        <f t="shared" si="19"/>
        <v>2.5499999999999998E-2</v>
      </c>
      <c r="N99" s="432">
        <f t="shared" si="19"/>
        <v>2.3800000000000002E-2</v>
      </c>
      <c r="O99" s="432">
        <f t="shared" si="19"/>
        <v>2.2200000000000001E-2</v>
      </c>
      <c r="P99" s="432">
        <f t="shared" si="19"/>
        <v>1.9099999999999999E-2</v>
      </c>
      <c r="Q99" s="432">
        <f t="shared" si="19"/>
        <v>1.5800000000000002E-2</v>
      </c>
      <c r="R99" s="432">
        <f t="shared" si="19"/>
        <v>1.09E-2</v>
      </c>
      <c r="S99" s="554"/>
      <c r="T99" s="555"/>
    </row>
    <row r="100" spans="1:20">
      <c r="A100" s="60" t="s">
        <v>174</v>
      </c>
      <c r="B100" s="73" t="s">
        <v>61</v>
      </c>
      <c r="C100" s="310">
        <v>7.0000000000000007E-2</v>
      </c>
      <c r="D100" s="311">
        <v>0.5</v>
      </c>
      <c r="E100" s="312">
        <v>0.55000000000000004</v>
      </c>
      <c r="F100" s="312">
        <v>0.9</v>
      </c>
      <c r="G100" s="328">
        <v>2014</v>
      </c>
      <c r="H100" s="329" t="str">
        <f>VLOOKUP($A100,$E$54:$F$57,2,FALSE)</f>
        <v>£m 09/10</v>
      </c>
      <c r="I100" s="325" t="s">
        <v>271</v>
      </c>
      <c r="J100" s="424" t="s">
        <v>483</v>
      </c>
      <c r="K100" s="435">
        <f t="shared" ref="K100:R100" si="20">C$65</f>
        <v>2.92E-2</v>
      </c>
      <c r="L100" s="433">
        <f t="shared" si="20"/>
        <v>2.5000000000000001E-2</v>
      </c>
      <c r="M100" s="433">
        <f t="shared" si="20"/>
        <v>2.1499999999999998E-2</v>
      </c>
      <c r="N100" s="433">
        <f t="shared" si="20"/>
        <v>1.7899999999999999E-2</v>
      </c>
      <c r="O100" s="433">
        <f t="shared" si="20"/>
        <v>1.5100000000000001E-2</v>
      </c>
      <c r="P100" s="433">
        <f t="shared" si="20"/>
        <v>1.1599999999999999E-2</v>
      </c>
      <c r="Q100" s="433">
        <f t="shared" si="20"/>
        <v>1.0200000000000001E-2</v>
      </c>
      <c r="R100" s="433">
        <f t="shared" si="20"/>
        <v>7.6E-3</v>
      </c>
      <c r="S100" s="556"/>
      <c r="T100" s="557"/>
    </row>
    <row r="101" spans="1:20">
      <c r="I101" s="67"/>
    </row>
    <row r="102" spans="1:20">
      <c r="I102" s="67"/>
    </row>
    <row r="103" spans="1:20">
      <c r="I103" s="67"/>
    </row>
    <row r="104" spans="1:20">
      <c r="B104" s="14" t="s">
        <v>250</v>
      </c>
      <c r="D104" s="298"/>
      <c r="E104" s="298"/>
      <c r="F104" s="298"/>
      <c r="G104" s="298"/>
      <c r="H104" s="298"/>
      <c r="I104" s="298"/>
      <c r="J104" s="298"/>
    </row>
    <row r="105" spans="1:20">
      <c r="B105" s="14"/>
      <c r="C105" s="117">
        <v>2014</v>
      </c>
      <c r="D105" s="118">
        <f>C105+1</f>
        <v>2015</v>
      </c>
      <c r="E105" s="118">
        <f t="shared" ref="E105:J105" si="21">D105+1</f>
        <v>2016</v>
      </c>
      <c r="F105" s="118">
        <f>E105+1</f>
        <v>2017</v>
      </c>
      <c r="G105" s="118">
        <f t="shared" si="21"/>
        <v>2018</v>
      </c>
      <c r="H105" s="118">
        <f t="shared" si="21"/>
        <v>2019</v>
      </c>
      <c r="I105" s="118">
        <f t="shared" si="21"/>
        <v>2020</v>
      </c>
      <c r="J105" s="118">
        <f t="shared" si="21"/>
        <v>2021</v>
      </c>
    </row>
    <row r="106" spans="1:20">
      <c r="B106" s="302" t="s">
        <v>53</v>
      </c>
      <c r="C106" s="299">
        <v>0.5</v>
      </c>
      <c r="D106" s="299">
        <v>0.5714285714285714</v>
      </c>
      <c r="E106" s="299">
        <v>0.64285714285714279</v>
      </c>
      <c r="F106" s="299">
        <v>0.71428571428571419</v>
      </c>
      <c r="G106" s="299">
        <v>0.78571428571428559</v>
      </c>
      <c r="H106" s="299">
        <v>0.85714285714285698</v>
      </c>
      <c r="I106" s="299">
        <v>0.92857142857142838</v>
      </c>
      <c r="J106" s="300">
        <v>1</v>
      </c>
    </row>
    <row r="107" spans="1:20">
      <c r="B107" s="303" t="s">
        <v>54</v>
      </c>
      <c r="C107" s="219">
        <v>0.5</v>
      </c>
      <c r="D107" s="219">
        <v>0.5714285714285714</v>
      </c>
      <c r="E107" s="219">
        <v>0.64285714285714279</v>
      </c>
      <c r="F107" s="219">
        <v>0.71428571428571419</v>
      </c>
      <c r="G107" s="219">
        <v>0.78571428571428559</v>
      </c>
      <c r="H107" s="219">
        <v>0.85714285714285698</v>
      </c>
      <c r="I107" s="219">
        <v>0.92857142857142838</v>
      </c>
      <c r="J107" s="220">
        <v>1</v>
      </c>
    </row>
    <row r="108" spans="1:20">
      <c r="B108" s="303" t="s">
        <v>55</v>
      </c>
      <c r="C108" s="219">
        <v>0.5</v>
      </c>
      <c r="D108" s="219">
        <v>0.5714285714285714</v>
      </c>
      <c r="E108" s="219">
        <v>0.64285714285714279</v>
      </c>
      <c r="F108" s="219">
        <v>0.71428571428571419</v>
      </c>
      <c r="G108" s="219">
        <v>0.78571428571428559</v>
      </c>
      <c r="H108" s="219">
        <v>0.85714285714285698</v>
      </c>
      <c r="I108" s="219">
        <v>0.92857142857142838</v>
      </c>
      <c r="J108" s="220">
        <v>1</v>
      </c>
    </row>
    <row r="109" spans="1:20">
      <c r="B109" s="303" t="s">
        <v>56</v>
      </c>
      <c r="C109" s="219">
        <v>0.5</v>
      </c>
      <c r="D109" s="219">
        <v>0.5714285714285714</v>
      </c>
      <c r="E109" s="219">
        <v>0.64285714285714279</v>
      </c>
      <c r="F109" s="219">
        <v>0.71428571428571419</v>
      </c>
      <c r="G109" s="219">
        <v>0.78571428571428559</v>
      </c>
      <c r="H109" s="219">
        <v>0.85714285714285698</v>
      </c>
      <c r="I109" s="219">
        <v>0.92857142857142838</v>
      </c>
      <c r="J109" s="220">
        <v>1</v>
      </c>
    </row>
    <row r="110" spans="1:20">
      <c r="B110" s="303" t="s">
        <v>50</v>
      </c>
      <c r="C110" s="219">
        <v>0.5</v>
      </c>
      <c r="D110" s="219">
        <v>0.5714285714285714</v>
      </c>
      <c r="E110" s="219">
        <v>0.64285714285714279</v>
      </c>
      <c r="F110" s="219">
        <v>0.71428571428571419</v>
      </c>
      <c r="G110" s="219">
        <v>0.78571428571428559</v>
      </c>
      <c r="H110" s="219">
        <v>0.85714285714285698</v>
      </c>
      <c r="I110" s="219">
        <v>0.92857142857142838</v>
      </c>
      <c r="J110" s="220">
        <v>1</v>
      </c>
    </row>
    <row r="111" spans="1:20">
      <c r="B111" s="303" t="s">
        <v>52</v>
      </c>
      <c r="C111" s="219">
        <v>0.5</v>
      </c>
      <c r="D111" s="219">
        <v>0.5714285714285714</v>
      </c>
      <c r="E111" s="219">
        <v>0.64285714285714279</v>
      </c>
      <c r="F111" s="219">
        <v>0.71428571428571419</v>
      </c>
      <c r="G111" s="219">
        <v>0.78571428571428559</v>
      </c>
      <c r="H111" s="219">
        <v>0.85714285714285698</v>
      </c>
      <c r="I111" s="219">
        <v>0.92857142857142838</v>
      </c>
      <c r="J111" s="220">
        <v>1</v>
      </c>
    </row>
    <row r="112" spans="1:20">
      <c r="B112" s="303" t="s">
        <v>51</v>
      </c>
      <c r="C112" s="219">
        <v>0.5</v>
      </c>
      <c r="D112" s="219">
        <v>0.5714285714285714</v>
      </c>
      <c r="E112" s="219">
        <v>0.64285714285714279</v>
      </c>
      <c r="F112" s="219">
        <v>0.71428571428571419</v>
      </c>
      <c r="G112" s="219">
        <v>0.78571428571428559</v>
      </c>
      <c r="H112" s="219">
        <v>0.85714285714285698</v>
      </c>
      <c r="I112" s="219">
        <v>0.92857142857142838</v>
      </c>
      <c r="J112" s="220">
        <v>1</v>
      </c>
    </row>
    <row r="113" spans="2:15">
      <c r="B113" s="417" t="s">
        <v>49</v>
      </c>
      <c r="C113" s="418">
        <v>0.5</v>
      </c>
      <c r="D113" s="418">
        <v>0.5714285714285714</v>
      </c>
      <c r="E113" s="418">
        <v>0.64285714285714279</v>
      </c>
      <c r="F113" s="418">
        <v>0.71428571428571419</v>
      </c>
      <c r="G113" s="418">
        <v>0.78571428571428559</v>
      </c>
      <c r="H113" s="418">
        <v>0.85714285714285698</v>
      </c>
      <c r="I113" s="418">
        <v>0.92857142857142838</v>
      </c>
      <c r="J113" s="419">
        <v>1</v>
      </c>
    </row>
    <row r="114" spans="2:15">
      <c r="B114" s="303" t="s">
        <v>113</v>
      </c>
      <c r="C114" s="219">
        <v>0.9</v>
      </c>
      <c r="D114" s="219">
        <v>0.9</v>
      </c>
      <c r="E114" s="219">
        <v>0.9</v>
      </c>
      <c r="F114" s="219">
        <v>0.9</v>
      </c>
      <c r="G114" s="219">
        <v>0.9</v>
      </c>
      <c r="H114" s="219">
        <v>0.9</v>
      </c>
      <c r="I114" s="219">
        <v>0.9</v>
      </c>
      <c r="J114" s="220">
        <v>0.9</v>
      </c>
    </row>
    <row r="115" spans="2:15">
      <c r="B115" s="304" t="s">
        <v>114</v>
      </c>
      <c r="C115" s="561"/>
      <c r="D115" s="561"/>
      <c r="E115" s="561"/>
      <c r="F115" s="561"/>
      <c r="G115" s="561"/>
      <c r="H115" s="561"/>
      <c r="I115" s="561"/>
      <c r="J115" s="561"/>
    </row>
    <row r="116" spans="2:15">
      <c r="B116" s="399"/>
      <c r="C116" s="458"/>
      <c r="D116" s="458"/>
      <c r="E116" s="458"/>
      <c r="F116" s="458"/>
      <c r="G116" s="458"/>
      <c r="H116" s="458"/>
      <c r="I116" s="458"/>
      <c r="J116" s="458"/>
      <c r="M116" s="31"/>
      <c r="N116" s="31"/>
      <c r="O116" s="31"/>
    </row>
    <row r="117" spans="2:15">
      <c r="B117" s="399"/>
      <c r="C117" s="458"/>
      <c r="D117" s="458"/>
      <c r="E117" s="458"/>
      <c r="F117" s="458"/>
      <c r="G117" s="458"/>
      <c r="H117" s="458"/>
      <c r="I117" s="458"/>
      <c r="J117" s="458"/>
      <c r="K117" s="365"/>
      <c r="L117" s="365"/>
      <c r="M117" s="31"/>
      <c r="N117" s="31"/>
      <c r="O117" s="31"/>
    </row>
    <row r="118" spans="2:15">
      <c r="B118" s="468" t="s">
        <v>214</v>
      </c>
      <c r="C118" s="117">
        <v>2014</v>
      </c>
      <c r="D118" s="118">
        <f t="shared" ref="D118:L118" si="22">C118+1</f>
        <v>2015</v>
      </c>
      <c r="E118" s="118">
        <f t="shared" si="22"/>
        <v>2016</v>
      </c>
      <c r="F118" s="118">
        <f t="shared" si="22"/>
        <v>2017</v>
      </c>
      <c r="G118" s="118">
        <f t="shared" si="22"/>
        <v>2018</v>
      </c>
      <c r="H118" s="118">
        <f t="shared" si="22"/>
        <v>2019</v>
      </c>
      <c r="I118" s="118">
        <f t="shared" si="22"/>
        <v>2020</v>
      </c>
      <c r="J118" s="118">
        <f t="shared" si="22"/>
        <v>2021</v>
      </c>
      <c r="K118" s="118">
        <f t="shared" si="22"/>
        <v>2022</v>
      </c>
      <c r="L118" s="195">
        <f t="shared" si="22"/>
        <v>2023</v>
      </c>
      <c r="M118" s="31"/>
      <c r="N118" s="31"/>
      <c r="O118" s="31"/>
    </row>
    <row r="119" spans="2:15">
      <c r="B119" s="459" t="s">
        <v>43</v>
      </c>
      <c r="C119" s="558"/>
      <c r="D119" s="559"/>
      <c r="E119" s="461">
        <v>1.5575632164737283</v>
      </c>
      <c r="F119" s="461">
        <v>1.4734141240658321</v>
      </c>
      <c r="G119" s="461">
        <v>1.4689588897025405</v>
      </c>
      <c r="H119" s="461">
        <v>1.4707200530126929</v>
      </c>
      <c r="I119" s="461">
        <v>1.4674716260161711</v>
      </c>
      <c r="J119" s="461">
        <v>1.4486206224386007</v>
      </c>
      <c r="K119" s="461">
        <v>1.4956798325868756</v>
      </c>
      <c r="L119" s="462">
        <v>1.4397148718051931</v>
      </c>
      <c r="M119" s="31"/>
      <c r="N119" s="31"/>
      <c r="O119" s="31"/>
    </row>
    <row r="120" spans="2:15">
      <c r="B120" s="459" t="s">
        <v>44</v>
      </c>
      <c r="C120" s="560"/>
      <c r="D120" s="561"/>
      <c r="E120" s="463">
        <v>-0.65871781800535345</v>
      </c>
      <c r="F120" s="463">
        <v>-0.63543772576063684</v>
      </c>
      <c r="G120" s="463">
        <v>-0.58907862874233818</v>
      </c>
      <c r="H120" s="463">
        <v>-0.58178188190178026</v>
      </c>
      <c r="I120" s="463">
        <v>-0.56823918867341305</v>
      </c>
      <c r="J120" s="463">
        <v>-0.51933170333654122</v>
      </c>
      <c r="K120" s="463">
        <v>-0.47962665852661612</v>
      </c>
      <c r="L120" s="464">
        <v>-0.4656874701170608</v>
      </c>
      <c r="M120" s="31"/>
      <c r="N120" s="31"/>
      <c r="O120" s="31"/>
    </row>
    <row r="121" spans="2:15">
      <c r="B121" s="459" t="s">
        <v>73</v>
      </c>
      <c r="C121" s="560"/>
      <c r="D121" s="561"/>
      <c r="E121" s="463">
        <v>-0.86626036283610952</v>
      </c>
      <c r="F121" s="463">
        <v>-0.81019773780890636</v>
      </c>
      <c r="G121" s="463">
        <v>-0.78919084241395188</v>
      </c>
      <c r="H121" s="463">
        <v>-0.79061873066036981</v>
      </c>
      <c r="I121" s="463">
        <v>-0.74432653414361061</v>
      </c>
      <c r="J121" s="463">
        <v>-0.70697274816976396</v>
      </c>
      <c r="K121" s="463">
        <v>-0.65350946162011747</v>
      </c>
      <c r="L121" s="464">
        <v>-0.66429758885743451</v>
      </c>
      <c r="M121" s="31"/>
      <c r="N121" s="31"/>
      <c r="O121" s="31"/>
    </row>
    <row r="122" spans="2:15">
      <c r="B122" s="459" t="s">
        <v>59</v>
      </c>
      <c r="C122" s="560"/>
      <c r="D122" s="561"/>
      <c r="E122" s="463">
        <v>-3.2612134183503572</v>
      </c>
      <c r="F122" s="463">
        <v>-3.3462554451402173</v>
      </c>
      <c r="G122" s="463">
        <v>-3.1732919768141143</v>
      </c>
      <c r="H122" s="463">
        <v>-3.1232404745251841</v>
      </c>
      <c r="I122" s="463">
        <v>-3.0767551306224106</v>
      </c>
      <c r="J122" s="463">
        <v>-2.9342177182087767</v>
      </c>
      <c r="K122" s="463">
        <v>-2.8825938479182072</v>
      </c>
      <c r="L122" s="464">
        <v>-2.7237011003750218</v>
      </c>
      <c r="M122" s="31"/>
      <c r="N122" s="31"/>
      <c r="O122" s="31"/>
    </row>
    <row r="123" spans="2:15">
      <c r="B123" s="459" t="s">
        <v>57</v>
      </c>
      <c r="C123" s="560"/>
      <c r="D123" s="561"/>
      <c r="E123" s="463">
        <v>-2.4260972367898193</v>
      </c>
      <c r="F123" s="463">
        <v>-2.3690383662844163</v>
      </c>
      <c r="G123" s="463">
        <v>-2.2433276600060932</v>
      </c>
      <c r="H123" s="463">
        <v>-2.1466020621213828</v>
      </c>
      <c r="I123" s="463">
        <v>-2.174009678716605</v>
      </c>
      <c r="J123" s="463">
        <v>-2.0538927838998693</v>
      </c>
      <c r="K123" s="463">
        <v>-1.9044581231060691</v>
      </c>
      <c r="L123" s="464">
        <v>-1.8008611131009082</v>
      </c>
      <c r="M123" s="31"/>
      <c r="N123" s="31"/>
      <c r="O123" s="31"/>
    </row>
    <row r="124" spans="2:15">
      <c r="B124" s="459" t="s">
        <v>58</v>
      </c>
      <c r="C124" s="560"/>
      <c r="D124" s="561"/>
      <c r="E124" s="463">
        <v>-2.1861012409352765</v>
      </c>
      <c r="F124" s="463">
        <v>-2.3820447425774849</v>
      </c>
      <c r="G124" s="463">
        <v>-2.2418672366929897</v>
      </c>
      <c r="H124" s="463">
        <v>-2.1147812646907029</v>
      </c>
      <c r="I124" s="463">
        <v>-2.0146177086326591</v>
      </c>
      <c r="J124" s="463">
        <v>-1.9421313262105093</v>
      </c>
      <c r="K124" s="463">
        <v>-1.9248856430948595</v>
      </c>
      <c r="L124" s="464">
        <v>-1.8464451304225615</v>
      </c>
      <c r="M124" s="31"/>
      <c r="N124" s="31"/>
      <c r="O124" s="31"/>
    </row>
    <row r="125" spans="2:15">
      <c r="B125" s="459" t="s">
        <v>45</v>
      </c>
      <c r="C125" s="560"/>
      <c r="D125" s="561"/>
      <c r="E125" s="463">
        <v>-1.8633532543800757</v>
      </c>
      <c r="F125" s="463">
        <v>-1.8182980405067262</v>
      </c>
      <c r="G125" s="463">
        <v>-1.83946756302578</v>
      </c>
      <c r="H125" s="463">
        <v>-1.7415973428180247</v>
      </c>
      <c r="I125" s="463">
        <v>-1.6798002111470465</v>
      </c>
      <c r="J125" s="463">
        <v>-1.5974456358596774</v>
      </c>
      <c r="K125" s="463">
        <v>-1.5016396120831343</v>
      </c>
      <c r="L125" s="464">
        <v>-1.4453638876860204</v>
      </c>
      <c r="M125" s="31"/>
      <c r="N125" s="31"/>
      <c r="O125" s="31"/>
    </row>
    <row r="126" spans="2:15">
      <c r="B126" s="459" t="s">
        <v>46</v>
      </c>
      <c r="C126" s="560"/>
      <c r="D126" s="561"/>
      <c r="E126" s="463">
        <v>-2.1317145269512103</v>
      </c>
      <c r="F126" s="463">
        <v>-2.193973633026753</v>
      </c>
      <c r="G126" s="463">
        <v>-1.9869010217130036</v>
      </c>
      <c r="H126" s="463">
        <v>-1.8037552784318813</v>
      </c>
      <c r="I126" s="463">
        <v>-1.7767942495618843</v>
      </c>
      <c r="J126" s="463">
        <v>-1.7901472583807538</v>
      </c>
      <c r="K126" s="463">
        <v>-1.6444113686346382</v>
      </c>
      <c r="L126" s="464">
        <v>-1.467384504290556</v>
      </c>
      <c r="M126" s="31"/>
      <c r="N126" s="31"/>
      <c r="O126" s="31"/>
    </row>
    <row r="127" spans="2:15">
      <c r="B127" s="459" t="s">
        <v>47</v>
      </c>
      <c r="C127" s="560"/>
      <c r="D127" s="561"/>
      <c r="E127" s="463">
        <v>0.16599721814464838</v>
      </c>
      <c r="F127" s="463">
        <v>0.16631900606776751</v>
      </c>
      <c r="G127" s="463">
        <v>0.16554337895881124</v>
      </c>
      <c r="H127" s="463">
        <v>0.16569741136821181</v>
      </c>
      <c r="I127" s="463">
        <v>0.16622630759870036</v>
      </c>
      <c r="J127" s="463">
        <v>0.16380302414374548</v>
      </c>
      <c r="K127" s="463">
        <v>0.16593344617950709</v>
      </c>
      <c r="L127" s="464">
        <v>0.16036688822048883</v>
      </c>
      <c r="M127" s="31"/>
      <c r="N127" s="31"/>
      <c r="O127" s="31"/>
    </row>
    <row r="128" spans="2:15">
      <c r="B128" s="459" t="s">
        <v>48</v>
      </c>
      <c r="C128" s="560"/>
      <c r="D128" s="561"/>
      <c r="E128" s="463">
        <v>0.3648271976377423</v>
      </c>
      <c r="F128" s="463">
        <v>0.37109083837102003</v>
      </c>
      <c r="G128" s="463">
        <v>0.36071859106606846</v>
      </c>
      <c r="H128" s="463">
        <v>0.35927814835295946</v>
      </c>
      <c r="I128" s="463">
        <v>0.3227419487574148</v>
      </c>
      <c r="J128" s="463">
        <v>0.32139075529498529</v>
      </c>
      <c r="K128" s="463">
        <v>0.32876178406363676</v>
      </c>
      <c r="L128" s="464">
        <v>0.31920430794598709</v>
      </c>
      <c r="M128" s="31"/>
      <c r="N128" s="31"/>
      <c r="O128" s="31"/>
    </row>
    <row r="129" spans="2:15">
      <c r="B129" s="459" t="s">
        <v>246</v>
      </c>
      <c r="C129" s="560"/>
      <c r="D129" s="561"/>
      <c r="E129" s="463">
        <v>7.1281196754416492</v>
      </c>
      <c r="F129" s="463">
        <v>6.9674138399666772</v>
      </c>
      <c r="G129" s="463">
        <v>6.2034025893135132</v>
      </c>
      <c r="H129" s="463">
        <v>6.3085978915797085</v>
      </c>
      <c r="I129" s="463">
        <v>6.2376648400128394</v>
      </c>
      <c r="J129" s="463">
        <v>6.4865819943041139</v>
      </c>
      <c r="K129" s="463">
        <v>6.8152516624832584</v>
      </c>
      <c r="L129" s="464">
        <v>6.6271056201039169</v>
      </c>
      <c r="M129" s="31"/>
      <c r="N129" s="31"/>
      <c r="O129" s="31"/>
    </row>
    <row r="130" spans="2:15">
      <c r="B130" s="459" t="s">
        <v>247</v>
      </c>
      <c r="C130" s="560"/>
      <c r="D130" s="561"/>
      <c r="E130" s="463">
        <v>6.5079014730517413</v>
      </c>
      <c r="F130" s="463">
        <v>6.5166167406950333</v>
      </c>
      <c r="G130" s="463">
        <v>6.3292456496722922</v>
      </c>
      <c r="H130" s="463">
        <v>6.4407397408462082</v>
      </c>
      <c r="I130" s="463">
        <v>6.6367331985058957</v>
      </c>
      <c r="J130" s="463">
        <v>6.7568163761394304</v>
      </c>
      <c r="K130" s="463">
        <v>6.6961234445143969</v>
      </c>
      <c r="L130" s="464">
        <v>6.7647427548792596</v>
      </c>
      <c r="M130" s="31"/>
      <c r="N130" s="31"/>
      <c r="O130" s="31"/>
    </row>
    <row r="131" spans="2:15">
      <c r="B131" s="459" t="s">
        <v>248</v>
      </c>
      <c r="C131" s="560"/>
      <c r="D131" s="561"/>
      <c r="E131" s="463">
        <v>3.6763138465229663</v>
      </c>
      <c r="F131" s="463">
        <v>3.6748350873956013</v>
      </c>
      <c r="G131" s="463">
        <v>3.4998529635433906</v>
      </c>
      <c r="H131" s="463">
        <v>3.724685546648324</v>
      </c>
      <c r="I131" s="463">
        <v>3.4121739487309477</v>
      </c>
      <c r="J131" s="463">
        <v>3.4202241027689042</v>
      </c>
      <c r="K131" s="463">
        <v>3.3053549439575329</v>
      </c>
      <c r="L131" s="464">
        <v>3.3633285641010966</v>
      </c>
      <c r="M131" s="31"/>
      <c r="N131" s="31"/>
      <c r="O131" s="31"/>
    </row>
    <row r="132" spans="2:15">
      <c r="B132" s="459" t="s">
        <v>249</v>
      </c>
      <c r="C132" s="560"/>
      <c r="D132" s="561"/>
      <c r="E132" s="463">
        <v>5.3762701961708466</v>
      </c>
      <c r="F132" s="463">
        <v>5.3775969760840585</v>
      </c>
      <c r="G132" s="463">
        <v>5.2618102801807671</v>
      </c>
      <c r="H132" s="463">
        <v>5.360849180672294</v>
      </c>
      <c r="I132" s="463">
        <v>5.2665238228731912</v>
      </c>
      <c r="J132" s="463">
        <v>5.3271179030285305</v>
      </c>
      <c r="K132" s="463">
        <v>5.3223294006601192</v>
      </c>
      <c r="L132" s="464">
        <v>5.5699880746272257</v>
      </c>
      <c r="M132" s="31"/>
      <c r="N132" s="31"/>
      <c r="O132" s="31"/>
    </row>
    <row r="133" spans="2:15">
      <c r="B133" s="459" t="s">
        <v>53</v>
      </c>
      <c r="C133" s="465">
        <v>1.4371556068940596</v>
      </c>
      <c r="D133" s="463">
        <v>1.3718015630879741</v>
      </c>
      <c r="E133" s="463">
        <v>1.3507660107019517</v>
      </c>
      <c r="F133" s="463">
        <v>1.356812198977974</v>
      </c>
      <c r="G133" s="463">
        <v>1.3598136386487443</v>
      </c>
      <c r="H133" s="463">
        <v>1.3501475065962032</v>
      </c>
      <c r="I133" s="463">
        <v>1.3298433305384654</v>
      </c>
      <c r="J133" s="463">
        <v>1.3174540960763355</v>
      </c>
      <c r="K133" s="561"/>
      <c r="L133" s="562"/>
      <c r="M133" s="31"/>
      <c r="N133" s="31"/>
      <c r="O133" s="31"/>
    </row>
    <row r="134" spans="2:15">
      <c r="B134" s="459" t="s">
        <v>54</v>
      </c>
      <c r="C134" s="465">
        <v>1.2224510767557433</v>
      </c>
      <c r="D134" s="463">
        <v>1.2198157429394254</v>
      </c>
      <c r="E134" s="463">
        <v>1.2942164825881293</v>
      </c>
      <c r="F134" s="463">
        <v>1.2596396269108345</v>
      </c>
      <c r="G134" s="463">
        <v>1.2840112184368913</v>
      </c>
      <c r="H134" s="463">
        <v>1.2678511857965422</v>
      </c>
      <c r="I134" s="463">
        <v>1.2592019055105816</v>
      </c>
      <c r="J134" s="463">
        <v>1.257376658609527</v>
      </c>
      <c r="K134" s="561"/>
      <c r="L134" s="562"/>
      <c r="M134" s="31"/>
      <c r="N134" s="31"/>
      <c r="O134" s="31"/>
    </row>
    <row r="135" spans="2:15">
      <c r="B135" s="459" t="s">
        <v>55</v>
      </c>
      <c r="C135" s="465">
        <v>0.82325002294811445</v>
      </c>
      <c r="D135" s="463">
        <v>0.82663571281128501</v>
      </c>
      <c r="E135" s="463">
        <v>0.79640504595610451</v>
      </c>
      <c r="F135" s="463">
        <v>0.78757021450124798</v>
      </c>
      <c r="G135" s="463">
        <v>0.81133252861207505</v>
      </c>
      <c r="H135" s="463">
        <v>0.81064228783969072</v>
      </c>
      <c r="I135" s="463">
        <v>0.80900368952296353</v>
      </c>
      <c r="J135" s="463">
        <v>0.78043276967968189</v>
      </c>
      <c r="K135" s="561"/>
      <c r="L135" s="562"/>
      <c r="M135" s="31"/>
      <c r="N135" s="31"/>
      <c r="O135" s="31"/>
    </row>
    <row r="136" spans="2:15">
      <c r="B136" s="459" t="s">
        <v>56</v>
      </c>
      <c r="C136" s="465">
        <v>1.0893959849781105</v>
      </c>
      <c r="D136" s="463">
        <v>1.027913194554035</v>
      </c>
      <c r="E136" s="463">
        <v>1.0066987144123654</v>
      </c>
      <c r="F136" s="463">
        <v>1.0192350900597893</v>
      </c>
      <c r="G136" s="463">
        <v>1.0341480780318344</v>
      </c>
      <c r="H136" s="463">
        <v>1.0204240792759967</v>
      </c>
      <c r="I136" s="463">
        <v>1.0137739549704501</v>
      </c>
      <c r="J136" s="463">
        <v>0.9898055017218621</v>
      </c>
      <c r="K136" s="561"/>
      <c r="L136" s="562"/>
      <c r="M136" s="31"/>
      <c r="N136" s="31"/>
      <c r="O136" s="31"/>
    </row>
    <row r="137" spans="2:15">
      <c r="B137" s="459" t="s">
        <v>50</v>
      </c>
      <c r="C137" s="465">
        <v>3.0675250143183739</v>
      </c>
      <c r="D137" s="463">
        <v>3.1629219417602221</v>
      </c>
      <c r="E137" s="463">
        <v>3.2156604222069194</v>
      </c>
      <c r="F137" s="463">
        <v>3.1773534622131239</v>
      </c>
      <c r="G137" s="463">
        <v>2.9925267771957293</v>
      </c>
      <c r="H137" s="463">
        <v>2.9953978987575276</v>
      </c>
      <c r="I137" s="463">
        <v>3.008780645638939</v>
      </c>
      <c r="J137" s="463">
        <v>3.0035530345258876</v>
      </c>
      <c r="K137" s="561"/>
      <c r="L137" s="562"/>
      <c r="M137" s="31"/>
      <c r="N137" s="31"/>
      <c r="O137" s="31"/>
    </row>
    <row r="138" spans="2:15">
      <c r="B138" s="459" t="s">
        <v>52</v>
      </c>
      <c r="C138" s="465">
        <v>2.1240897362733717</v>
      </c>
      <c r="D138" s="463">
        <v>2.0350723340362249</v>
      </c>
      <c r="E138" s="463">
        <v>1.9686998072928457</v>
      </c>
      <c r="F138" s="463">
        <v>2.0858456765056492</v>
      </c>
      <c r="G138" s="463">
        <v>2.1150393198028121</v>
      </c>
      <c r="H138" s="463">
        <v>2.0960407823683633</v>
      </c>
      <c r="I138" s="463">
        <v>1.9709648894580449</v>
      </c>
      <c r="J138" s="463">
        <v>1.9558237270696361</v>
      </c>
      <c r="K138" s="561"/>
      <c r="L138" s="562"/>
      <c r="M138" s="31"/>
      <c r="N138" s="31"/>
      <c r="O138" s="31"/>
    </row>
    <row r="139" spans="2:15">
      <c r="B139" s="459" t="s">
        <v>51</v>
      </c>
      <c r="C139" s="465">
        <v>4.3724011747736116</v>
      </c>
      <c r="D139" s="463">
        <v>4.1057641662653896</v>
      </c>
      <c r="E139" s="463">
        <v>4.0545669929819539</v>
      </c>
      <c r="F139" s="463">
        <v>4.1740927460581894</v>
      </c>
      <c r="G139" s="463">
        <v>4.2397101975440528</v>
      </c>
      <c r="H139" s="463">
        <v>4.2461477210751069</v>
      </c>
      <c r="I139" s="463">
        <v>4.1078523076276792</v>
      </c>
      <c r="J139" s="463">
        <v>4.0575944965475035</v>
      </c>
      <c r="K139" s="561"/>
      <c r="L139" s="562"/>
      <c r="M139" s="31"/>
      <c r="N139" s="31"/>
      <c r="O139" s="31"/>
    </row>
    <row r="140" spans="2:15">
      <c r="B140" s="459" t="s">
        <v>49</v>
      </c>
      <c r="C140" s="465">
        <v>1.3982776671905828</v>
      </c>
      <c r="D140" s="463">
        <v>1.3864649866746799</v>
      </c>
      <c r="E140" s="463">
        <v>1.3673040530931269</v>
      </c>
      <c r="F140" s="463">
        <v>1.3493453776780693</v>
      </c>
      <c r="G140" s="463">
        <v>1.3347777856873293</v>
      </c>
      <c r="H140" s="463">
        <v>1.3354887108693174</v>
      </c>
      <c r="I140" s="463">
        <v>1.3597799661606067</v>
      </c>
      <c r="J140" s="463">
        <v>1.3515240072037848</v>
      </c>
      <c r="K140" s="561"/>
      <c r="L140" s="562"/>
      <c r="M140" s="31"/>
      <c r="N140" s="31"/>
      <c r="O140" s="31"/>
    </row>
    <row r="141" spans="2:15">
      <c r="B141" s="459" t="s">
        <v>113</v>
      </c>
      <c r="C141" s="465">
        <v>-1.1295718210052885</v>
      </c>
      <c r="D141" s="463">
        <v>-1.1444007312827333</v>
      </c>
      <c r="E141" s="463">
        <v>-1.1763817360750841</v>
      </c>
      <c r="F141" s="463">
        <v>-1.5927557463957547</v>
      </c>
      <c r="G141" s="463">
        <v>-1.8565667598967899</v>
      </c>
      <c r="H141" s="463">
        <v>-1.2720416735170972</v>
      </c>
      <c r="I141" s="463">
        <v>-1.1039739947823479</v>
      </c>
      <c r="J141" s="463">
        <v>-1.018311326547777</v>
      </c>
      <c r="K141" s="561"/>
      <c r="L141" s="562"/>
      <c r="M141" s="31"/>
      <c r="N141" s="31"/>
      <c r="O141" s="31"/>
    </row>
    <row r="142" spans="2:15">
      <c r="B142" s="459" t="s">
        <v>114</v>
      </c>
      <c r="C142" s="465">
        <v>-0.43181154987245485</v>
      </c>
      <c r="D142" s="463">
        <v>-0.39947195996305995</v>
      </c>
      <c r="E142" s="463">
        <v>-0.34734317043598018</v>
      </c>
      <c r="F142" s="463">
        <v>-0.3193206524905472</v>
      </c>
      <c r="G142" s="463">
        <v>-0.31265626882301373</v>
      </c>
      <c r="H142" s="463">
        <v>-0.30799379948941219</v>
      </c>
      <c r="I142" s="463">
        <v>-0.32570922921081308</v>
      </c>
      <c r="J142" s="463">
        <v>-0.31552026220892354</v>
      </c>
      <c r="K142" s="561"/>
      <c r="L142" s="562"/>
      <c r="M142" s="31"/>
      <c r="N142" s="31"/>
      <c r="O142" s="31"/>
    </row>
    <row r="143" spans="2:15">
      <c r="B143" s="459" t="s">
        <v>111</v>
      </c>
      <c r="C143" s="465">
        <v>15.168246288518162</v>
      </c>
      <c r="D143" s="463">
        <v>16.275110005972994</v>
      </c>
      <c r="E143" s="463">
        <v>15.614702904478012</v>
      </c>
      <c r="F143" s="463">
        <v>14.911674359737152</v>
      </c>
      <c r="G143" s="463">
        <v>13.033415757853545</v>
      </c>
      <c r="H143" s="463">
        <v>12.556067765830047</v>
      </c>
      <c r="I143" s="463">
        <v>11.285100906339711</v>
      </c>
      <c r="J143" s="463">
        <v>9.8268179419485548</v>
      </c>
      <c r="K143" s="561"/>
      <c r="L143" s="562"/>
      <c r="M143" s="31"/>
      <c r="N143" s="31"/>
      <c r="O143" s="31"/>
    </row>
    <row r="144" spans="2:15">
      <c r="B144" s="459" t="s">
        <v>112</v>
      </c>
      <c r="C144" s="465">
        <v>0.93219394583370063</v>
      </c>
      <c r="D144" s="463">
        <v>0.89969793099769957</v>
      </c>
      <c r="E144" s="463">
        <v>0.87783267686821997</v>
      </c>
      <c r="F144" s="463">
        <v>0.87232109317784756</v>
      </c>
      <c r="G144" s="463">
        <v>0.89875958568159287</v>
      </c>
      <c r="H144" s="463">
        <v>0.82801710222961222</v>
      </c>
      <c r="I144" s="463">
        <v>0.88417658562860901</v>
      </c>
      <c r="J144" s="463">
        <v>0.89982415652833247</v>
      </c>
      <c r="K144" s="561"/>
      <c r="L144" s="562"/>
      <c r="M144" s="31"/>
      <c r="N144" s="31"/>
      <c r="O144" s="31"/>
    </row>
    <row r="145" spans="1:15">
      <c r="B145" s="459" t="s">
        <v>60</v>
      </c>
      <c r="C145" s="465">
        <v>10.952751093909903</v>
      </c>
      <c r="D145" s="463">
        <v>1.3412683602121493</v>
      </c>
      <c r="E145" s="463">
        <v>22.190179414419269</v>
      </c>
      <c r="F145" s="463">
        <v>7.0488483253947072</v>
      </c>
      <c r="G145" s="463">
        <v>6.9020695692988534</v>
      </c>
      <c r="H145" s="463">
        <v>6.9425238085580094</v>
      </c>
      <c r="I145" s="463">
        <v>7.0785069781779111</v>
      </c>
      <c r="J145" s="463">
        <v>5.2688524500291916</v>
      </c>
      <c r="K145" s="561"/>
      <c r="L145" s="562"/>
      <c r="M145" s="31"/>
      <c r="N145" s="31"/>
      <c r="O145" s="31"/>
    </row>
    <row r="146" spans="1:15">
      <c r="B146" s="460" t="s">
        <v>61</v>
      </c>
      <c r="C146" s="466">
        <v>4.7850556060781999</v>
      </c>
      <c r="D146" s="467">
        <v>4.9736597194598335</v>
      </c>
      <c r="E146" s="467">
        <v>5.6988662496343032</v>
      </c>
      <c r="F146" s="467">
        <v>3.7921077312788807</v>
      </c>
      <c r="G146" s="467">
        <v>2.8512563802087829</v>
      </c>
      <c r="H146" s="467">
        <v>2.8799765245720623</v>
      </c>
      <c r="I146" s="467">
        <v>2.9074703511454074</v>
      </c>
      <c r="J146" s="467">
        <v>2.8191074376225309</v>
      </c>
      <c r="K146" s="563"/>
      <c r="L146" s="564"/>
      <c r="M146" s="31"/>
      <c r="N146" s="31"/>
      <c r="O146" s="31"/>
    </row>
    <row r="147" spans="1:15">
      <c r="B147" s="31"/>
      <c r="C147" s="31"/>
      <c r="D147" s="31"/>
      <c r="E147" s="31"/>
      <c r="F147" s="31"/>
      <c r="G147" s="31"/>
      <c r="H147" s="31"/>
      <c r="I147" s="31"/>
      <c r="J147" s="31"/>
      <c r="K147" s="31"/>
      <c r="L147" s="31"/>
      <c r="M147" s="31"/>
      <c r="N147" s="31"/>
      <c r="O147" s="31"/>
    </row>
    <row r="148" spans="1:15">
      <c r="B148" s="399"/>
      <c r="C148" s="365"/>
      <c r="D148" s="365"/>
      <c r="E148" s="365"/>
      <c r="F148" s="365"/>
      <c r="G148" s="365"/>
      <c r="H148" s="365"/>
      <c r="I148" s="365"/>
      <c r="J148" s="365"/>
      <c r="K148" s="31"/>
      <c r="L148" s="31"/>
      <c r="M148" s="31"/>
    </row>
    <row r="149" spans="1:15">
      <c r="B149" s="422" t="str">
        <f>LEFT('RFPR cover'!C6,2)</f>
        <v>ED</v>
      </c>
      <c r="C149" s="420"/>
      <c r="D149" s="420"/>
      <c r="E149" s="420"/>
      <c r="F149" s="420"/>
      <c r="G149" s="420"/>
      <c r="H149" s="420"/>
      <c r="I149" s="420"/>
      <c r="J149" s="420"/>
      <c r="K149" s="420"/>
      <c r="L149" s="421"/>
    </row>
    <row r="150" spans="1:15" ht="14.25" customHeight="1">
      <c r="A150" s="205"/>
      <c r="B150" s="456" t="s">
        <v>404</v>
      </c>
      <c r="C150" s="457"/>
      <c r="D150" s="457"/>
      <c r="E150" s="457"/>
      <c r="F150" s="455"/>
      <c r="G150" s="455"/>
      <c r="H150" s="455"/>
      <c r="I150" s="455"/>
      <c r="J150" s="455"/>
      <c r="K150" s="455"/>
      <c r="L150" s="455"/>
      <c r="M150" s="455"/>
      <c r="N150" s="455"/>
    </row>
    <row r="151" spans="1:15" s="31" customFormat="1" ht="14.25" customHeight="1">
      <c r="A151" s="790"/>
      <c r="B151" s="791"/>
      <c r="C151" s="792"/>
      <c r="D151" s="792"/>
      <c r="E151" s="792"/>
      <c r="F151" s="793"/>
      <c r="G151" s="793"/>
      <c r="H151" s="793"/>
      <c r="I151" s="793"/>
      <c r="J151" s="793"/>
      <c r="K151" s="793"/>
      <c r="L151" s="793"/>
      <c r="M151" s="793"/>
      <c r="N151" s="793"/>
    </row>
    <row r="152" spans="1:15">
      <c r="A152" s="203"/>
      <c r="B152" s="794" t="s">
        <v>410</v>
      </c>
      <c r="C152" s="206"/>
      <c r="D152" s="206"/>
      <c r="E152" s="795" t="b">
        <f>OR((LEFT('RFPR cover'!$C$6,2)=Data!F152),'RFPR cover'!$C$5=Data!F152)</f>
        <v>1</v>
      </c>
      <c r="F152" s="364" t="str">
        <f>B162</f>
        <v>ED</v>
      </c>
      <c r="G152" s="796"/>
    </row>
    <row r="153" spans="1:15">
      <c r="A153" s="203"/>
      <c r="B153" s="811" t="str">
        <f>CHOOSE(MATCH(TRUE,$E$152:$E$159,0),B163,B173,B183,E183,B193,E193,B203,E203)&amp;""</f>
        <v>Broad measure of customer service</v>
      </c>
      <c r="C153" s="206"/>
      <c r="D153" s="206"/>
      <c r="E153" s="797" t="b">
        <f>OR((LEFT('RFPR cover'!$C$6,2)=Data!F153),'RFPR cover'!$C$5=Data!F153)</f>
        <v>0</v>
      </c>
      <c r="F153" s="365" t="str">
        <f>B172</f>
        <v>GD</v>
      </c>
      <c r="G153" s="202"/>
    </row>
    <row r="154" spans="1:15">
      <c r="A154" s="203"/>
      <c r="B154" s="812" t="str">
        <f t="shared" ref="B154:B160" si="23">CHOOSE(MATCH(TRUE,$E$152:$E$159,0),B164,B174,B184,E184,B194,E194,B204,E204)&amp;""</f>
        <v>Interruptions-related quality of service</v>
      </c>
      <c r="C154" s="206"/>
      <c r="D154" s="206"/>
      <c r="E154" s="797" t="b">
        <f>OR((LEFT('RFPR cover'!$C$6,2)=Data!F154),'RFPR cover'!$C$5=Data!F154)</f>
        <v>0</v>
      </c>
      <c r="F154" s="810" t="str">
        <f>B182</f>
        <v>NGGT (TO)</v>
      </c>
      <c r="G154" s="202"/>
    </row>
    <row r="155" spans="1:15">
      <c r="A155" s="203"/>
      <c r="B155" s="812" t="str">
        <f t="shared" si="23"/>
        <v>Incentive on connections engagement</v>
      </c>
      <c r="C155" s="206"/>
      <c r="D155" s="206"/>
      <c r="E155" s="797" t="b">
        <f>OR((LEFT('RFPR cover'!$C$6,2)=Data!F155),'RFPR cover'!$C$5=Data!F155)</f>
        <v>0</v>
      </c>
      <c r="F155" s="798" t="str">
        <f>E182</f>
        <v>NGGT (SO)</v>
      </c>
      <c r="G155" s="202"/>
    </row>
    <row r="156" spans="1:15">
      <c r="A156" s="203"/>
      <c r="B156" s="812" t="str">
        <f t="shared" si="23"/>
        <v>Time to Connect Incentive</v>
      </c>
      <c r="C156" s="206"/>
      <c r="D156" s="206"/>
      <c r="E156" s="797" t="b">
        <f>OR((LEFT('RFPR cover'!$C$6,2)=Data!F156),'RFPR cover'!$C$5=Data!F156)</f>
        <v>0</v>
      </c>
      <c r="F156" s="798" t="str">
        <f>B192</f>
        <v>NGET (TO)</v>
      </c>
      <c r="G156" s="202"/>
    </row>
    <row r="157" spans="1:15">
      <c r="A157" s="203"/>
      <c r="B157" s="813" t="str">
        <f t="shared" si="23"/>
        <v>Losses discretionary reward scheme</v>
      </c>
      <c r="C157" s="206"/>
      <c r="D157" s="206"/>
      <c r="E157" s="797" t="b">
        <f>OR((LEFT('RFPR cover'!$C$6,2)=Data!F157),'RFPR cover'!$C$5=Data!F157)</f>
        <v>0</v>
      </c>
      <c r="F157" s="798" t="str">
        <f>E192</f>
        <v>NGESO</v>
      </c>
      <c r="G157" s="202"/>
    </row>
    <row r="158" spans="1:15">
      <c r="A158" s="203"/>
      <c r="B158" s="813" t="str">
        <f t="shared" si="23"/>
        <v/>
      </c>
      <c r="C158" s="206"/>
      <c r="D158" s="206"/>
      <c r="E158" s="797" t="b">
        <f>OR((LEFT('RFPR cover'!$C$6,2)=Data!F158),'RFPR cover'!$C$5=Data!F158)</f>
        <v>0</v>
      </c>
      <c r="F158" s="798" t="str">
        <f>B202</f>
        <v>SPT</v>
      </c>
      <c r="G158" s="202"/>
    </row>
    <row r="159" spans="1:15">
      <c r="A159" s="203"/>
      <c r="B159" s="813" t="str">
        <f t="shared" si="23"/>
        <v/>
      </c>
      <c r="C159" s="206"/>
      <c r="D159" s="206"/>
      <c r="E159" s="799" t="b">
        <f>OR((LEFT('RFPR cover'!$C$6,2)=Data!F159),'RFPR cover'!$C$5=Data!F159)</f>
        <v>0</v>
      </c>
      <c r="F159" s="800" t="str">
        <f>E202</f>
        <v>SHET</v>
      </c>
      <c r="G159" s="297"/>
    </row>
    <row r="160" spans="1:15">
      <c r="A160" s="203"/>
      <c r="B160" s="206" t="str">
        <f t="shared" si="23"/>
        <v/>
      </c>
      <c r="C160" s="206"/>
      <c r="D160" s="206"/>
      <c r="E160" s="59"/>
      <c r="F160" s="798"/>
      <c r="G160" s="42"/>
    </row>
    <row r="161" spans="1:7">
      <c r="A161" s="203"/>
      <c r="B161" s="206"/>
      <c r="C161" s="206"/>
      <c r="D161" s="206"/>
      <c r="E161" s="59"/>
      <c r="F161" s="798"/>
      <c r="G161" s="42"/>
    </row>
    <row r="162" spans="1:7" ht="12" customHeight="1">
      <c r="A162" s="203"/>
      <c r="B162" s="996" t="s">
        <v>172</v>
      </c>
      <c r="C162" s="992"/>
      <c r="D162" s="206"/>
      <c r="E162" s="206"/>
    </row>
    <row r="163" spans="1:7">
      <c r="A163" s="203"/>
      <c r="B163" s="997" t="s">
        <v>405</v>
      </c>
      <c r="C163" s="998"/>
      <c r="D163" s="206"/>
      <c r="E163" s="206"/>
    </row>
    <row r="164" spans="1:7">
      <c r="A164" s="203"/>
      <c r="B164" s="997" t="s">
        <v>406</v>
      </c>
      <c r="C164" s="998"/>
      <c r="D164" s="206"/>
      <c r="E164" s="206"/>
    </row>
    <row r="165" spans="1:7">
      <c r="A165" s="203"/>
      <c r="B165" s="999" t="s">
        <v>407</v>
      </c>
      <c r="C165" s="1000"/>
      <c r="D165" s="206"/>
      <c r="E165" s="206"/>
    </row>
    <row r="166" spans="1:7">
      <c r="A166" s="203"/>
      <c r="B166" s="999" t="s">
        <v>408</v>
      </c>
      <c r="C166" s="1000"/>
      <c r="D166" s="206"/>
      <c r="E166" s="206"/>
    </row>
    <row r="167" spans="1:7">
      <c r="A167" s="203"/>
      <c r="B167" s="999" t="s">
        <v>409</v>
      </c>
      <c r="C167" s="1000"/>
      <c r="D167" s="206"/>
      <c r="E167" s="206"/>
    </row>
    <row r="168" spans="1:7">
      <c r="A168" s="203"/>
      <c r="B168" s="999"/>
      <c r="C168" s="1000"/>
      <c r="D168" s="206"/>
      <c r="E168" s="206"/>
    </row>
    <row r="169" spans="1:7">
      <c r="A169" s="203"/>
      <c r="B169" s="999"/>
      <c r="C169" s="1000"/>
      <c r="D169" s="206"/>
      <c r="E169" s="206"/>
    </row>
    <row r="170" spans="1:7">
      <c r="A170" s="203"/>
      <c r="B170" s="206"/>
      <c r="C170" s="206"/>
      <c r="D170" s="206"/>
      <c r="E170" s="206"/>
    </row>
    <row r="171" spans="1:7">
      <c r="A171" s="203"/>
      <c r="B171" s="206"/>
      <c r="C171" s="206"/>
      <c r="D171" s="206"/>
      <c r="E171" s="206"/>
    </row>
    <row r="172" spans="1:7">
      <c r="A172" s="203"/>
      <c r="B172" s="996" t="s">
        <v>173</v>
      </c>
      <c r="C172" s="992"/>
      <c r="D172" s="206"/>
      <c r="E172" s="206"/>
    </row>
    <row r="173" spans="1:7" ht="12.75" customHeight="1">
      <c r="A173" s="203"/>
      <c r="B173" s="993" t="s">
        <v>223</v>
      </c>
      <c r="C173" s="995"/>
      <c r="D173" s="206"/>
      <c r="E173" s="206"/>
    </row>
    <row r="174" spans="1:7" ht="12.75" customHeight="1">
      <c r="A174" s="203"/>
      <c r="B174" s="987" t="s">
        <v>224</v>
      </c>
      <c r="C174" s="989"/>
      <c r="D174" s="206"/>
      <c r="E174" s="206"/>
    </row>
    <row r="175" spans="1:7" ht="12.75" customHeight="1">
      <c r="A175" s="203"/>
      <c r="B175" s="987" t="s">
        <v>225</v>
      </c>
      <c r="C175" s="989"/>
      <c r="D175" s="206"/>
      <c r="E175" s="206"/>
    </row>
    <row r="176" spans="1:7" ht="12.75" customHeight="1">
      <c r="A176" s="203"/>
      <c r="B176" s="987" t="s">
        <v>226</v>
      </c>
      <c r="C176" s="989"/>
      <c r="D176" s="206"/>
      <c r="E176" s="206"/>
    </row>
    <row r="177" spans="1:9" ht="12.75" customHeight="1">
      <c r="A177" s="203"/>
      <c r="B177" s="984" t="s">
        <v>308</v>
      </c>
      <c r="C177" s="986"/>
      <c r="D177" s="206"/>
      <c r="E177" s="206"/>
    </row>
    <row r="178" spans="1:9" ht="12.75" customHeight="1">
      <c r="A178" s="203"/>
      <c r="B178" s="984"/>
      <c r="C178" s="986"/>
      <c r="D178" s="206"/>
      <c r="E178" s="206"/>
    </row>
    <row r="179" spans="1:9" ht="12.75" customHeight="1">
      <c r="A179" s="203"/>
      <c r="B179" s="984"/>
      <c r="C179" s="986"/>
      <c r="D179" s="206"/>
      <c r="E179" s="206"/>
    </row>
    <row r="180" spans="1:9">
      <c r="A180" s="203"/>
      <c r="B180" s="206"/>
      <c r="C180" s="206"/>
      <c r="D180" s="206"/>
      <c r="E180" s="206"/>
    </row>
    <row r="181" spans="1:9">
      <c r="A181" s="203"/>
      <c r="B181" s="206"/>
      <c r="C181" s="206"/>
      <c r="D181" s="206"/>
      <c r="E181" s="206"/>
    </row>
    <row r="182" spans="1:9">
      <c r="A182" s="203"/>
      <c r="B182" s="990" t="str">
        <f>B95</f>
        <v>NGGT (TO)</v>
      </c>
      <c r="C182" s="1022"/>
      <c r="D182" s="206"/>
      <c r="E182" s="990" t="str">
        <f>B96</f>
        <v>NGGT (SO)</v>
      </c>
      <c r="F182" s="991"/>
      <c r="G182" s="991"/>
      <c r="H182" s="991"/>
      <c r="I182" s="992"/>
    </row>
    <row r="183" spans="1:9" ht="12.45" customHeight="1">
      <c r="A183" s="203"/>
      <c r="B183" s="993" t="s">
        <v>219</v>
      </c>
      <c r="C183" s="995"/>
      <c r="D183" s="206"/>
      <c r="E183" s="987" t="s">
        <v>557</v>
      </c>
      <c r="F183" s="988" t="s">
        <v>557</v>
      </c>
      <c r="G183" s="988" t="s">
        <v>557</v>
      </c>
      <c r="H183" s="988" t="s">
        <v>557</v>
      </c>
      <c r="I183" s="989" t="s">
        <v>557</v>
      </c>
    </row>
    <row r="184" spans="1:9" ht="12.45" customHeight="1">
      <c r="A184" s="203"/>
      <c r="B184" s="987" t="s">
        <v>227</v>
      </c>
      <c r="C184" s="989"/>
      <c r="D184" s="206"/>
      <c r="E184" s="987" t="s">
        <v>558</v>
      </c>
      <c r="F184" s="988" t="s">
        <v>558</v>
      </c>
      <c r="G184" s="988" t="s">
        <v>558</v>
      </c>
      <c r="H184" s="988" t="s">
        <v>558</v>
      </c>
      <c r="I184" s="989" t="s">
        <v>558</v>
      </c>
    </row>
    <row r="185" spans="1:9" ht="12.45" customHeight="1">
      <c r="A185" s="203"/>
      <c r="B185" s="987"/>
      <c r="C185" s="989"/>
      <c r="D185" s="206"/>
      <c r="E185" s="987" t="s">
        <v>559</v>
      </c>
      <c r="F185" s="988" t="s">
        <v>559</v>
      </c>
      <c r="G185" s="988" t="s">
        <v>559</v>
      </c>
      <c r="H185" s="988" t="s">
        <v>559</v>
      </c>
      <c r="I185" s="989" t="s">
        <v>559</v>
      </c>
    </row>
    <row r="186" spans="1:9" ht="12.45" customHeight="1">
      <c r="A186" s="203"/>
      <c r="B186" s="987"/>
      <c r="C186" s="989"/>
      <c r="D186" s="206"/>
      <c r="E186" s="987" t="s">
        <v>560</v>
      </c>
      <c r="F186" s="988" t="s">
        <v>560</v>
      </c>
      <c r="G186" s="988" t="s">
        <v>560</v>
      </c>
      <c r="H186" s="988" t="s">
        <v>560</v>
      </c>
      <c r="I186" s="989" t="s">
        <v>560</v>
      </c>
    </row>
    <row r="187" spans="1:9" ht="12.45" customHeight="1">
      <c r="A187" s="203"/>
      <c r="B187" s="984"/>
      <c r="C187" s="986"/>
      <c r="D187" s="206"/>
      <c r="E187" s="987" t="s">
        <v>561</v>
      </c>
      <c r="F187" s="988" t="s">
        <v>561</v>
      </c>
      <c r="G187" s="988" t="s">
        <v>561</v>
      </c>
      <c r="H187" s="988" t="s">
        <v>561</v>
      </c>
      <c r="I187" s="989" t="s">
        <v>561</v>
      </c>
    </row>
    <row r="188" spans="1:9" ht="12.45" customHeight="1">
      <c r="A188" s="203"/>
      <c r="B188" s="984"/>
      <c r="C188" s="986"/>
      <c r="D188" s="206"/>
      <c r="E188" s="987" t="s">
        <v>562</v>
      </c>
      <c r="F188" s="988" t="s">
        <v>562</v>
      </c>
      <c r="G188" s="988" t="s">
        <v>562</v>
      </c>
      <c r="H188" s="988" t="s">
        <v>562</v>
      </c>
      <c r="I188" s="989" t="s">
        <v>562</v>
      </c>
    </row>
    <row r="189" spans="1:9" ht="12.45" customHeight="1">
      <c r="A189" s="203"/>
      <c r="B189" s="984"/>
      <c r="C189" s="986"/>
      <c r="D189" s="206"/>
      <c r="E189" s="987" t="s">
        <v>563</v>
      </c>
      <c r="F189" s="988" t="s">
        <v>563</v>
      </c>
      <c r="G189" s="988" t="s">
        <v>563</v>
      </c>
      <c r="H189" s="988" t="s">
        <v>563</v>
      </c>
      <c r="I189" s="989" t="s">
        <v>563</v>
      </c>
    </row>
    <row r="190" spans="1:9">
      <c r="A190" s="203"/>
      <c r="B190" s="206"/>
      <c r="C190" s="206"/>
      <c r="D190" s="206"/>
      <c r="E190" s="206"/>
    </row>
    <row r="191" spans="1:9">
      <c r="A191" s="203"/>
      <c r="B191" s="206"/>
      <c r="C191" s="206"/>
      <c r="D191" s="206"/>
      <c r="E191" s="206"/>
    </row>
    <row r="192" spans="1:9">
      <c r="A192" s="203"/>
      <c r="B192" s="990" t="str">
        <f>B97</f>
        <v>NGET (TO)</v>
      </c>
      <c r="C192" s="1022"/>
      <c r="D192" s="206"/>
      <c r="E192" s="990" t="str">
        <f>B98</f>
        <v>NGESO</v>
      </c>
      <c r="F192" s="991"/>
      <c r="G192" s="991"/>
      <c r="H192" s="991"/>
      <c r="I192" s="992"/>
    </row>
    <row r="193" spans="1:9" ht="12.75" customHeight="1">
      <c r="A193" s="203"/>
      <c r="B193" s="993" t="s">
        <v>218</v>
      </c>
      <c r="C193" s="995"/>
      <c r="D193" s="206"/>
      <c r="E193" s="987" t="s">
        <v>564</v>
      </c>
      <c r="F193" s="988" t="s">
        <v>564</v>
      </c>
      <c r="G193" s="988" t="s">
        <v>564</v>
      </c>
      <c r="H193" s="988" t="s">
        <v>564</v>
      </c>
      <c r="I193" s="989" t="s">
        <v>564</v>
      </c>
    </row>
    <row r="194" spans="1:9" ht="12.75" customHeight="1">
      <c r="A194" s="203"/>
      <c r="B194" s="987" t="s">
        <v>219</v>
      </c>
      <c r="C194" s="989"/>
      <c r="D194" s="206"/>
      <c r="E194" s="987" t="s">
        <v>565</v>
      </c>
      <c r="F194" s="988" t="s">
        <v>565</v>
      </c>
      <c r="G194" s="988" t="s">
        <v>565</v>
      </c>
      <c r="H194" s="988" t="s">
        <v>565</v>
      </c>
      <c r="I194" s="989" t="s">
        <v>565</v>
      </c>
    </row>
    <row r="195" spans="1:9" ht="12.75" customHeight="1">
      <c r="A195" s="203"/>
      <c r="B195" s="987" t="s">
        <v>220</v>
      </c>
      <c r="C195" s="989"/>
      <c r="D195" s="206"/>
      <c r="E195" s="987" t="s">
        <v>566</v>
      </c>
      <c r="F195" s="988" t="s">
        <v>566</v>
      </c>
      <c r="G195" s="988" t="s">
        <v>566</v>
      </c>
      <c r="H195" s="988" t="s">
        <v>566</v>
      </c>
      <c r="I195" s="989" t="s">
        <v>566</v>
      </c>
    </row>
    <row r="196" spans="1:9" ht="12.75" customHeight="1">
      <c r="A196" s="203"/>
      <c r="B196" s="987" t="s">
        <v>221</v>
      </c>
      <c r="C196" s="989"/>
      <c r="D196" s="206"/>
      <c r="E196" s="987" t="s">
        <v>580</v>
      </c>
      <c r="F196" s="988"/>
      <c r="G196" s="988"/>
      <c r="H196" s="988"/>
      <c r="I196" s="989"/>
    </row>
    <row r="197" spans="1:9" ht="12.75" customHeight="1">
      <c r="A197" s="203"/>
      <c r="B197" s="984"/>
      <c r="C197" s="986"/>
      <c r="D197" s="206"/>
      <c r="E197" s="984"/>
      <c r="F197" s="985"/>
      <c r="G197" s="985"/>
      <c r="H197" s="985"/>
      <c r="I197" s="986"/>
    </row>
    <row r="198" spans="1:9" ht="12.75" customHeight="1">
      <c r="A198" s="203"/>
      <c r="B198" s="984"/>
      <c r="C198" s="986"/>
      <c r="D198" s="206"/>
      <c r="E198" s="984"/>
      <c r="F198" s="985"/>
      <c r="G198" s="985"/>
      <c r="H198" s="985"/>
      <c r="I198" s="986"/>
    </row>
    <row r="199" spans="1:9" ht="12.75" customHeight="1">
      <c r="A199" s="203"/>
      <c r="B199" s="984"/>
      <c r="C199" s="986"/>
      <c r="D199" s="206"/>
      <c r="E199" s="984"/>
      <c r="F199" s="985"/>
      <c r="G199" s="985"/>
      <c r="H199" s="985"/>
      <c r="I199" s="986"/>
    </row>
    <row r="200" spans="1:9" s="31" customFormat="1" ht="12.75" customHeight="1">
      <c r="A200" s="787"/>
      <c r="B200" s="787"/>
      <c r="C200" s="787"/>
      <c r="D200" s="788"/>
      <c r="E200" s="789"/>
      <c r="F200" s="789"/>
      <c r="G200" s="789"/>
      <c r="H200" s="789"/>
      <c r="I200" s="789"/>
    </row>
    <row r="201" spans="1:9" s="31" customFormat="1" ht="12.75" customHeight="1">
      <c r="A201" s="787"/>
      <c r="B201" s="787"/>
      <c r="C201" s="787"/>
      <c r="D201" s="788"/>
      <c r="E201" s="789"/>
      <c r="F201" s="789"/>
      <c r="G201" s="789"/>
      <c r="H201" s="789"/>
      <c r="I201" s="789"/>
    </row>
    <row r="202" spans="1:9">
      <c r="A202" s="203"/>
      <c r="B202" s="990" t="str">
        <f>B145</f>
        <v>SPT</v>
      </c>
      <c r="C202" s="1022"/>
      <c r="D202" s="206"/>
      <c r="E202" s="990" t="str">
        <f>B100</f>
        <v>SHET</v>
      </c>
      <c r="F202" s="991"/>
      <c r="G202" s="991"/>
      <c r="H202" s="991"/>
      <c r="I202" s="992"/>
    </row>
    <row r="203" spans="1:9" ht="12.75" customHeight="1">
      <c r="A203" s="203"/>
      <c r="B203" s="993" t="s">
        <v>218</v>
      </c>
      <c r="C203" s="995"/>
      <c r="D203" s="206"/>
      <c r="E203" s="993" t="s">
        <v>218</v>
      </c>
      <c r="F203" s="994"/>
      <c r="G203" s="994"/>
      <c r="H203" s="994"/>
      <c r="I203" s="995"/>
    </row>
    <row r="204" spans="1:9" ht="12.75" customHeight="1">
      <c r="A204" s="203"/>
      <c r="B204" s="987" t="s">
        <v>219</v>
      </c>
      <c r="C204" s="989"/>
      <c r="D204" s="206"/>
      <c r="E204" s="987" t="s">
        <v>219</v>
      </c>
      <c r="F204" s="988"/>
      <c r="G204" s="988"/>
      <c r="H204" s="988"/>
      <c r="I204" s="989"/>
    </row>
    <row r="205" spans="1:9" ht="12.75" customHeight="1">
      <c r="A205" s="203"/>
      <c r="B205" s="987" t="s">
        <v>220</v>
      </c>
      <c r="C205" s="989"/>
      <c r="D205" s="206"/>
      <c r="E205" s="987" t="s">
        <v>220</v>
      </c>
      <c r="F205" s="988"/>
      <c r="G205" s="988"/>
      <c r="H205" s="988"/>
      <c r="I205" s="989"/>
    </row>
    <row r="206" spans="1:9" ht="12.75" customHeight="1">
      <c r="A206" s="203"/>
      <c r="B206" s="987" t="s">
        <v>221</v>
      </c>
      <c r="C206" s="989"/>
      <c r="D206" s="206"/>
      <c r="E206" s="987" t="s">
        <v>221</v>
      </c>
      <c r="F206" s="988"/>
      <c r="G206" s="988"/>
      <c r="H206" s="988"/>
      <c r="I206" s="989"/>
    </row>
    <row r="207" spans="1:9" ht="12.75" customHeight="1">
      <c r="A207" s="203"/>
      <c r="B207" s="984" t="s">
        <v>222</v>
      </c>
      <c r="C207" s="986"/>
      <c r="D207" s="206"/>
      <c r="E207" s="984" t="s">
        <v>222</v>
      </c>
      <c r="F207" s="985"/>
      <c r="G207" s="985"/>
      <c r="H207" s="985"/>
      <c r="I207" s="986"/>
    </row>
    <row r="208" spans="1:9" ht="12.75" customHeight="1">
      <c r="A208" s="203"/>
      <c r="B208" s="984"/>
      <c r="C208" s="986"/>
      <c r="D208" s="206"/>
      <c r="E208" s="984"/>
      <c r="F208" s="985"/>
      <c r="G208" s="985"/>
      <c r="H208" s="985"/>
      <c r="I208" s="986"/>
    </row>
    <row r="209" spans="1:14" ht="12.75" customHeight="1">
      <c r="A209" s="203"/>
      <c r="B209" s="984"/>
      <c r="C209" s="986"/>
      <c r="D209" s="206"/>
      <c r="E209" s="984"/>
      <c r="F209" s="985"/>
      <c r="G209" s="985"/>
      <c r="H209" s="985"/>
      <c r="I209" s="986"/>
    </row>
    <row r="210" spans="1:14">
      <c r="A210" s="203"/>
      <c r="D210" s="206"/>
      <c r="E210" s="206"/>
    </row>
    <row r="211" spans="1:14">
      <c r="A211" s="203"/>
      <c r="D211" s="206"/>
      <c r="E211" s="206"/>
    </row>
    <row r="212" spans="1:14" ht="12.75" customHeight="1">
      <c r="A212" s="203"/>
      <c r="B212" s="1021" t="s">
        <v>240</v>
      </c>
      <c r="C212" s="1021"/>
      <c r="D212" s="1021"/>
      <c r="E212" s="285"/>
      <c r="F212" s="217"/>
      <c r="G212" s="217"/>
      <c r="H212" s="217"/>
      <c r="I212" s="217"/>
      <c r="J212" s="217"/>
      <c r="K212" s="217"/>
      <c r="L212" s="217"/>
      <c r="M212" s="217"/>
      <c r="N212" s="217"/>
    </row>
    <row r="213" spans="1:14">
      <c r="A213" s="203"/>
      <c r="B213" s="206"/>
      <c r="C213" s="206"/>
      <c r="D213" s="206"/>
      <c r="E213" s="206"/>
    </row>
    <row r="214" spans="1:14" ht="25.2">
      <c r="A214" s="203"/>
      <c r="B214" s="208" t="s">
        <v>129</v>
      </c>
      <c r="C214" s="207" t="s">
        <v>208</v>
      </c>
      <c r="D214" s="206"/>
      <c r="E214" s="206"/>
    </row>
    <row r="215" spans="1:14" ht="25.2">
      <c r="A215" s="203"/>
      <c r="B215" s="209" t="s">
        <v>130</v>
      </c>
      <c r="C215" s="290" t="s">
        <v>209</v>
      </c>
      <c r="D215" s="206"/>
      <c r="E215" s="206"/>
    </row>
    <row r="216" spans="1:14">
      <c r="B216" s="305"/>
      <c r="C216" s="42"/>
      <c r="D216" s="42"/>
      <c r="E216" s="42"/>
      <c r="F216" s="42"/>
      <c r="G216" s="42"/>
      <c r="H216" s="42"/>
      <c r="I216" s="42"/>
      <c r="J216" s="42"/>
    </row>
    <row r="217" spans="1:14">
      <c r="B217" s="204"/>
      <c r="I217" s="67"/>
    </row>
    <row r="218" spans="1:14">
      <c r="B218" s="803" t="s">
        <v>412</v>
      </c>
      <c r="I218" s="67"/>
    </row>
    <row r="219" spans="1:14">
      <c r="B219" s="805" t="s">
        <v>290</v>
      </c>
    </row>
    <row r="220" spans="1:14">
      <c r="B220" s="806" t="s">
        <v>289</v>
      </c>
    </row>
    <row r="221" spans="1:14">
      <c r="B221" s="809" t="s">
        <v>287</v>
      </c>
    </row>
    <row r="222" spans="1:14">
      <c r="B222" s="807"/>
    </row>
    <row r="223" spans="1:14">
      <c r="B223" s="213"/>
    </row>
    <row r="224" spans="1:14">
      <c r="B224" s="804" t="s">
        <v>285</v>
      </c>
    </row>
    <row r="225" spans="2:2">
      <c r="B225" s="808" t="s">
        <v>413</v>
      </c>
    </row>
    <row r="226" spans="2:2">
      <c r="B226" s="806" t="s">
        <v>414</v>
      </c>
    </row>
    <row r="227" spans="2:2">
      <c r="B227" s="806" t="s">
        <v>296</v>
      </c>
    </row>
    <row r="228" spans="2:2">
      <c r="B228" s="806" t="s">
        <v>415</v>
      </c>
    </row>
    <row r="229" spans="2:2">
      <c r="B229" s="806" t="s">
        <v>416</v>
      </c>
    </row>
    <row r="230" spans="2:2">
      <c r="B230" s="806" t="s">
        <v>288</v>
      </c>
    </row>
    <row r="231" spans="2:2">
      <c r="B231" s="806" t="s">
        <v>417</v>
      </c>
    </row>
    <row r="232" spans="2:2">
      <c r="B232" s="806" t="s">
        <v>641</v>
      </c>
    </row>
    <row r="233" spans="2:2">
      <c r="B233" s="807"/>
    </row>
    <row r="234" spans="2:2">
      <c r="B234" s="213"/>
    </row>
    <row r="235" spans="2:2">
      <c r="B235" s="804" t="s">
        <v>295</v>
      </c>
    </row>
    <row r="236" spans="2:2">
      <c r="B236" s="808" t="s">
        <v>418</v>
      </c>
    </row>
    <row r="237" spans="2:2">
      <c r="B237" s="806" t="s">
        <v>419</v>
      </c>
    </row>
    <row r="238" spans="2:2">
      <c r="B238" s="806" t="s">
        <v>420</v>
      </c>
    </row>
    <row r="239" spans="2:2">
      <c r="B239" s="806" t="s">
        <v>421</v>
      </c>
    </row>
    <row r="240" spans="2:2">
      <c r="B240" s="806" t="s">
        <v>422</v>
      </c>
    </row>
    <row r="241" spans="2:2">
      <c r="B241" s="807"/>
    </row>
    <row r="242" spans="2:2">
      <c r="B242" s="213"/>
    </row>
    <row r="243" spans="2:2">
      <c r="B243" s="804" t="s">
        <v>423</v>
      </c>
    </row>
    <row r="244" spans="2:2">
      <c r="B244" s="808" t="s">
        <v>424</v>
      </c>
    </row>
    <row r="245" spans="2:2">
      <c r="B245" s="806" t="s">
        <v>425</v>
      </c>
    </row>
    <row r="246" spans="2:2">
      <c r="B246" s="807"/>
    </row>
    <row r="247" spans="2:2">
      <c r="B247" s="213"/>
    </row>
    <row r="248" spans="2:2">
      <c r="B248" s="804" t="s">
        <v>426</v>
      </c>
    </row>
    <row r="249" spans="2:2">
      <c r="B249" s="808" t="s">
        <v>467</v>
      </c>
    </row>
    <row r="250" spans="2:2">
      <c r="B250" s="806" t="s">
        <v>466</v>
      </c>
    </row>
    <row r="251" spans="2:2">
      <c r="B251" s="807" t="s">
        <v>270</v>
      </c>
    </row>
    <row r="252" spans="2:2">
      <c r="B252" s="213"/>
    </row>
    <row r="253" spans="2:2">
      <c r="B253" s="804" t="s">
        <v>286</v>
      </c>
    </row>
    <row r="254" spans="2:2">
      <c r="B254" s="808" t="s">
        <v>427</v>
      </c>
    </row>
    <row r="255" spans="2:2">
      <c r="B255" s="806" t="s">
        <v>471</v>
      </c>
    </row>
    <row r="256" spans="2:2">
      <c r="B256" s="806"/>
    </row>
    <row r="257" spans="2:2">
      <c r="B257" s="807"/>
    </row>
    <row r="258" spans="2:2">
      <c r="B258" s="213"/>
    </row>
    <row r="259" spans="2:2">
      <c r="B259" s="804" t="s">
        <v>291</v>
      </c>
    </row>
    <row r="260" spans="2:2">
      <c r="B260" s="808" t="s">
        <v>292</v>
      </c>
    </row>
    <row r="261" spans="2:2">
      <c r="B261" s="806" t="s">
        <v>297</v>
      </c>
    </row>
    <row r="262" spans="2:2">
      <c r="B262" s="806"/>
    </row>
    <row r="263" spans="2:2">
      <c r="B263" s="807"/>
    </row>
    <row r="264" spans="2:2">
      <c r="B264" s="213"/>
    </row>
    <row r="265" spans="2:2">
      <c r="B265" s="804" t="s">
        <v>428</v>
      </c>
    </row>
    <row r="266" spans="2:2">
      <c r="B266" s="808" t="s">
        <v>290</v>
      </c>
    </row>
    <row r="267" spans="2:2">
      <c r="B267" s="806" t="s">
        <v>289</v>
      </c>
    </row>
    <row r="268" spans="2:2">
      <c r="B268" s="807"/>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123" priority="22">
      <formula>AND(#REF!="Actuals",#REF!="Forecast")</formula>
    </cfRule>
  </conditionalFormatting>
  <conditionalFormatting sqref="C47">
    <cfRule type="expression" dxfId="122" priority="20">
      <formula>AND(#REF!="Actuals",#REF!="Forecast")</formula>
    </cfRule>
  </conditionalFormatting>
  <conditionalFormatting sqref="C50:J50">
    <cfRule type="expression" dxfId="121" priority="19">
      <formula>AND(#REF!="Actuals",#REF!="Forecast")</formula>
    </cfRule>
  </conditionalFormatting>
  <conditionalFormatting sqref="B14:D30">
    <cfRule type="cellIs" dxfId="120" priority="16" operator="equal">
      <formula>"Forecast"</formula>
    </cfRule>
  </conditionalFormatting>
  <conditionalFormatting sqref="B23:C30">
    <cfRule type="expression" dxfId="119" priority="113">
      <formula>$D13="Forecast"</formula>
    </cfRule>
  </conditionalFormatting>
  <conditionalFormatting sqref="K71">
    <cfRule type="expression" dxfId="118" priority="7">
      <formula>AND(#REF!="Actuals",#REF!="Forecast")</formula>
    </cfRule>
  </conditionalFormatting>
  <conditionalFormatting sqref="K72:T72">
    <cfRule type="expression" dxfId="117" priority="6">
      <formula>AND(#REF!="Actuals",#REF!="Forecast")</formula>
    </cfRule>
  </conditionalFormatting>
  <conditionalFormatting sqref="C62:L62">
    <cfRule type="expression" dxfId="116" priority="5">
      <formula>AND(#REF!="Actuals",#REF!="Forecast")</formula>
    </cfRule>
  </conditionalFormatting>
  <conditionalFormatting sqref="C118:L118">
    <cfRule type="expression" dxfId="115" priority="3">
      <formula>AND(#REF!="Actuals",#REF!="Forecast")</formula>
    </cfRule>
  </conditionalFormatting>
  <conditionalFormatting sqref="E27:F27">
    <cfRule type="expression" dxfId="114" priority="2">
      <formula>$D17="Forecast"</formula>
    </cfRule>
  </conditionalFormatting>
  <hyperlinks>
    <hyperlink ref="K39" r:id="rId1" display="August 2018 Publication"/>
    <hyperlink ref="K39:M39" r:id="rId2" display="May 2022 Publication"/>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2"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10"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80" zoomScaleNormal="80" workbookViewId="0">
      <pane ySplit="3" topLeftCell="A4" activePane="bottomLeft" state="frozen"/>
      <selection activeCell="D85" sqref="D85:N85"/>
      <selection pane="bottomLeft" activeCell="C35" sqref="C35"/>
    </sheetView>
  </sheetViews>
  <sheetFormatPr defaultRowHeight="12.6"/>
  <cols>
    <col min="1" max="1" width="8.36328125" customWidth="1"/>
    <col min="2" max="2" width="23.7265625" customWidth="1"/>
    <col min="3" max="3" width="25.7265625" customWidth="1"/>
    <col min="4" max="4" width="9.7265625" customWidth="1"/>
  </cols>
  <sheetData>
    <row r="1" spans="1:14" s="31" customFormat="1" ht="21">
      <c r="A1" s="900" t="s">
        <v>83</v>
      </c>
      <c r="B1" s="900"/>
      <c r="C1" s="900"/>
      <c r="D1" s="900"/>
      <c r="E1" s="900"/>
      <c r="F1" s="900"/>
      <c r="G1" s="900"/>
      <c r="H1" s="900"/>
      <c r="I1" s="32" t="s">
        <v>84</v>
      </c>
      <c r="J1" s="33"/>
      <c r="K1" s="33"/>
      <c r="L1" s="33"/>
      <c r="M1" s="33"/>
    </row>
    <row r="2" spans="1:14" s="31" customFormat="1" ht="21">
      <c r="A2" s="900" t="str">
        <f>'RFPR cover'!C5</f>
        <v>WPD-SWEST</v>
      </c>
      <c r="B2" s="900"/>
      <c r="C2" s="900"/>
      <c r="D2" s="900"/>
      <c r="E2" s="900"/>
      <c r="F2" s="900"/>
      <c r="G2" s="900"/>
      <c r="H2" s="900"/>
      <c r="I2" s="33"/>
      <c r="J2" s="33"/>
      <c r="K2" s="33"/>
      <c r="L2" s="33"/>
      <c r="M2" s="33"/>
      <c r="N2" s="365"/>
    </row>
    <row r="3" spans="1:14" s="31" customFormat="1" ht="21">
      <c r="A3" s="900">
        <f>'RFPR cover'!C7</f>
        <v>2022</v>
      </c>
      <c r="B3" s="900"/>
      <c r="C3" s="900"/>
      <c r="D3" s="900"/>
      <c r="E3" s="900"/>
      <c r="F3" s="900"/>
      <c r="G3" s="900"/>
      <c r="H3" s="900"/>
      <c r="I3" s="33"/>
      <c r="J3" s="33"/>
      <c r="K3" s="33"/>
      <c r="L3" s="33"/>
      <c r="M3" s="33"/>
      <c r="N3" s="365"/>
    </row>
    <row r="4" spans="1:14">
      <c r="A4" s="24"/>
      <c r="B4" s="24"/>
      <c r="C4" s="24"/>
      <c r="D4" s="24"/>
      <c r="E4" s="24"/>
      <c r="F4" s="24"/>
      <c r="G4" s="24"/>
      <c r="H4" s="24"/>
      <c r="I4" s="546"/>
      <c r="J4" s="546"/>
      <c r="K4" s="546"/>
      <c r="L4" s="546"/>
      <c r="M4" s="546"/>
      <c r="N4" s="42"/>
    </row>
    <row r="5" spans="1:14">
      <c r="A5" s="24"/>
      <c r="B5" s="24"/>
      <c r="C5" s="24"/>
      <c r="D5" s="24"/>
      <c r="E5" s="24"/>
      <c r="F5" s="24"/>
      <c r="G5" s="24"/>
      <c r="H5" s="24"/>
      <c r="I5" s="546"/>
      <c r="J5" s="546"/>
      <c r="K5" s="546"/>
      <c r="L5" s="546"/>
      <c r="M5" s="546"/>
      <c r="N5" s="42"/>
    </row>
    <row r="6" spans="1:14">
      <c r="A6" s="24"/>
      <c r="B6" s="25" t="s">
        <v>85</v>
      </c>
      <c r="C6" s="24"/>
      <c r="D6" s="24"/>
      <c r="E6" s="24"/>
      <c r="F6" s="24"/>
      <c r="G6" s="24"/>
      <c r="H6" s="24"/>
      <c r="I6" s="546"/>
      <c r="J6" s="546"/>
      <c r="K6" s="546"/>
      <c r="L6" s="546"/>
      <c r="M6" s="546"/>
      <c r="N6" s="42"/>
    </row>
    <row r="7" spans="1:14">
      <c r="A7" s="24"/>
      <c r="B7" s="24"/>
      <c r="C7" s="24"/>
      <c r="D7" s="24"/>
      <c r="E7" s="24"/>
      <c r="F7" s="24"/>
      <c r="G7" s="24"/>
      <c r="H7" s="24"/>
      <c r="I7" s="546"/>
      <c r="J7" s="546"/>
      <c r="K7" s="546"/>
      <c r="L7" s="546"/>
      <c r="M7" s="546"/>
      <c r="N7" s="42"/>
    </row>
    <row r="8" spans="1:14">
      <c r="A8" s="24"/>
      <c r="B8" s="47" t="s">
        <v>86</v>
      </c>
      <c r="C8" s="47" t="s">
        <v>87</v>
      </c>
      <c r="D8" s="1025" t="s">
        <v>88</v>
      </c>
      <c r="E8" s="1026"/>
      <c r="F8" s="1026"/>
      <c r="G8" s="1026"/>
      <c r="H8" s="1026"/>
      <c r="I8" s="546"/>
      <c r="J8" s="546"/>
      <c r="K8" s="546"/>
      <c r="L8" s="546"/>
      <c r="M8" s="546"/>
      <c r="N8" s="42"/>
    </row>
    <row r="9" spans="1:14">
      <c r="A9" s="24"/>
      <c r="B9" s="26" t="s">
        <v>89</v>
      </c>
      <c r="C9" s="46">
        <v>44773</v>
      </c>
      <c r="D9" s="1023"/>
      <c r="E9" s="1024"/>
      <c r="F9" s="1024"/>
      <c r="G9" s="1024"/>
      <c r="H9" s="1024"/>
      <c r="I9" s="24"/>
      <c r="J9" s="24"/>
      <c r="K9" s="24"/>
      <c r="L9" s="24"/>
      <c r="M9" s="24"/>
    </row>
    <row r="10" spans="1:14">
      <c r="A10" s="24"/>
      <c r="B10" s="26" t="s">
        <v>90</v>
      </c>
      <c r="C10" s="46"/>
      <c r="D10" s="1023"/>
      <c r="E10" s="1024"/>
      <c r="F10" s="1024"/>
      <c r="G10" s="1024"/>
      <c r="H10" s="1024"/>
      <c r="I10" s="24"/>
      <c r="J10" s="24"/>
      <c r="K10" s="24"/>
      <c r="L10" s="24"/>
      <c r="M10" s="24"/>
    </row>
    <row r="11" spans="1:14">
      <c r="A11" s="24"/>
      <c r="B11" s="26" t="s">
        <v>91</v>
      </c>
      <c r="C11" s="46"/>
      <c r="D11" s="1023"/>
      <c r="E11" s="1024"/>
      <c r="F11" s="1024"/>
      <c r="G11" s="1024"/>
      <c r="H11" s="1024"/>
      <c r="I11" s="24"/>
      <c r="J11" s="24"/>
      <c r="K11" s="24"/>
      <c r="L11" s="24"/>
      <c r="M11" s="24"/>
    </row>
    <row r="12" spans="1:14">
      <c r="A12" s="24"/>
      <c r="B12" s="26" t="s">
        <v>92</v>
      </c>
      <c r="C12" s="46"/>
      <c r="D12" s="1023"/>
      <c r="E12" s="1024"/>
      <c r="F12" s="1024"/>
      <c r="G12" s="1024"/>
      <c r="H12" s="1024"/>
      <c r="I12" s="24"/>
      <c r="J12" s="24"/>
      <c r="K12" s="24"/>
      <c r="L12" s="24"/>
      <c r="M12" s="24"/>
    </row>
    <row r="13" spans="1:14">
      <c r="A13" s="24"/>
      <c r="B13" s="26" t="s">
        <v>93</v>
      </c>
      <c r="C13" s="46"/>
      <c r="D13" s="1023"/>
      <c r="E13" s="1024"/>
      <c r="F13" s="1024"/>
      <c r="G13" s="1024"/>
      <c r="H13" s="1024"/>
      <c r="I13" s="24"/>
      <c r="J13" s="24"/>
      <c r="K13" s="24"/>
      <c r="L13" s="24"/>
      <c r="M13" s="24"/>
    </row>
    <row r="14" spans="1:14">
      <c r="A14" s="24"/>
      <c r="B14" s="26" t="s">
        <v>94</v>
      </c>
      <c r="C14" s="46"/>
      <c r="D14" s="1023"/>
      <c r="E14" s="1024"/>
      <c r="F14" s="1024"/>
      <c r="G14" s="1024"/>
      <c r="H14" s="1024"/>
      <c r="I14" s="24"/>
      <c r="J14" s="24"/>
      <c r="K14" s="24"/>
      <c r="L14" s="24"/>
      <c r="M14" s="24"/>
    </row>
    <row r="15" spans="1:14">
      <c r="A15" s="24"/>
      <c r="B15" s="26" t="s">
        <v>95</v>
      </c>
      <c r="C15" s="46"/>
      <c r="D15" s="1023"/>
      <c r="E15" s="1024"/>
      <c r="F15" s="1024"/>
      <c r="G15" s="1024"/>
      <c r="H15" s="1024"/>
      <c r="I15" s="24"/>
      <c r="J15" s="24"/>
      <c r="K15" s="24"/>
      <c r="L15" s="24"/>
      <c r="M15" s="24"/>
    </row>
    <row r="16" spans="1:14">
      <c r="A16" s="24"/>
      <c r="B16" s="26" t="s">
        <v>96</v>
      </c>
      <c r="C16" s="46"/>
      <c r="D16" s="1023"/>
      <c r="E16" s="1024"/>
      <c r="F16" s="1024"/>
      <c r="G16" s="1024"/>
      <c r="H16" s="1024"/>
      <c r="I16" s="24"/>
      <c r="J16" s="24"/>
      <c r="K16" s="24"/>
      <c r="L16" s="24"/>
      <c r="M16" s="24"/>
    </row>
    <row r="17" spans="1:13">
      <c r="A17" s="24"/>
      <c r="B17" s="26" t="s">
        <v>97</v>
      </c>
      <c r="C17" s="46"/>
      <c r="D17" s="1023"/>
      <c r="E17" s="1024"/>
      <c r="F17" s="1024"/>
      <c r="G17" s="1024"/>
      <c r="H17" s="1024"/>
      <c r="I17" s="24"/>
      <c r="J17" s="24"/>
      <c r="K17" s="24"/>
      <c r="L17" s="24"/>
      <c r="M17" s="24"/>
    </row>
    <row r="18" spans="1:13">
      <c r="A18" s="24"/>
      <c r="B18" s="26" t="s">
        <v>98</v>
      </c>
      <c r="C18" s="46"/>
      <c r="D18" s="1023"/>
      <c r="E18" s="1024"/>
      <c r="F18" s="1024"/>
      <c r="G18" s="1024"/>
      <c r="H18" s="1024"/>
      <c r="I18" s="24"/>
      <c r="J18" s="24"/>
      <c r="K18" s="24"/>
      <c r="L18" s="24"/>
      <c r="M18" s="24"/>
    </row>
    <row r="19" spans="1:13">
      <c r="A19" s="24"/>
      <c r="B19" s="24"/>
      <c r="C19" s="24"/>
      <c r="D19" s="24"/>
      <c r="E19" s="24"/>
      <c r="F19" s="24"/>
      <c r="G19" s="24"/>
      <c r="H19" s="24"/>
      <c r="I19" s="24"/>
      <c r="J19" s="24"/>
      <c r="K19" s="24"/>
      <c r="L19" s="24"/>
      <c r="M19" s="24"/>
    </row>
    <row r="20" spans="1:13">
      <c r="A20" s="24"/>
      <c r="B20" s="213"/>
      <c r="C20" s="24"/>
      <c r="D20" s="24"/>
      <c r="E20" s="24"/>
      <c r="F20" s="24"/>
      <c r="G20" s="24"/>
      <c r="H20" s="24"/>
      <c r="I20" s="24"/>
      <c r="J20" s="24"/>
      <c r="K20" s="24"/>
      <c r="L20" s="24"/>
    </row>
    <row r="21" spans="1:13">
      <c r="A21" s="24"/>
      <c r="B21" s="286" t="s">
        <v>263</v>
      </c>
      <c r="C21" s="24"/>
      <c r="D21" s="24"/>
      <c r="E21" s="24"/>
      <c r="F21" s="24"/>
      <c r="G21" s="24"/>
      <c r="H21" s="24"/>
      <c r="I21" s="24"/>
      <c r="J21" s="24"/>
      <c r="K21" s="24"/>
      <c r="L21" s="24"/>
    </row>
    <row r="22" spans="1:13">
      <c r="A22" s="24"/>
      <c r="B22" s="286" t="s">
        <v>119</v>
      </c>
      <c r="C22" s="24"/>
      <c r="D22" s="24"/>
      <c r="E22" s="24"/>
      <c r="F22" s="24"/>
      <c r="G22" s="24"/>
      <c r="H22" s="24"/>
      <c r="I22" s="24"/>
      <c r="J22" s="24"/>
      <c r="K22" s="24"/>
      <c r="L22" s="24"/>
    </row>
    <row r="23" spans="1:13">
      <c r="A23" s="24"/>
      <c r="B23" s="286" t="s">
        <v>264</v>
      </c>
      <c r="C23" s="24"/>
      <c r="D23" s="24"/>
      <c r="E23" s="24"/>
      <c r="F23" s="24"/>
      <c r="G23" s="24"/>
      <c r="H23" s="24"/>
      <c r="I23" s="24"/>
      <c r="J23" s="24"/>
      <c r="K23" s="24"/>
      <c r="L23" s="24"/>
    </row>
    <row r="24" spans="1:13">
      <c r="B24" s="286" t="s">
        <v>99</v>
      </c>
    </row>
    <row r="25" spans="1:13">
      <c r="B25" s="286" t="s">
        <v>262</v>
      </c>
    </row>
    <row r="26" spans="1:13">
      <c r="B26" s="286" t="s">
        <v>100</v>
      </c>
    </row>
    <row r="27" spans="1:13">
      <c r="B27" s="286" t="s">
        <v>265</v>
      </c>
    </row>
    <row r="28" spans="1:13">
      <c r="B28" s="286" t="s">
        <v>281</v>
      </c>
      <c r="C28" t="s">
        <v>669</v>
      </c>
    </row>
    <row r="29" spans="1:13">
      <c r="B29" s="286" t="s">
        <v>237</v>
      </c>
    </row>
    <row r="30" spans="1:13">
      <c r="B30" s="286" t="s">
        <v>284</v>
      </c>
      <c r="C30" t="s">
        <v>669</v>
      </c>
    </row>
    <row r="31" spans="1:13">
      <c r="B31" s="286" t="s">
        <v>101</v>
      </c>
    </row>
    <row r="32" spans="1:13">
      <c r="B32" s="286" t="s">
        <v>261</v>
      </c>
    </row>
    <row r="33" spans="2:2">
      <c r="B33" s="286" t="s">
        <v>266</v>
      </c>
    </row>
    <row r="34" spans="2:2">
      <c r="B34" s="286" t="s">
        <v>259</v>
      </c>
    </row>
    <row r="35" spans="2:2">
      <c r="B35" s="286" t="s">
        <v>267</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7"/>
  <sheetViews>
    <sheetView showGridLines="0" zoomScale="70" zoomScaleNormal="70" workbookViewId="0">
      <pane ySplit="5" topLeftCell="A6" activePane="bottomLeft" state="frozen"/>
      <selection activeCell="D85" sqref="D85:N85"/>
      <selection pane="bottomLeft" activeCell="D23" sqref="D23"/>
    </sheetView>
  </sheetViews>
  <sheetFormatPr defaultRowHeight="12.6"/>
  <cols>
    <col min="1" max="1" width="19.08984375" bestFit="1" customWidth="1"/>
    <col min="2" max="2" width="12.08984375" bestFit="1" customWidth="1"/>
    <col min="3" max="3" width="104.08984375" customWidth="1"/>
    <col min="4" max="4" width="35.453125" customWidth="1"/>
  </cols>
  <sheetData>
    <row r="1" spans="1:4" s="31" customFormat="1" ht="21">
      <c r="A1" s="29" t="s">
        <v>121</v>
      </c>
      <c r="B1" s="29"/>
      <c r="C1" s="29"/>
      <c r="D1" s="29"/>
    </row>
    <row r="2" spans="1:4" s="31" customFormat="1" ht="21">
      <c r="A2" s="29" t="str">
        <f>'RFPR cover'!C5</f>
        <v>WPD-SWEST</v>
      </c>
      <c r="B2" s="29"/>
      <c r="C2" s="29"/>
      <c r="D2" s="29"/>
    </row>
    <row r="3" spans="1:4" s="31" customFormat="1" ht="21">
      <c r="A3" s="29">
        <f>'RFPR cover'!C7</f>
        <v>2022</v>
      </c>
      <c r="B3" s="29"/>
      <c r="C3" s="29"/>
      <c r="D3" s="29"/>
    </row>
    <row r="4" spans="1:4" s="31" customFormat="1" ht="21">
      <c r="A4" s="836"/>
      <c r="B4" s="836"/>
      <c r="C4" s="836"/>
      <c r="D4" s="836"/>
    </row>
    <row r="5" spans="1:4" ht="27.6">
      <c r="A5" s="833" t="s">
        <v>450</v>
      </c>
      <c r="B5" s="834" t="s">
        <v>451</v>
      </c>
      <c r="C5" s="835" t="s">
        <v>452</v>
      </c>
    </row>
    <row r="6" spans="1:4">
      <c r="A6" s="335">
        <v>1.1000000000000001</v>
      </c>
      <c r="B6" s="844" t="s">
        <v>534</v>
      </c>
      <c r="C6" s="851" t="s">
        <v>535</v>
      </c>
    </row>
    <row r="7" spans="1:4">
      <c r="A7" s="335">
        <v>1.1000000000000001</v>
      </c>
      <c r="B7" s="844" t="s">
        <v>534</v>
      </c>
      <c r="C7" s="851" t="s">
        <v>536</v>
      </c>
    </row>
    <row r="8" spans="1:4">
      <c r="A8" s="335">
        <v>1.1000000000000001</v>
      </c>
      <c r="B8" s="842" t="s">
        <v>537</v>
      </c>
      <c r="C8" s="850" t="s">
        <v>538</v>
      </c>
    </row>
    <row r="9" spans="1:4" ht="25.2">
      <c r="A9" s="335">
        <v>1.1000000000000001</v>
      </c>
      <c r="B9" s="842" t="s">
        <v>540</v>
      </c>
      <c r="C9" s="850" t="s">
        <v>541</v>
      </c>
    </row>
    <row r="10" spans="1:4">
      <c r="A10" s="335">
        <v>1.1000000000000001</v>
      </c>
      <c r="B10" s="842" t="s">
        <v>540</v>
      </c>
      <c r="C10" s="850" t="s">
        <v>543</v>
      </c>
    </row>
    <row r="11" spans="1:4">
      <c r="A11" s="335">
        <v>1.1000000000000001</v>
      </c>
      <c r="B11" s="842" t="s">
        <v>545</v>
      </c>
      <c r="C11" s="850" t="s">
        <v>544</v>
      </c>
    </row>
    <row r="12" spans="1:4" ht="25.2">
      <c r="A12" s="335">
        <v>1.1000000000000001</v>
      </c>
      <c r="B12" s="842" t="s">
        <v>540</v>
      </c>
      <c r="C12" s="850" t="s">
        <v>546</v>
      </c>
    </row>
    <row r="13" spans="1:4" ht="50.4">
      <c r="A13" s="335">
        <v>1.1000000000000001</v>
      </c>
      <c r="B13" s="842" t="s">
        <v>540</v>
      </c>
      <c r="C13" s="850" t="s">
        <v>547</v>
      </c>
    </row>
    <row r="14" spans="1:4">
      <c r="A14" s="336">
        <v>1.1000000000000001</v>
      </c>
      <c r="B14" s="842" t="s">
        <v>548</v>
      </c>
      <c r="C14" s="850" t="s">
        <v>549</v>
      </c>
    </row>
    <row r="15" spans="1:4">
      <c r="A15" s="336">
        <v>1.1000000000000001</v>
      </c>
      <c r="B15" s="842" t="s">
        <v>537</v>
      </c>
      <c r="C15" s="850" t="s">
        <v>550</v>
      </c>
    </row>
    <row r="16" spans="1:4" ht="37.799999999999997">
      <c r="A16" s="336">
        <v>1.1000000000000001</v>
      </c>
      <c r="B16" s="842" t="s">
        <v>551</v>
      </c>
      <c r="C16" s="850" t="s">
        <v>552</v>
      </c>
    </row>
    <row r="17" spans="1:3">
      <c r="A17" s="336">
        <v>1.1000000000000001</v>
      </c>
      <c r="B17" s="842" t="s">
        <v>545</v>
      </c>
      <c r="C17" s="287" t="s">
        <v>553</v>
      </c>
    </row>
    <row r="18" spans="1:3">
      <c r="A18" s="336">
        <v>1.1000000000000001</v>
      </c>
      <c r="B18" s="842" t="s">
        <v>545</v>
      </c>
      <c r="C18" s="287" t="s">
        <v>554</v>
      </c>
    </row>
    <row r="19" spans="1:3">
      <c r="A19" s="336">
        <v>1.1000000000000001</v>
      </c>
      <c r="B19" s="842" t="s">
        <v>555</v>
      </c>
      <c r="C19" s="287" t="s">
        <v>556</v>
      </c>
    </row>
    <row r="20" spans="1:3" ht="25.2">
      <c r="A20" s="336">
        <v>1.1000000000000001</v>
      </c>
      <c r="B20" s="842" t="s">
        <v>555</v>
      </c>
      <c r="C20" s="287" t="s">
        <v>567</v>
      </c>
    </row>
    <row r="21" spans="1:3">
      <c r="A21" s="336">
        <v>1.1000000000000001</v>
      </c>
      <c r="B21" s="842" t="s">
        <v>568</v>
      </c>
      <c r="C21" s="287" t="s">
        <v>569</v>
      </c>
    </row>
    <row r="22" spans="1:3">
      <c r="A22" s="336">
        <v>1.1000000000000001</v>
      </c>
      <c r="B22" s="336" t="s">
        <v>548</v>
      </c>
      <c r="C22" s="287" t="s">
        <v>570</v>
      </c>
    </row>
    <row r="23" spans="1:3" ht="25.2">
      <c r="A23" s="336">
        <v>1.1000000000000001</v>
      </c>
      <c r="B23" s="842" t="s">
        <v>548</v>
      </c>
      <c r="C23" s="287" t="s">
        <v>571</v>
      </c>
    </row>
    <row r="24" spans="1:3" ht="25.2">
      <c r="A24" s="336">
        <v>1.1000000000000001</v>
      </c>
      <c r="B24" s="842" t="s">
        <v>551</v>
      </c>
      <c r="C24" s="287" t="s">
        <v>572</v>
      </c>
    </row>
    <row r="25" spans="1:3" ht="25.8" thickBot="1">
      <c r="A25" s="938">
        <v>1.1000000000000001</v>
      </c>
      <c r="B25" s="939" t="s">
        <v>555</v>
      </c>
      <c r="C25" s="940" t="s">
        <v>574</v>
      </c>
    </row>
    <row r="26" spans="1:3">
      <c r="A26" s="935">
        <v>1.1000000000000001</v>
      </c>
      <c r="B26" s="936" t="s">
        <v>548</v>
      </c>
      <c r="C26" s="937" t="s">
        <v>575</v>
      </c>
    </row>
    <row r="27" spans="1:3">
      <c r="A27" s="935">
        <v>1.1000000000000001</v>
      </c>
      <c r="B27" s="842" t="s">
        <v>555</v>
      </c>
      <c r="C27" s="287" t="s">
        <v>576</v>
      </c>
    </row>
    <row r="28" spans="1:3" ht="25.2">
      <c r="A28" s="336">
        <v>1.1000000000000001</v>
      </c>
      <c r="B28" s="842" t="s">
        <v>555</v>
      </c>
      <c r="C28" s="287" t="s">
        <v>577</v>
      </c>
    </row>
    <row r="29" spans="1:3">
      <c r="A29" s="941">
        <v>2</v>
      </c>
      <c r="B29" s="842" t="s">
        <v>555</v>
      </c>
      <c r="C29" s="287" t="s">
        <v>581</v>
      </c>
    </row>
    <row r="30" spans="1:3">
      <c r="A30" s="941">
        <v>2</v>
      </c>
      <c r="B30" s="842" t="s">
        <v>555</v>
      </c>
      <c r="C30" s="287" t="s">
        <v>582</v>
      </c>
    </row>
    <row r="31" spans="1:3">
      <c r="A31" s="941">
        <v>2</v>
      </c>
      <c r="B31" s="842" t="s">
        <v>555</v>
      </c>
      <c r="C31" s="287" t="s">
        <v>586</v>
      </c>
    </row>
    <row r="32" spans="1:3" ht="25.2">
      <c r="A32" s="941">
        <v>2</v>
      </c>
      <c r="B32" s="842" t="s">
        <v>265</v>
      </c>
      <c r="C32" s="864" t="s">
        <v>583</v>
      </c>
    </row>
    <row r="33" spans="1:3" ht="27.75" customHeight="1">
      <c r="A33" s="941">
        <v>2</v>
      </c>
      <c r="B33" s="842" t="s">
        <v>584</v>
      </c>
      <c r="C33" s="287" t="s">
        <v>585</v>
      </c>
    </row>
    <row r="34" spans="1:3">
      <c r="A34" s="336">
        <v>2.1</v>
      </c>
      <c r="B34" s="842" t="s">
        <v>261</v>
      </c>
      <c r="C34" s="287" t="s">
        <v>629</v>
      </c>
    </row>
    <row r="35" spans="1:3" ht="25.2">
      <c r="A35" s="336">
        <v>2.1</v>
      </c>
      <c r="B35" s="842" t="s">
        <v>265</v>
      </c>
      <c r="C35" s="287" t="s">
        <v>630</v>
      </c>
    </row>
    <row r="36" spans="1:3" ht="37.799999999999997">
      <c r="A36" s="337"/>
      <c r="B36" s="867" t="s">
        <v>642</v>
      </c>
      <c r="C36" s="980" t="s">
        <v>656</v>
      </c>
    </row>
    <row r="37" spans="1:3" ht="107.4" customHeight="1">
      <c r="A37" s="337"/>
      <c r="B37" s="979" t="s">
        <v>555</v>
      </c>
      <c r="C37" s="981" t="s">
        <v>654</v>
      </c>
    </row>
    <row r="38" spans="1:3" ht="25.2">
      <c r="A38" s="337"/>
      <c r="B38" s="867" t="s">
        <v>259</v>
      </c>
      <c r="C38" s="972" t="s">
        <v>644</v>
      </c>
    </row>
    <row r="39" spans="1:3" ht="37.799999999999997">
      <c r="A39" s="337"/>
      <c r="B39" s="867" t="s">
        <v>645</v>
      </c>
      <c r="C39" s="982" t="s">
        <v>646</v>
      </c>
    </row>
    <row r="40" spans="1:3" ht="47.4" customHeight="1">
      <c r="A40" s="336"/>
      <c r="B40" s="979" t="s">
        <v>642</v>
      </c>
      <c r="C40" s="981" t="s">
        <v>657</v>
      </c>
    </row>
    <row r="41" spans="1:3" ht="50.4">
      <c r="A41" s="337"/>
      <c r="B41" s="867" t="s">
        <v>649</v>
      </c>
      <c r="C41" s="980" t="s">
        <v>650</v>
      </c>
    </row>
    <row r="42" spans="1:3" ht="31.2" customHeight="1">
      <c r="A42" s="337"/>
      <c r="B42" s="867" t="s">
        <v>658</v>
      </c>
      <c r="C42" s="972" t="s">
        <v>659</v>
      </c>
    </row>
    <row r="43" spans="1:3">
      <c r="A43" s="337"/>
      <c r="B43" s="867"/>
      <c r="C43" s="287"/>
    </row>
    <row r="44" spans="1:3">
      <c r="A44" s="337"/>
      <c r="B44" s="842"/>
      <c r="C44" s="287"/>
    </row>
    <row r="45" spans="1:3">
      <c r="A45" s="337"/>
      <c r="B45" s="842"/>
      <c r="C45" s="287"/>
    </row>
    <row r="46" spans="1:3">
      <c r="A46" s="337"/>
      <c r="B46" s="842"/>
      <c r="C46" s="287"/>
    </row>
    <row r="47" spans="1:3">
      <c r="A47" s="337"/>
      <c r="B47" s="842"/>
      <c r="C47" s="287"/>
    </row>
    <row r="48" spans="1:3">
      <c r="A48" s="337"/>
      <c r="B48" s="842"/>
      <c r="C48" s="287"/>
    </row>
    <row r="49" spans="1:3">
      <c r="A49" s="337"/>
      <c r="B49" s="842"/>
      <c r="C49" s="287"/>
    </row>
    <row r="50" spans="1:3">
      <c r="A50" s="337"/>
      <c r="B50" s="842"/>
      <c r="C50" s="287"/>
    </row>
    <row r="51" spans="1:3">
      <c r="A51" s="337"/>
      <c r="B51" s="842"/>
      <c r="C51" s="287"/>
    </row>
    <row r="52" spans="1:3">
      <c r="A52" s="337"/>
      <c r="B52" s="842"/>
      <c r="C52" s="287"/>
    </row>
    <row r="53" spans="1:3">
      <c r="A53" s="337"/>
      <c r="B53" s="842"/>
      <c r="C53" s="287"/>
    </row>
    <row r="54" spans="1:3">
      <c r="A54" s="337"/>
      <c r="B54" s="875"/>
      <c r="C54" s="876"/>
    </row>
    <row r="55" spans="1:3">
      <c r="A55" s="337"/>
      <c r="B55" s="842"/>
      <c r="C55" s="287"/>
    </row>
    <row r="56" spans="1:3">
      <c r="A56" s="337"/>
      <c r="B56" s="842"/>
      <c r="C56" s="287"/>
    </row>
    <row r="57" spans="1:3">
      <c r="A57" s="337"/>
      <c r="B57" s="842"/>
      <c r="C57" s="287"/>
    </row>
    <row r="58" spans="1:3">
      <c r="A58" s="337"/>
      <c r="B58" s="842"/>
      <c r="C58" s="287"/>
    </row>
    <row r="59" spans="1:3">
      <c r="A59" s="337"/>
      <c r="B59" s="842"/>
      <c r="C59" s="864"/>
    </row>
    <row r="60" spans="1:3">
      <c r="A60" s="338"/>
      <c r="B60" s="843"/>
      <c r="C60" s="288"/>
    </row>
    <row r="61" spans="1:3">
      <c r="A61" s="338"/>
      <c r="B61" s="843"/>
      <c r="C61" s="288"/>
    </row>
    <row r="62" spans="1:3">
      <c r="A62" s="338"/>
      <c r="B62" s="843"/>
      <c r="C62" s="288"/>
    </row>
    <row r="63" spans="1:3">
      <c r="A63" s="338"/>
      <c r="B63" s="843"/>
      <c r="C63" s="288"/>
    </row>
    <row r="64" spans="1:3">
      <c r="A64" s="338"/>
      <c r="B64" s="843"/>
      <c r="C64" s="288"/>
    </row>
    <row r="65" spans="1:3">
      <c r="A65" s="338"/>
      <c r="B65" s="843"/>
      <c r="C65" s="288"/>
    </row>
    <row r="66" spans="1:3">
      <c r="A66" s="338"/>
      <c r="B66" s="843"/>
      <c r="C66" s="288"/>
    </row>
    <row r="67" spans="1:3">
      <c r="A67" s="338"/>
      <c r="B67" s="843"/>
      <c r="C67" s="288"/>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L79"/>
  <sheetViews>
    <sheetView showGridLines="0" zoomScale="60" zoomScaleNormal="60" workbookViewId="0">
      <pane ySplit="6" topLeftCell="A7" activePane="bottomLeft" state="frozen"/>
      <selection activeCell="D85" sqref="D85:N85"/>
      <selection pane="bottomLeft" activeCell="A30" sqref="A30"/>
    </sheetView>
  </sheetViews>
  <sheetFormatPr defaultRowHeight="12.6"/>
  <cols>
    <col min="1" max="1" width="8.36328125" customWidth="1"/>
    <col min="2" max="2" width="63.36328125" style="196" customWidth="1"/>
    <col min="3" max="3" width="13.36328125" style="42" customWidth="1"/>
    <col min="4" max="11" width="9.08984375" customWidth="1"/>
    <col min="12" max="12" width="3.6328125" customWidth="1"/>
    <col min="13" max="14" width="13.7265625" customWidth="1"/>
    <col min="15" max="15" width="5.08984375" customWidth="1"/>
  </cols>
  <sheetData>
    <row r="1" spans="1:38" s="31" customFormat="1" ht="21">
      <c r="A1" s="905" t="s">
        <v>239</v>
      </c>
      <c r="B1" s="914"/>
      <c r="C1" s="915"/>
      <c r="D1" s="915"/>
      <c r="E1" s="915"/>
      <c r="F1" s="915"/>
      <c r="G1" s="256"/>
      <c r="H1" s="256"/>
      <c r="I1" s="257"/>
      <c r="J1" s="257"/>
      <c r="K1" s="258"/>
      <c r="L1" s="258"/>
      <c r="M1" s="258"/>
      <c r="N1" s="258"/>
      <c r="O1" s="366" t="s">
        <v>84</v>
      </c>
    </row>
    <row r="2" spans="1:38" s="31" customFormat="1" ht="21">
      <c r="A2" s="908" t="str">
        <f>'RFPR cover'!C5</f>
        <v>WPD-SWEST</v>
      </c>
      <c r="B2" s="916"/>
      <c r="C2" s="900"/>
      <c r="D2" s="900"/>
      <c r="E2" s="900"/>
      <c r="F2" s="900"/>
      <c r="G2" s="29"/>
      <c r="H2" s="29"/>
      <c r="I2" s="27"/>
      <c r="J2" s="27"/>
      <c r="K2" s="27"/>
      <c r="L2" s="27"/>
      <c r="M2" s="27"/>
      <c r="N2" s="27"/>
      <c r="O2" s="123"/>
    </row>
    <row r="3" spans="1:38" s="31" customFormat="1" ht="22.8">
      <c r="A3" s="911">
        <f>'RFPR cover'!C7</f>
        <v>2022</v>
      </c>
      <c r="B3" s="917" t="str">
        <f>IF('RFPR cover'!C5=Data!B98,"Not required to be completed for System Operator",(IF('RFPR cover'!C5=Data!B96,"Not required to be completed for System Operator","")))</f>
        <v/>
      </c>
      <c r="C3" s="918"/>
      <c r="D3" s="918"/>
      <c r="E3" s="918"/>
      <c r="F3" s="918"/>
      <c r="G3" s="260"/>
      <c r="H3" s="260"/>
      <c r="I3" s="255"/>
      <c r="J3" s="255"/>
      <c r="K3" s="255"/>
      <c r="L3" s="255"/>
      <c r="M3" s="255"/>
      <c r="N3" s="255"/>
      <c r="O3" s="261"/>
    </row>
    <row r="4" spans="1:38" ht="12.75" customHeight="1"/>
    <row r="5" spans="1:38">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c r="L5" s="2"/>
      <c r="M5" s="2"/>
    </row>
    <row r="6" spans="1:38" ht="31.5" customHeight="1">
      <c r="C6" s="172"/>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L6" s="49"/>
      <c r="M6" s="101" t="str">
        <f>"Cumulative to "&amp;'RFPR cover'!$C$7</f>
        <v>Cumulative to 2022</v>
      </c>
      <c r="N6" s="194" t="s">
        <v>109</v>
      </c>
    </row>
    <row r="7" spans="1:38">
      <c r="C7" s="172"/>
      <c r="D7" s="172"/>
      <c r="E7" s="172"/>
      <c r="F7" s="172"/>
      <c r="G7" s="172"/>
      <c r="H7" s="172"/>
      <c r="I7" s="172"/>
      <c r="J7" s="172"/>
      <c r="K7" s="172"/>
      <c r="L7" s="172"/>
      <c r="M7" s="172"/>
      <c r="N7" s="172"/>
      <c r="O7" s="172"/>
    </row>
    <row r="8" spans="1:38">
      <c r="B8" s="529" t="s">
        <v>108</v>
      </c>
      <c r="C8" s="423"/>
      <c r="D8" s="423"/>
      <c r="E8" s="423"/>
      <c r="F8" s="423"/>
      <c r="G8" s="423"/>
      <c r="H8" s="423"/>
      <c r="I8" s="423"/>
      <c r="J8" s="423"/>
      <c r="K8" s="423"/>
      <c r="L8" s="530"/>
      <c r="M8" s="217"/>
      <c r="N8" s="217"/>
      <c r="O8" s="217"/>
    </row>
    <row r="9" spans="1:38">
      <c r="B9" s="197"/>
      <c r="D9" s="42"/>
      <c r="E9" s="42"/>
      <c r="F9" s="42"/>
      <c r="G9" s="42"/>
      <c r="H9" s="42"/>
      <c r="I9" s="42"/>
      <c r="J9" s="42"/>
      <c r="K9" s="42"/>
      <c r="L9" s="49"/>
    </row>
    <row r="10" spans="1:38">
      <c r="B10" s="252" t="s">
        <v>215</v>
      </c>
      <c r="C10" s="254" t="s">
        <v>7</v>
      </c>
      <c r="D10" s="506">
        <f t="shared" ref="D10:K19" si="1">D48/D$65</f>
        <v>6.4000000000000001E-2</v>
      </c>
      <c r="E10" s="508">
        <f t="shared" si="1"/>
        <v>6.4000000000000001E-2</v>
      </c>
      <c r="F10" s="508">
        <f t="shared" si="1"/>
        <v>6.4000000000000001E-2</v>
      </c>
      <c r="G10" s="508">
        <f t="shared" si="1"/>
        <v>6.4000000000000001E-2</v>
      </c>
      <c r="H10" s="508">
        <f t="shared" si="1"/>
        <v>6.4000000000000001E-2</v>
      </c>
      <c r="I10" s="508">
        <f t="shared" si="1"/>
        <v>6.4000000000000001E-2</v>
      </c>
      <c r="J10" s="508">
        <f t="shared" si="1"/>
        <v>6.4000000000000001E-2</v>
      </c>
      <c r="K10" s="507">
        <f t="shared" si="1"/>
        <v>6.4000000000000001E-2</v>
      </c>
      <c r="L10" s="173"/>
      <c r="M10" s="507">
        <f>AVERAGE(D48:INDEX(D48:K48,0,MATCH('RFPR cover'!$C$7,$D$6:$K$6,0)))/AVERAGE($D$65:INDEX($D$65:$K$65,0,MATCH('RFPR cover'!$C$7,$D$6:$K$6,0)))</f>
        <v>6.4000000000000001E-2</v>
      </c>
      <c r="N10" s="507">
        <f>AVERAGE(D48:K48)/AVERAGE($D$65:$K$65)</f>
        <v>6.4000000000000001E-2</v>
      </c>
      <c r="Z10" s="173"/>
      <c r="AA10" s="173"/>
      <c r="AB10" s="173"/>
      <c r="AC10" s="173"/>
      <c r="AD10" s="173"/>
      <c r="AE10" s="173"/>
      <c r="AF10" s="173"/>
      <c r="AG10" s="173"/>
      <c r="AH10" s="173"/>
      <c r="AI10" s="173"/>
      <c r="AJ10" s="173"/>
      <c r="AK10" s="173"/>
      <c r="AL10" s="173"/>
    </row>
    <row r="11" spans="1:38">
      <c r="B11" s="252" t="str">
        <f t="shared" ref="B11:B18" si="2">B49</f>
        <v>Totex outperformance</v>
      </c>
      <c r="C11" s="254" t="s">
        <v>7</v>
      </c>
      <c r="D11" s="175">
        <f t="shared" si="1"/>
        <v>6.9556243336709326E-3</v>
      </c>
      <c r="E11" s="176">
        <f t="shared" si="1"/>
        <v>-1.7328037718205468E-2</v>
      </c>
      <c r="F11" s="176">
        <f t="shared" si="1"/>
        <v>-2.8714913918625167E-2</v>
      </c>
      <c r="G11" s="176">
        <f t="shared" si="1"/>
        <v>3.6791215412787286E-2</v>
      </c>
      <c r="H11" s="176">
        <f t="shared" si="1"/>
        <v>1.277370819776487E-2</v>
      </c>
      <c r="I11" s="176">
        <f t="shared" si="1"/>
        <v>2.2193740880731845E-2</v>
      </c>
      <c r="J11" s="176">
        <f t="shared" si="1"/>
        <v>3.3516573139203282E-2</v>
      </c>
      <c r="K11" s="177">
        <f t="shared" si="1"/>
        <v>-2.5257025235520043E-2</v>
      </c>
      <c r="L11" s="173"/>
      <c r="M11" s="177">
        <f>AVERAGE(D49:INDEX(D49:K49,0,MATCH('RFPR cover'!$C$7,$D$6:$K$6,0)))/AVERAGE($D$65:INDEX($D$65:$K$65,0,MATCH('RFPR cover'!$C$7,$D$6:$K$6,0)))</f>
        <v>1.0482491227292782E-2</v>
      </c>
      <c r="N11" s="177">
        <f t="shared" ref="N11:N19" si="3">AVERAGE(D49:K49)/AVERAGE($D$65:$K$65)</f>
        <v>5.4169371916728314E-3</v>
      </c>
      <c r="P11" s="173"/>
      <c r="Z11" s="173"/>
      <c r="AA11" s="173"/>
      <c r="AB11" s="173"/>
      <c r="AC11" s="173"/>
      <c r="AD11" s="173"/>
      <c r="AE11" s="173"/>
      <c r="AF11" s="173"/>
      <c r="AG11" s="173"/>
      <c r="AH11" s="173"/>
      <c r="AI11" s="173"/>
      <c r="AJ11" s="173"/>
      <c r="AK11" s="173"/>
      <c r="AL11" s="173"/>
    </row>
    <row r="12" spans="1:38">
      <c r="B12" s="252" t="str">
        <f t="shared" si="2"/>
        <v>IQI Reward</v>
      </c>
      <c r="C12" s="254" t="s">
        <v>7</v>
      </c>
      <c r="D12" s="175">
        <f t="shared" si="1"/>
        <v>1.0136126247452266E-2</v>
      </c>
      <c r="E12" s="176">
        <f t="shared" si="1"/>
        <v>9.6581992491741701E-3</v>
      </c>
      <c r="F12" s="176">
        <f t="shared" si="1"/>
        <v>9.1800106419759053E-3</v>
      </c>
      <c r="G12" s="176">
        <f t="shared" si="1"/>
        <v>9.0316582821923508E-3</v>
      </c>
      <c r="H12" s="176">
        <f t="shared" si="1"/>
        <v>8.5686472383749417E-3</v>
      </c>
      <c r="I12" s="176">
        <f t="shared" si="1"/>
        <v>8.3836501492311893E-3</v>
      </c>
      <c r="J12" s="952">
        <f t="shared" si="1"/>
        <v>8.0960094614142292E-3</v>
      </c>
      <c r="K12" s="177">
        <f t="shared" si="1"/>
        <v>8.1313397783573677E-3</v>
      </c>
      <c r="L12" s="173"/>
      <c r="M12" s="177">
        <f>AVERAGE(D50:INDEX(D50:K50,0,MATCH('RFPR cover'!$C$7,$D$6:$K$6,0)))/AVERAGE($D$65:INDEX($D$65:$K$65,0,MATCH('RFPR cover'!$C$7,$D$6:$K$6,0)))</f>
        <v>8.9585456481384301E-3</v>
      </c>
      <c r="N12" s="177">
        <f t="shared" si="3"/>
        <v>8.8413013077926969E-3</v>
      </c>
      <c r="Z12" s="173"/>
      <c r="AA12" s="173"/>
      <c r="AB12" s="173"/>
      <c r="AC12" s="173"/>
      <c r="AD12" s="173"/>
      <c r="AE12" s="173"/>
      <c r="AF12" s="173"/>
      <c r="AG12" s="173"/>
      <c r="AH12" s="173"/>
      <c r="AI12" s="173"/>
      <c r="AJ12" s="173"/>
      <c r="AK12" s="173"/>
      <c r="AL12" s="173"/>
    </row>
    <row r="13" spans="1:38">
      <c r="B13" s="252" t="str">
        <f t="shared" si="2"/>
        <v>Broad measure of customer service</v>
      </c>
      <c r="C13" s="254" t="s">
        <v>7</v>
      </c>
      <c r="D13" s="175">
        <f t="shared" si="1"/>
        <v>7.175143874502821E-3</v>
      </c>
      <c r="E13" s="176">
        <f t="shared" si="1"/>
        <v>6.9228642949523663E-3</v>
      </c>
      <c r="F13" s="176">
        <f t="shared" si="1"/>
        <v>6.7024791454892325E-3</v>
      </c>
      <c r="G13" s="176">
        <f t="shared" si="1"/>
        <v>6.5735339864642093E-3</v>
      </c>
      <c r="H13" s="176">
        <f t="shared" si="1"/>
        <v>5.1706138317056741E-3</v>
      </c>
      <c r="I13" s="176">
        <f t="shared" si="1"/>
        <v>5.0014361722892824E-3</v>
      </c>
      <c r="J13" s="952">
        <f t="shared" si="1"/>
        <v>4.5996238801732309E-3</v>
      </c>
      <c r="K13" s="177">
        <f t="shared" si="1"/>
        <v>4.6393991278606394E-3</v>
      </c>
      <c r="L13" s="173"/>
      <c r="M13" s="177">
        <f>AVERAGE(D51:INDEX(D51:K51,0,MATCH('RFPR cover'!$C$7,$D$6:$K$6,0)))/AVERAGE($D$65:INDEX($D$65:$K$65,0,MATCH('RFPR cover'!$C$7,$D$6:$K$6,0)))</f>
        <v>5.9520984427079964E-3</v>
      </c>
      <c r="N13" s="177">
        <f t="shared" si="3"/>
        <v>5.7660425032327245E-3</v>
      </c>
      <c r="Z13" s="173"/>
      <c r="AA13" s="173"/>
      <c r="AB13" s="173"/>
      <c r="AC13" s="173"/>
      <c r="AD13" s="173"/>
      <c r="AE13" s="173"/>
      <c r="AF13" s="173"/>
      <c r="AG13" s="173"/>
      <c r="AH13" s="173"/>
      <c r="AI13" s="173"/>
      <c r="AJ13" s="173"/>
      <c r="AK13" s="173"/>
      <c r="AL13" s="173"/>
    </row>
    <row r="14" spans="1:38">
      <c r="B14" s="252" t="str">
        <f t="shared" si="2"/>
        <v>Interruptions-related quality of service</v>
      </c>
      <c r="C14" s="254" t="s">
        <v>7</v>
      </c>
      <c r="D14" s="175">
        <f t="shared" si="1"/>
        <v>9.192419012182004E-3</v>
      </c>
      <c r="E14" s="176">
        <f t="shared" si="1"/>
        <v>6.137954500394535E-3</v>
      </c>
      <c r="F14" s="176">
        <f t="shared" si="1"/>
        <v>-6.2852943533277163E-4</v>
      </c>
      <c r="G14" s="176">
        <f t="shared" si="1"/>
        <v>5.5559111953530707E-3</v>
      </c>
      <c r="H14" s="176">
        <f t="shared" si="1"/>
        <v>8.8942114326782517E-3</v>
      </c>
      <c r="I14" s="176">
        <f t="shared" si="1"/>
        <v>1.4564670449976804E-3</v>
      </c>
      <c r="J14" s="952">
        <f t="shared" si="1"/>
        <v>6.9117232531473952E-3</v>
      </c>
      <c r="K14" s="177">
        <f t="shared" si="1"/>
        <v>3.1204412124060696E-3</v>
      </c>
      <c r="L14" s="173"/>
      <c r="M14" s="177">
        <f>AVERAGE(D52:INDEX(D52:K52,0,MATCH('RFPR cover'!$C$7,$D$6:$K$6,0)))/AVERAGE($D$65:INDEX($D$65:$K$65,0,MATCH('RFPR cover'!$C$7,$D$6:$K$6,0)))</f>
        <v>5.3193012571188872E-3</v>
      </c>
      <c r="N14" s="177">
        <f t="shared" si="3"/>
        <v>5.0076449876545791E-3</v>
      </c>
      <c r="Z14" s="173"/>
      <c r="AA14" s="173"/>
      <c r="AB14" s="173"/>
      <c r="AC14" s="173"/>
      <c r="AD14" s="173"/>
      <c r="AE14" s="173"/>
      <c r="AF14" s="173"/>
      <c r="AG14" s="173"/>
      <c r="AH14" s="173"/>
      <c r="AI14" s="173"/>
      <c r="AJ14" s="173"/>
      <c r="AK14" s="173"/>
      <c r="AL14" s="173"/>
    </row>
    <row r="15" spans="1:38">
      <c r="B15" s="252" t="str">
        <f t="shared" si="2"/>
        <v>Incentive on connections engagement</v>
      </c>
      <c r="C15" s="254" t="s">
        <v>7</v>
      </c>
      <c r="D15" s="175">
        <f t="shared" si="1"/>
        <v>0</v>
      </c>
      <c r="E15" s="176">
        <f t="shared" si="1"/>
        <v>0</v>
      </c>
      <c r="F15" s="176">
        <f t="shared" si="1"/>
        <v>0</v>
      </c>
      <c r="G15" s="176">
        <f t="shared" si="1"/>
        <v>0</v>
      </c>
      <c r="H15" s="176">
        <f t="shared" si="1"/>
        <v>0</v>
      </c>
      <c r="I15" s="176">
        <f t="shared" si="1"/>
        <v>0</v>
      </c>
      <c r="J15" s="952">
        <f t="shared" si="1"/>
        <v>0</v>
      </c>
      <c r="K15" s="177">
        <f t="shared" si="1"/>
        <v>0</v>
      </c>
      <c r="L15" s="173"/>
      <c r="M15" s="177">
        <f>AVERAGE(D53:INDEX(D53:K53,0,MATCH('RFPR cover'!$C$7,$D$6:$K$6,0)))/AVERAGE($D$65:INDEX($D$65:$K$65,0,MATCH('RFPR cover'!$C$7,$D$6:$K$6,0)))</f>
        <v>0</v>
      </c>
      <c r="N15" s="177">
        <f t="shared" si="3"/>
        <v>0</v>
      </c>
      <c r="Z15" s="173"/>
      <c r="AA15" s="173"/>
      <c r="AB15" s="173"/>
      <c r="AC15" s="173"/>
      <c r="AD15" s="173"/>
      <c r="AE15" s="173"/>
      <c r="AF15" s="173"/>
      <c r="AG15" s="173"/>
      <c r="AH15" s="173"/>
      <c r="AI15" s="173"/>
      <c r="AJ15" s="173"/>
      <c r="AK15" s="173"/>
      <c r="AL15" s="173"/>
    </row>
    <row r="16" spans="1:38">
      <c r="B16" s="252" t="str">
        <f t="shared" si="2"/>
        <v>Time to Connect Incentive</v>
      </c>
      <c r="C16" s="254" t="s">
        <v>7</v>
      </c>
      <c r="D16" s="175">
        <f t="shared" si="1"/>
        <v>2.1675698152609185E-3</v>
      </c>
      <c r="E16" s="176">
        <f t="shared" si="1"/>
        <v>1.7326676875604452E-3</v>
      </c>
      <c r="F16" s="176">
        <f t="shared" si="1"/>
        <v>2.0935784803690479E-3</v>
      </c>
      <c r="G16" s="176">
        <f t="shared" si="1"/>
        <v>2.0216927530260506E-3</v>
      </c>
      <c r="H16" s="176">
        <f t="shared" si="1"/>
        <v>1.9524029572205186E-3</v>
      </c>
      <c r="I16" s="176">
        <f t="shared" si="1"/>
        <v>1.1203752569830963E-3</v>
      </c>
      <c r="J16" s="952">
        <f t="shared" si="1"/>
        <v>9.6851602702477109E-4</v>
      </c>
      <c r="K16" s="177">
        <f t="shared" si="1"/>
        <v>1.4245421559401505E-3</v>
      </c>
      <c r="L16" s="173"/>
      <c r="M16" s="177">
        <f>AVERAGE(D54:INDEX(D54:K54,0,MATCH('RFPR cover'!$C$7,$D$6:$K$6,0)))/AVERAGE($D$65:INDEX($D$65:$K$65,0,MATCH('RFPR cover'!$C$7,$D$6:$K$6,0)))</f>
        <v>1.6964784389662353E-3</v>
      </c>
      <c r="N16" s="177">
        <f t="shared" si="3"/>
        <v>1.6579354458804846E-3</v>
      </c>
      <c r="Z16" s="173"/>
      <c r="AA16" s="173"/>
      <c r="AB16" s="173"/>
      <c r="AC16" s="173"/>
      <c r="AD16" s="173"/>
      <c r="AE16" s="173"/>
      <c r="AF16" s="173"/>
      <c r="AG16" s="173"/>
      <c r="AH16" s="173"/>
      <c r="AI16" s="173"/>
      <c r="AJ16" s="173"/>
      <c r="AK16" s="173"/>
      <c r="AL16" s="173"/>
    </row>
    <row r="17" spans="2:38">
      <c r="B17" s="252" t="str">
        <f t="shared" si="2"/>
        <v>Losses discretionary reward scheme</v>
      </c>
      <c r="C17" s="254" t="s">
        <v>7</v>
      </c>
      <c r="D17" s="175">
        <f t="shared" si="1"/>
        <v>0</v>
      </c>
      <c r="E17" s="176">
        <f t="shared" si="1"/>
        <v>7.2738264197030376E-5</v>
      </c>
      <c r="F17" s="176">
        <f t="shared" si="1"/>
        <v>0</v>
      </c>
      <c r="G17" s="176">
        <f t="shared" si="1"/>
        <v>0</v>
      </c>
      <c r="H17" s="176">
        <f t="shared" si="1"/>
        <v>0</v>
      </c>
      <c r="I17" s="176">
        <f t="shared" si="1"/>
        <v>0</v>
      </c>
      <c r="J17" s="952">
        <f t="shared" si="1"/>
        <v>0</v>
      </c>
      <c r="K17" s="177">
        <f t="shared" si="1"/>
        <v>0</v>
      </c>
      <c r="L17" s="173"/>
      <c r="M17" s="177">
        <f>AVERAGE(D55:INDEX(D55:K55,0,MATCH('RFPR cover'!$C$7,$D$6:$K$6,0)))/AVERAGE($D$65:INDEX($D$65:$K$65,0,MATCH('RFPR cover'!$C$7,$D$6:$K$6,0)))</f>
        <v>9.6432828674101345E-6</v>
      </c>
      <c r="N17" s="177">
        <f t="shared" si="3"/>
        <v>8.2764884818044597E-6</v>
      </c>
      <c r="Z17" s="173"/>
      <c r="AA17" s="173"/>
      <c r="AB17" s="173"/>
      <c r="AC17" s="173"/>
      <c r="AD17" s="173"/>
      <c r="AE17" s="173"/>
      <c r="AF17" s="173"/>
      <c r="AG17" s="173"/>
      <c r="AH17" s="173"/>
      <c r="AI17" s="173"/>
      <c r="AJ17" s="173"/>
      <c r="AK17" s="173"/>
      <c r="AL17" s="173"/>
    </row>
    <row r="18" spans="2:38">
      <c r="B18" s="252" t="str">
        <f t="shared" si="2"/>
        <v xml:space="preserve">Network Innovation </v>
      </c>
      <c r="C18" s="254" t="s">
        <v>7</v>
      </c>
      <c r="D18" s="175">
        <f t="shared" si="1"/>
        <v>-9.121663218890122E-5</v>
      </c>
      <c r="E18" s="176">
        <f t="shared" si="1"/>
        <v>1.6081212619758814E-4</v>
      </c>
      <c r="F18" s="176">
        <f t="shared" si="1"/>
        <v>5.4389510541764138E-4</v>
      </c>
      <c r="G18" s="176">
        <f t="shared" si="1"/>
        <v>-1.8083384505838008E-4</v>
      </c>
      <c r="H18" s="176">
        <f t="shared" si="1"/>
        <v>-2.5367117952814871E-4</v>
      </c>
      <c r="I18" s="176">
        <f t="shared" si="1"/>
        <v>1.3945423660876146E-3</v>
      </c>
      <c r="J18" s="952">
        <f t="shared" si="1"/>
        <v>-2.0332695120012158E-4</v>
      </c>
      <c r="K18" s="177">
        <f t="shared" si="1"/>
        <v>-1.9153909080554644E-4</v>
      </c>
      <c r="L18" s="173"/>
      <c r="M18" s="177">
        <f>AVERAGE(D56:INDEX(D56:K56,0,MATCH('RFPR cover'!$C$7,$D$6:$K$6,0)))/AVERAGE($D$65:INDEX($D$65:$K$65,0,MATCH('RFPR cover'!$C$7,$D$6:$K$6,0)))</f>
        <v>2.028944353394188E-4</v>
      </c>
      <c r="N18" s="177">
        <f t="shared" si="3"/>
        <v>1.4698924864708086E-4</v>
      </c>
      <c r="Z18" s="173"/>
      <c r="AA18" s="173"/>
      <c r="AB18" s="173"/>
      <c r="AC18" s="173"/>
      <c r="AD18" s="173"/>
      <c r="AE18" s="173"/>
      <c r="AF18" s="173"/>
      <c r="AG18" s="173"/>
      <c r="AH18" s="173"/>
      <c r="AI18" s="173"/>
      <c r="AJ18" s="173"/>
      <c r="AK18" s="173"/>
      <c r="AL18" s="173"/>
    </row>
    <row r="19" spans="2:38">
      <c r="B19" s="252" t="str">
        <f>B57</f>
        <v>Penalties and fines</v>
      </c>
      <c r="C19" s="254" t="s">
        <v>7</v>
      </c>
      <c r="D19" s="185">
        <f t="shared" si="1"/>
        <v>-5.4765369210572539E-6</v>
      </c>
      <c r="E19" s="186">
        <f t="shared" si="1"/>
        <v>-3.7809383042815471E-6</v>
      </c>
      <c r="F19" s="186">
        <f t="shared" si="1"/>
        <v>-6.079137753930464E-6</v>
      </c>
      <c r="G19" s="186">
        <f t="shared" si="1"/>
        <v>-3.3174127848794768E-6</v>
      </c>
      <c r="H19" s="186">
        <f t="shared" si="1"/>
        <v>-6.4238039345847402E-6</v>
      </c>
      <c r="I19" s="186">
        <f t="shared" si="1"/>
        <v>-6.8787448994039731E-6</v>
      </c>
      <c r="J19" s="953">
        <f t="shared" si="1"/>
        <v>-5.8474721341934387E-3</v>
      </c>
      <c r="K19" s="187">
        <f t="shared" si="1"/>
        <v>-1.7946046559627347E-4</v>
      </c>
      <c r="L19" s="173"/>
      <c r="M19" s="187">
        <f>AVERAGE(D57:INDEX(D57:K57,0,MATCH('RFPR cover'!$C$7,$D$6:$K$6,0)))/AVERAGE($D$65:INDEX($D$65:$K$65,0,MATCH('RFPR cover'!$C$7,$D$6:$K$6,0)))</f>
        <v>-9.3126585805393825E-4</v>
      </c>
      <c r="N19" s="187">
        <f t="shared" si="3"/>
        <v>-8.2470843320104942E-4</v>
      </c>
      <c r="Z19" s="173"/>
      <c r="AA19" s="173"/>
      <c r="AB19" s="173"/>
      <c r="AC19" s="173"/>
      <c r="AD19" s="173"/>
      <c r="AE19" s="173"/>
      <c r="AF19" s="173"/>
      <c r="AG19" s="173"/>
      <c r="AH19" s="173"/>
      <c r="AI19" s="173"/>
      <c r="AJ19" s="173"/>
      <c r="AK19" s="173"/>
      <c r="AL19" s="173"/>
    </row>
    <row r="20" spans="2:38">
      <c r="B20" s="253" t="str">
        <f>B58</f>
        <v>RoRE - Operational performance</v>
      </c>
      <c r="C20" s="254" t="s">
        <v>7</v>
      </c>
      <c r="D20" s="188">
        <f t="shared" ref="D20:K20" si="4">SUM(D10:D19)</f>
        <v>9.9530190113958986E-2</v>
      </c>
      <c r="E20" s="189">
        <f t="shared" si="4"/>
        <v>7.1353417465966393E-2</v>
      </c>
      <c r="F20" s="189">
        <f t="shared" si="4"/>
        <v>5.3170440881539952E-2</v>
      </c>
      <c r="G20" s="189">
        <f t="shared" si="4"/>
        <v>0.12378986037197971</v>
      </c>
      <c r="H20" s="189">
        <f t="shared" si="4"/>
        <v>0.10109948867428152</v>
      </c>
      <c r="I20" s="189">
        <f t="shared" si="4"/>
        <v>0.10354333312542129</v>
      </c>
      <c r="J20" s="954">
        <f t="shared" si="4"/>
        <v>0.11204164667556936</v>
      </c>
      <c r="K20" s="190">
        <f t="shared" si="4"/>
        <v>5.5687697482642358E-2</v>
      </c>
      <c r="L20" s="174"/>
      <c r="M20" s="190">
        <f>SUM(M10:M19)</f>
        <v>9.5690186874377234E-2</v>
      </c>
      <c r="N20" s="190">
        <f>SUM(N10:N19)</f>
        <v>9.0020418740161132E-2</v>
      </c>
      <c r="Z20" s="173"/>
      <c r="AA20" s="173"/>
      <c r="AB20" s="173"/>
      <c r="AC20" s="173"/>
      <c r="AD20" s="173"/>
      <c r="AE20" s="173"/>
      <c r="AF20" s="173"/>
      <c r="AG20" s="173"/>
      <c r="AH20" s="173"/>
      <c r="AI20" s="173"/>
      <c r="AJ20" s="173"/>
      <c r="AK20" s="173"/>
      <c r="AL20" s="173"/>
    </row>
    <row r="21" spans="2:38">
      <c r="B21" s="252" t="str">
        <f>B59</f>
        <v>Debt performance - at notional gearing</v>
      </c>
      <c r="C21" s="254" t="s">
        <v>7</v>
      </c>
      <c r="D21" s="175">
        <f>(D59)/D$65</f>
        <v>-1.0820942073444391E-2</v>
      </c>
      <c r="E21" s="176">
        <f t="shared" ref="E21:K21" si="5">(E59)/E$65</f>
        <v>-1.4262180286702178E-3</v>
      </c>
      <c r="F21" s="176">
        <f t="shared" si="5"/>
        <v>1.7112357449845354E-2</v>
      </c>
      <c r="G21" s="176">
        <f t="shared" si="5"/>
        <v>1.0979098212823404E-2</v>
      </c>
      <c r="H21" s="176">
        <f t="shared" si="5"/>
        <v>-1.1740749178601041E-3</v>
      </c>
      <c r="I21" s="176">
        <f t="shared" si="5"/>
        <v>-2.1507292195609765E-2</v>
      </c>
      <c r="J21" s="176">
        <f t="shared" si="5"/>
        <v>9.2573863041704018E-3</v>
      </c>
      <c r="K21" s="177">
        <f t="shared" si="5"/>
        <v>3.171303715669551E-2</v>
      </c>
      <c r="L21" s="173"/>
      <c r="M21" s="177">
        <f>AVERAGE(D59:INDEX(D59:K59,0,MATCH('RFPR cover'!$C$7,$D$6:$K$6,0)))/AVERAGE($D$65:INDEX($D$65:$K$65,0,MATCH('RFPR cover'!$C$7,$D$6:$K$6,0)))</f>
        <v>3.7859684091897451E-4</v>
      </c>
      <c r="N21" s="177">
        <f>AVERAGE(D59:K59)/AVERAGE($D$65:$K$65)</f>
        <v>4.8197957239712944E-3</v>
      </c>
      <c r="Z21" s="173"/>
      <c r="AA21" s="173"/>
      <c r="AB21" s="173"/>
      <c r="AC21" s="173"/>
      <c r="AD21" s="173"/>
      <c r="AE21" s="173"/>
      <c r="AF21" s="173"/>
      <c r="AG21" s="173"/>
      <c r="AH21" s="173"/>
      <c r="AI21" s="173"/>
      <c r="AJ21" s="173"/>
      <c r="AK21" s="173"/>
      <c r="AL21" s="173"/>
    </row>
    <row r="22" spans="2:38">
      <c r="B22" s="252" t="str">
        <f>B61</f>
        <v>Tax performance - at notional gearing</v>
      </c>
      <c r="C22" s="254" t="s">
        <v>7</v>
      </c>
      <c r="D22" s="175">
        <f>(D61)/D$65</f>
        <v>2.9580444824977556E-4</v>
      </c>
      <c r="E22" s="176">
        <f t="shared" ref="E22:K22" si="6">(E61)/E$65</f>
        <v>1.3581990394824262E-2</v>
      </c>
      <c r="F22" s="176">
        <f t="shared" si="6"/>
        <v>-7.148247646913926E-3</v>
      </c>
      <c r="G22" s="176">
        <f t="shared" si="6"/>
        <v>-1.8290883523983765E-4</v>
      </c>
      <c r="H22" s="176">
        <f t="shared" si="6"/>
        <v>-7.3055076466601223E-3</v>
      </c>
      <c r="I22" s="176">
        <f t="shared" si="6"/>
        <v>-9.5846154833462323E-3</v>
      </c>
      <c r="J22" s="176">
        <f t="shared" si="6"/>
        <v>3.0288568799898175E-3</v>
      </c>
      <c r="K22" s="177">
        <f t="shared" si="6"/>
        <v>3.3379450921372056E-3</v>
      </c>
      <c r="L22" s="173"/>
      <c r="M22" s="177">
        <f>AVERAGE(D61:INDEX(D61:K61,0,MATCH('RFPR cover'!$C$7,$D$6:$K$6,0)))/AVERAGE($D$65:INDEX($D$65:$K$65,0,MATCH('RFPR cover'!$C$7,$D$6:$K$6,0)))</f>
        <v>-1.2466606389238248E-3</v>
      </c>
      <c r="N22" s="177">
        <f>AVERAGE(D61:K61)/AVERAGE($D$65:$K$65)</f>
        <v>-5.9685979209740453E-4</v>
      </c>
      <c r="Z22" s="173"/>
      <c r="AA22" s="173"/>
      <c r="AB22" s="173"/>
      <c r="AC22" s="173"/>
      <c r="AD22" s="173"/>
      <c r="AE22" s="173"/>
      <c r="AF22" s="173"/>
      <c r="AG22" s="173"/>
      <c r="AH22" s="173"/>
      <c r="AI22" s="173"/>
      <c r="AJ22" s="173"/>
      <c r="AK22" s="173"/>
      <c r="AL22" s="173"/>
    </row>
    <row r="23" spans="2:38">
      <c r="B23" s="253" t="str">
        <f>B63</f>
        <v>RoRE - including financing and tax</v>
      </c>
      <c r="C23" s="254" t="s">
        <v>7</v>
      </c>
      <c r="D23" s="191">
        <f>SUM(D20:D22)</f>
        <v>8.9005052488764377E-2</v>
      </c>
      <c r="E23" s="192">
        <f t="shared" ref="E23:K23" si="7">SUM(E20:E22)</f>
        <v>8.350918983212044E-2</v>
      </c>
      <c r="F23" s="192">
        <f t="shared" si="7"/>
        <v>6.313455068447138E-2</v>
      </c>
      <c r="G23" s="192">
        <f t="shared" si="7"/>
        <v>0.13458604974956329</v>
      </c>
      <c r="H23" s="192">
        <f t="shared" si="7"/>
        <v>9.2619906109761299E-2</v>
      </c>
      <c r="I23" s="192">
        <f t="shared" si="7"/>
        <v>7.2451425446465295E-2</v>
      </c>
      <c r="J23" s="192">
        <f t="shared" si="7"/>
        <v>0.12432788985972958</v>
      </c>
      <c r="K23" s="193">
        <f t="shared" si="7"/>
        <v>9.0738679731475078E-2</v>
      </c>
      <c r="L23" s="174"/>
      <c r="M23" s="193">
        <f>SUM(M20:M22)</f>
        <v>9.4822123076372375E-2</v>
      </c>
      <c r="N23" s="193">
        <f>SUM(N20:N22)</f>
        <v>9.4243354672035026E-2</v>
      </c>
      <c r="Z23" s="173"/>
      <c r="AA23" s="173"/>
      <c r="AB23" s="173"/>
      <c r="AC23" s="173"/>
      <c r="AD23" s="173"/>
      <c r="AE23" s="173"/>
      <c r="AF23" s="173"/>
      <c r="AG23" s="173"/>
      <c r="AH23" s="173"/>
      <c r="AI23" s="173"/>
      <c r="AJ23" s="173"/>
      <c r="AK23" s="173"/>
      <c r="AL23" s="173"/>
    </row>
    <row r="24" spans="2:38">
      <c r="AB24" s="173"/>
      <c r="AC24" s="173"/>
      <c r="AD24" s="173"/>
      <c r="AE24" s="173"/>
      <c r="AF24" s="173"/>
      <c r="AG24" s="173"/>
      <c r="AH24" s="173"/>
      <c r="AI24" s="173"/>
      <c r="AJ24" s="173"/>
      <c r="AK24" s="173"/>
      <c r="AL24" s="173"/>
    </row>
    <row r="25" spans="2:38">
      <c r="AB25" s="173"/>
      <c r="AC25" s="173"/>
      <c r="AD25" s="173"/>
      <c r="AE25" s="173"/>
      <c r="AF25" s="173"/>
      <c r="AG25" s="173"/>
      <c r="AH25" s="173"/>
      <c r="AI25" s="173"/>
      <c r="AJ25" s="173"/>
      <c r="AK25" s="173"/>
      <c r="AL25" s="173"/>
    </row>
    <row r="26" spans="2:38" s="31" customFormat="1">
      <c r="B26" s="469"/>
      <c r="C26" s="365"/>
      <c r="Q26"/>
      <c r="R26"/>
      <c r="S26"/>
      <c r="T26"/>
      <c r="U26"/>
      <c r="V26"/>
      <c r="W26"/>
      <c r="X26"/>
      <c r="Y26"/>
      <c r="AB26" s="173"/>
      <c r="AC26" s="173"/>
      <c r="AD26" s="173"/>
      <c r="AE26" s="173"/>
      <c r="AF26" s="173"/>
      <c r="AG26" s="173"/>
      <c r="AH26" s="173"/>
      <c r="AI26" s="173"/>
      <c r="AJ26" s="173"/>
      <c r="AK26" s="173"/>
      <c r="AL26" s="173"/>
    </row>
    <row r="27" spans="2:38">
      <c r="B27" s="529" t="s">
        <v>216</v>
      </c>
      <c r="C27" s="423"/>
      <c r="D27" s="217"/>
      <c r="E27" s="217"/>
      <c r="F27" s="217"/>
      <c r="G27" s="217"/>
      <c r="H27" s="217"/>
      <c r="I27" s="217"/>
      <c r="J27" s="217"/>
      <c r="K27" s="217"/>
      <c r="L27" s="530"/>
      <c r="M27" s="217"/>
      <c r="N27" s="217"/>
      <c r="O27" s="217"/>
      <c r="AB27" s="173"/>
      <c r="AC27" s="173"/>
      <c r="AD27" s="173"/>
      <c r="AE27" s="173"/>
      <c r="AF27" s="173"/>
      <c r="AG27" s="173"/>
      <c r="AH27" s="173"/>
      <c r="AI27" s="173"/>
      <c r="AJ27" s="173"/>
      <c r="AK27" s="173"/>
      <c r="AL27" s="173"/>
    </row>
    <row r="28" spans="2:38">
      <c r="B28" s="197"/>
      <c r="L28" s="49"/>
      <c r="AB28" s="173"/>
      <c r="AC28" s="173"/>
      <c r="AD28" s="173"/>
      <c r="AE28" s="173"/>
      <c r="AF28" s="173"/>
      <c r="AG28" s="173"/>
      <c r="AH28" s="173"/>
      <c r="AI28" s="173"/>
      <c r="AJ28" s="173"/>
      <c r="AK28" s="173"/>
      <c r="AL28" s="173"/>
    </row>
    <row r="29" spans="2:38">
      <c r="B29" s="252" t="s">
        <v>215</v>
      </c>
      <c r="C29" s="254" t="s">
        <v>7</v>
      </c>
      <c r="D29" s="175">
        <f t="shared" ref="D29:K38" si="8">D48/D$66</f>
        <v>5.1397099789787258E-2</v>
      </c>
      <c r="E29" s="176">
        <f t="shared" si="8"/>
        <v>5.4920644569015305E-2</v>
      </c>
      <c r="F29" s="176">
        <f t="shared" si="8"/>
        <v>5.4980761078895858E-2</v>
      </c>
      <c r="G29" s="176">
        <f t="shared" si="8"/>
        <v>5.5375369214189465E-2</v>
      </c>
      <c r="H29" s="176">
        <f t="shared" si="8"/>
        <v>5.7023396727927479E-2</v>
      </c>
      <c r="I29" s="176">
        <f t="shared" si="8"/>
        <v>5.7496498837089641E-2</v>
      </c>
      <c r="J29" s="176">
        <f t="shared" si="8"/>
        <v>5.341533272698773E-2</v>
      </c>
      <c r="K29" s="177">
        <f t="shared" si="8"/>
        <v>5.0761426543258222E-2</v>
      </c>
      <c r="L29" s="173"/>
      <c r="M29" s="507">
        <f>AVERAGE(D48:INDEX(D48:K48,0,MATCH('RFPR cover'!$C$7,$D$6:$K$6,0)))/AVERAGE($D$66:INDEX($D$66:$K$66,0,MATCH('RFPR cover'!$C$7,$D$6:$K$6,0)))</f>
        <v>5.4949689706308286E-2</v>
      </c>
      <c r="N29" s="507">
        <f>AVERAGE(D48:K48)/AVERAGE($D$66:$K$66)</f>
        <v>5.4314513360643649E-2</v>
      </c>
      <c r="P29" s="322"/>
      <c r="Z29" s="173"/>
      <c r="AA29" s="173"/>
      <c r="AB29" s="173"/>
      <c r="AC29" s="173"/>
      <c r="AD29" s="173"/>
      <c r="AE29" s="173"/>
      <c r="AF29" s="173"/>
      <c r="AG29" s="173"/>
      <c r="AH29" s="173"/>
      <c r="AI29" s="173"/>
      <c r="AJ29" s="173"/>
      <c r="AK29" s="173"/>
      <c r="AL29" s="173"/>
    </row>
    <row r="30" spans="2:38">
      <c r="B30" s="252" t="str">
        <f t="shared" ref="B30:B37" si="9">B49</f>
        <v>Totex outperformance</v>
      </c>
      <c r="C30" s="254" t="s">
        <v>7</v>
      </c>
      <c r="D30" s="175">
        <f t="shared" si="8"/>
        <v>5.5859205934055854E-3</v>
      </c>
      <c r="E30" s="176">
        <f t="shared" si="8"/>
        <v>-1.4869796884375836E-2</v>
      </c>
      <c r="F30" s="176">
        <f t="shared" si="8"/>
        <v>-2.4668247211890492E-2</v>
      </c>
      <c r="G30" s="176">
        <f t="shared" si="8"/>
        <v>3.1833236520654284E-2</v>
      </c>
      <c r="H30" s="176">
        <f t="shared" si="8"/>
        <v>1.138125359762384E-2</v>
      </c>
      <c r="I30" s="176">
        <f t="shared" si="8"/>
        <v>1.9938474949057303E-2</v>
      </c>
      <c r="J30" s="176">
        <f t="shared" si="8"/>
        <v>2.7973420407796289E-2</v>
      </c>
      <c r="K30" s="177">
        <f t="shared" si="8"/>
        <v>-2.0032541112407338E-2</v>
      </c>
      <c r="L30" s="173"/>
      <c r="M30" s="177">
        <f>AVERAGE(D49:INDEX(D49:K49,0,MATCH('RFPR cover'!$C$7,$D$6:$K$6,0)))/AVERAGE($D$66:INDEX($D$66:$K$66,0,MATCH('RFPR cover'!$C$7,$D$6:$K$6,0)))</f>
        <v>9.0001506295130807E-3</v>
      </c>
      <c r="N30" s="177">
        <f t="shared" ref="N30:N38" si="10">AVERAGE(D49:K49)/AVERAGE($D$66:$K$66)</f>
        <v>4.5971610542325228E-3</v>
      </c>
      <c r="Z30" s="173"/>
      <c r="AA30" s="173"/>
      <c r="AB30" s="173"/>
      <c r="AC30" s="173"/>
      <c r="AD30" s="173"/>
      <c r="AE30" s="173"/>
      <c r="AF30" s="173"/>
      <c r="AG30" s="173"/>
      <c r="AH30" s="173"/>
      <c r="AI30" s="173"/>
      <c r="AJ30" s="173"/>
      <c r="AK30" s="173"/>
      <c r="AL30" s="173"/>
    </row>
    <row r="31" spans="2:38">
      <c r="B31" s="252" t="str">
        <f t="shared" si="9"/>
        <v>IQI Reward</v>
      </c>
      <c r="C31" s="254" t="s">
        <v>7</v>
      </c>
      <c r="D31" s="175">
        <f t="shared" si="8"/>
        <v>8.1401170659716558E-3</v>
      </c>
      <c r="E31" s="176">
        <f t="shared" si="8"/>
        <v>8.2880395021972669E-3</v>
      </c>
      <c r="F31" s="176">
        <f t="shared" si="8"/>
        <v>7.8863120595031033E-3</v>
      </c>
      <c r="G31" s="176">
        <f t="shared" si="8"/>
        <v>7.8145533123873991E-3</v>
      </c>
      <c r="H31" s="176">
        <f t="shared" si="8"/>
        <v>7.6345839202424139E-3</v>
      </c>
      <c r="I31" s="176">
        <f t="shared" si="8"/>
        <v>7.5317270477474607E-3</v>
      </c>
      <c r="J31" s="176">
        <f t="shared" si="8"/>
        <v>6.7570474865981519E-3</v>
      </c>
      <c r="K31" s="177">
        <f t="shared" si="8"/>
        <v>6.4493501071462671E-3</v>
      </c>
      <c r="L31" s="173"/>
      <c r="M31" s="177">
        <f>AVERAGE(D50:INDEX(D50:K50,0,MATCH('RFPR cover'!$C$7,$D$6:$K$6,0)))/AVERAGE($D$66:INDEX($D$66:$K$66,0,MATCH('RFPR cover'!$C$7,$D$6:$K$6,0)))</f>
        <v>7.6917078685157063E-3</v>
      </c>
      <c r="N31" s="177">
        <f t="shared" si="10"/>
        <v>7.5032965313684774E-3</v>
      </c>
      <c r="Z31" s="173"/>
      <c r="AA31" s="173"/>
      <c r="AB31" s="173"/>
      <c r="AC31" s="173"/>
      <c r="AD31" s="173"/>
      <c r="AE31" s="173"/>
      <c r="AF31" s="173"/>
      <c r="AG31" s="173"/>
      <c r="AH31" s="173"/>
      <c r="AI31" s="173"/>
      <c r="AJ31" s="173"/>
      <c r="AK31" s="173"/>
      <c r="AL31" s="173"/>
    </row>
    <row r="32" spans="2:38">
      <c r="B32" s="252" t="str">
        <f t="shared" si="9"/>
        <v>Broad measure of customer service</v>
      </c>
      <c r="C32" s="254" t="s">
        <v>7</v>
      </c>
      <c r="D32" s="175">
        <f t="shared" si="8"/>
        <v>5.7622122769359725E-3</v>
      </c>
      <c r="E32" s="176">
        <f t="shared" si="8"/>
        <v>5.9407526459782133E-3</v>
      </c>
      <c r="F32" s="176">
        <f t="shared" si="8"/>
        <v>5.7579281958504E-3</v>
      </c>
      <c r="G32" s="176">
        <f t="shared" si="8"/>
        <v>5.6876854928512239E-3</v>
      </c>
      <c r="H32" s="176">
        <f t="shared" si="8"/>
        <v>4.6069681851915916E-3</v>
      </c>
      <c r="I32" s="176">
        <f t="shared" si="8"/>
        <v>4.4932042041220116E-3</v>
      </c>
      <c r="J32" s="176">
        <f t="shared" si="8"/>
        <v>3.8389131246633033E-3</v>
      </c>
      <c r="K32" s="177">
        <f t="shared" si="8"/>
        <v>3.6797268442774075E-3</v>
      </c>
      <c r="L32" s="173"/>
      <c r="M32" s="177">
        <f>AVERAGE(D51:INDEX(D51:K51,0,MATCH('RFPR cover'!$C$7,$D$6:$K$6,0)))/AVERAGE($D$66:INDEX($D$66:$K$66,0,MATCH('RFPR cover'!$C$7,$D$6:$K$6,0)))</f>
        <v>5.1104056645032061E-3</v>
      </c>
      <c r="N32" s="177">
        <f t="shared" si="10"/>
        <v>4.8934342590605147E-3</v>
      </c>
      <c r="Z32" s="173"/>
      <c r="AA32" s="173"/>
      <c r="AB32" s="173"/>
      <c r="AC32" s="173"/>
      <c r="AD32" s="173"/>
      <c r="AE32" s="173"/>
      <c r="AF32" s="173"/>
      <c r="AG32" s="173"/>
      <c r="AH32" s="173"/>
      <c r="AI32" s="173"/>
      <c r="AJ32" s="173"/>
      <c r="AK32" s="173"/>
      <c r="AL32" s="173"/>
    </row>
    <row r="33" spans="2:38">
      <c r="B33" s="252" t="str">
        <f t="shared" si="9"/>
        <v>Interruptions-related quality of service</v>
      </c>
      <c r="C33" s="254" t="s">
        <v>7</v>
      </c>
      <c r="D33" s="175">
        <f t="shared" si="8"/>
        <v>7.3822449574790011E-3</v>
      </c>
      <c r="E33" s="176">
        <f t="shared" si="8"/>
        <v>5.2671940233899404E-3</v>
      </c>
      <c r="F33" s="176">
        <f t="shared" si="8"/>
        <v>-5.3995354242319439E-4</v>
      </c>
      <c r="G33" s="176">
        <f t="shared" si="8"/>
        <v>4.8071974025613281E-3</v>
      </c>
      <c r="H33" s="176">
        <f t="shared" si="8"/>
        <v>7.9246585485575043E-3</v>
      </c>
      <c r="I33" s="176">
        <f t="shared" si="8"/>
        <v>1.308464933733883E-3</v>
      </c>
      <c r="J33" s="176">
        <f t="shared" si="8"/>
        <v>5.7686249575582202E-3</v>
      </c>
      <c r="K33" s="177">
        <f t="shared" si="8"/>
        <v>2.4749694904079109E-3</v>
      </c>
      <c r="L33" s="173"/>
      <c r="M33" s="177">
        <f>AVERAGE(D52:INDEX(D52:K52,0,MATCH('RFPR cover'!$C$7,$D$6:$K$6,0)))/AVERAGE($D$66:INDEX($D$66:$K$66,0,MATCH('RFPR cover'!$C$7,$D$6:$K$6,0)))</f>
        <v>4.5670930239540388E-3</v>
      </c>
      <c r="N33" s="177">
        <f t="shared" si="10"/>
        <v>4.2498093841769509E-3</v>
      </c>
      <c r="Z33" s="173"/>
      <c r="AA33" s="173"/>
      <c r="AB33" s="173"/>
      <c r="AC33" s="173"/>
      <c r="AD33" s="173"/>
      <c r="AE33" s="173"/>
      <c r="AF33" s="173"/>
      <c r="AG33" s="173"/>
      <c r="AH33" s="173"/>
      <c r="AI33" s="173"/>
      <c r="AJ33" s="173"/>
      <c r="AK33" s="173"/>
      <c r="AL33" s="173"/>
    </row>
    <row r="34" spans="2:38">
      <c r="B34" s="252" t="str">
        <f t="shared" si="9"/>
        <v>Incentive on connections engagement</v>
      </c>
      <c r="C34" s="254" t="s">
        <v>7</v>
      </c>
      <c r="D34" s="175">
        <f t="shared" si="8"/>
        <v>0</v>
      </c>
      <c r="E34" s="176">
        <f t="shared" si="8"/>
        <v>0</v>
      </c>
      <c r="F34" s="176">
        <f t="shared" si="8"/>
        <v>0</v>
      </c>
      <c r="G34" s="176">
        <f t="shared" si="8"/>
        <v>0</v>
      </c>
      <c r="H34" s="176">
        <f t="shared" si="8"/>
        <v>0</v>
      </c>
      <c r="I34" s="176">
        <f t="shared" si="8"/>
        <v>0</v>
      </c>
      <c r="J34" s="176">
        <f t="shared" si="8"/>
        <v>0</v>
      </c>
      <c r="K34" s="177">
        <f t="shared" si="8"/>
        <v>0</v>
      </c>
      <c r="L34" s="173"/>
      <c r="M34" s="177">
        <f>AVERAGE(D53:INDEX(D53:K53,0,MATCH('RFPR cover'!$C$7,$D$6:$K$6,0)))/AVERAGE($D$66:INDEX($D$66:$K$66,0,MATCH('RFPR cover'!$C$7,$D$6:$K$6,0)))</f>
        <v>0</v>
      </c>
      <c r="N34" s="177">
        <f t="shared" si="10"/>
        <v>0</v>
      </c>
      <c r="Z34" s="173"/>
      <c r="AA34" s="173"/>
      <c r="AB34" s="173"/>
      <c r="AC34" s="173"/>
      <c r="AD34" s="173"/>
      <c r="AE34" s="173"/>
      <c r="AF34" s="173"/>
      <c r="AG34" s="173"/>
      <c r="AH34" s="173"/>
      <c r="AI34" s="173"/>
      <c r="AJ34" s="173"/>
      <c r="AK34" s="173"/>
      <c r="AL34" s="173"/>
    </row>
    <row r="35" spans="2:38">
      <c r="B35" s="252" t="str">
        <f t="shared" si="9"/>
        <v>Time to Connect Incentive</v>
      </c>
      <c r="C35" s="254" t="s">
        <v>7</v>
      </c>
      <c r="D35" s="175">
        <f t="shared" si="8"/>
        <v>1.7407312827546276E-3</v>
      </c>
      <c r="E35" s="176">
        <f t="shared" si="8"/>
        <v>1.4868629097613262E-3</v>
      </c>
      <c r="F35" s="176">
        <f t="shared" si="8"/>
        <v>1.7985396598295077E-3</v>
      </c>
      <c r="G35" s="176">
        <f t="shared" si="8"/>
        <v>1.7492497286948237E-3</v>
      </c>
      <c r="H35" s="176">
        <f t="shared" si="8"/>
        <v>1.7395726312869446E-3</v>
      </c>
      <c r="I35" s="176">
        <f t="shared" si="8"/>
        <v>1.0065258540661343E-3</v>
      </c>
      <c r="J35" s="176">
        <f t="shared" si="8"/>
        <v>8.0833759117106849E-4</v>
      </c>
      <c r="K35" s="177">
        <f t="shared" si="8"/>
        <v>1.1298717501020412E-3</v>
      </c>
      <c r="L35" s="173"/>
      <c r="M35" s="177">
        <f>AVERAGE(D54:INDEX(D54:K54,0,MATCH('RFPR cover'!$C$7,$D$6:$K$6,0)))/AVERAGE($D$66:INDEX($D$66:$K$66,0,MATCH('RFPR cover'!$C$7,$D$6:$K$6,0)))</f>
        <v>1.4565775596037014E-3</v>
      </c>
      <c r="N35" s="177">
        <f t="shared" si="10"/>
        <v>1.407030576974379E-3</v>
      </c>
      <c r="Z35" s="173"/>
      <c r="AA35" s="173"/>
      <c r="AB35" s="173"/>
      <c r="AC35" s="173"/>
      <c r="AD35" s="173"/>
      <c r="AE35" s="173"/>
      <c r="AF35" s="173"/>
      <c r="AG35" s="173"/>
      <c r="AH35" s="173"/>
      <c r="AI35" s="173"/>
      <c r="AJ35" s="173"/>
      <c r="AK35" s="173"/>
      <c r="AL35" s="173"/>
    </row>
    <row r="36" spans="2:38">
      <c r="B36" s="252" t="str">
        <f t="shared" si="9"/>
        <v>Losses discretionary reward scheme</v>
      </c>
      <c r="C36" s="254" t="s">
        <v>7</v>
      </c>
      <c r="D36" s="175">
        <f t="shared" si="8"/>
        <v>0</v>
      </c>
      <c r="E36" s="176">
        <f t="shared" si="8"/>
        <v>6.2419255539566205E-5</v>
      </c>
      <c r="F36" s="176">
        <f t="shared" si="8"/>
        <v>0</v>
      </c>
      <c r="G36" s="176">
        <f t="shared" si="8"/>
        <v>0</v>
      </c>
      <c r="H36" s="176">
        <f t="shared" si="8"/>
        <v>0</v>
      </c>
      <c r="I36" s="176">
        <f t="shared" si="8"/>
        <v>0</v>
      </c>
      <c r="J36" s="176">
        <f t="shared" si="8"/>
        <v>0</v>
      </c>
      <c r="K36" s="177">
        <f t="shared" si="8"/>
        <v>0</v>
      </c>
      <c r="L36" s="173"/>
      <c r="M36" s="177">
        <f>AVERAGE(D55:INDEX(D55:K55,0,MATCH('RFPR cover'!$C$7,$D$6:$K$6,0)))/AVERAGE($D$66:INDEX($D$66:$K$66,0,MATCH('RFPR cover'!$C$7,$D$6:$K$6,0)))</f>
        <v>8.2796156455366506E-6</v>
      </c>
      <c r="N36" s="177">
        <f t="shared" si="10"/>
        <v>7.0239600660028373E-6</v>
      </c>
      <c r="Z36" s="173"/>
      <c r="AA36" s="173"/>
      <c r="AB36" s="173"/>
      <c r="AC36" s="173"/>
      <c r="AD36" s="173"/>
      <c r="AE36" s="173"/>
      <c r="AF36" s="173"/>
      <c r="AG36" s="173"/>
      <c r="AH36" s="173"/>
      <c r="AI36" s="173"/>
      <c r="AJ36" s="173"/>
      <c r="AK36" s="173"/>
      <c r="AL36" s="173"/>
    </row>
    <row r="37" spans="2:38">
      <c r="B37" s="252" t="str">
        <f t="shared" si="9"/>
        <v xml:space="preserve">Network Innovation </v>
      </c>
      <c r="C37" s="254" t="s">
        <v>7</v>
      </c>
      <c r="D37" s="175">
        <f t="shared" si="8"/>
        <v>-7.3254224173457453E-5</v>
      </c>
      <c r="E37" s="176">
        <f t="shared" si="8"/>
        <v>1.3799852539508395E-4</v>
      </c>
      <c r="F37" s="176">
        <f t="shared" si="8"/>
        <v>4.6724635692106594E-4</v>
      </c>
      <c r="G37" s="176">
        <f t="shared" si="8"/>
        <v>-1.5646470213327075E-4</v>
      </c>
      <c r="H37" s="176">
        <f t="shared" si="8"/>
        <v>-2.2601862982304591E-4</v>
      </c>
      <c r="I37" s="176">
        <f t="shared" si="8"/>
        <v>1.2528328676566995E-3</v>
      </c>
      <c r="J37" s="176">
        <f t="shared" si="8"/>
        <v>-1.696996367299764E-4</v>
      </c>
      <c r="K37" s="177">
        <f t="shared" si="8"/>
        <v>-1.5191871075137829E-4</v>
      </c>
      <c r="L37" s="173"/>
      <c r="M37" s="177">
        <f>AVERAGE(D56:INDEX(D56:K56,0,MATCH('RFPR cover'!$C$7,$D$6:$K$6,0)))/AVERAGE($D$66:INDEX($D$66:$K$66,0,MATCH('RFPR cover'!$C$7,$D$6:$K$6,0)))</f>
        <v>1.7420291039121395E-4</v>
      </c>
      <c r="N37" s="177">
        <f t="shared" si="10"/>
        <v>1.2474452358613819E-4</v>
      </c>
      <c r="Z37" s="173"/>
      <c r="AA37" s="173"/>
      <c r="AB37" s="173"/>
      <c r="AC37" s="173"/>
      <c r="AD37" s="173"/>
      <c r="AE37" s="173"/>
      <c r="AF37" s="173"/>
      <c r="AG37" s="173"/>
      <c r="AH37" s="173"/>
      <c r="AI37" s="173"/>
      <c r="AJ37" s="173"/>
      <c r="AK37" s="173"/>
      <c r="AL37" s="173"/>
    </row>
    <row r="38" spans="2:38">
      <c r="B38" s="252" t="str">
        <f>B57</f>
        <v>Penalties and fines</v>
      </c>
      <c r="C38" s="254" t="s">
        <v>7</v>
      </c>
      <c r="D38" s="185">
        <f t="shared" si="8"/>
        <v>-4.39809554115678E-6</v>
      </c>
      <c r="E38" s="186">
        <f t="shared" si="8"/>
        <v>-3.2445557616690982E-6</v>
      </c>
      <c r="F38" s="186">
        <f t="shared" si="8"/>
        <v>-5.2224315689772892E-6</v>
      </c>
      <c r="G38" s="186">
        <f t="shared" si="8"/>
        <v>-2.8703587156027113E-6</v>
      </c>
      <c r="H38" s="186">
        <f t="shared" si="8"/>
        <v>-5.7235487541288616E-6</v>
      </c>
      <c r="I38" s="186">
        <f t="shared" si="8"/>
        <v>-6.1797460642065131E-6</v>
      </c>
      <c r="J38" s="186">
        <f t="shared" si="8"/>
        <v>-4.8803854634333057E-3</v>
      </c>
      <c r="K38" s="187">
        <f t="shared" si="8"/>
        <v>-1.4233858190287741E-4</v>
      </c>
      <c r="L38" s="173"/>
      <c r="M38" s="187">
        <f>AVERAGE(D57:INDEX(D57:K57,0,MATCH('RFPR cover'!$C$7,$D$6:$K$6,0)))/AVERAGE($D$66:INDEX($D$66:$K$66,0,MATCH('RFPR cover'!$C$7,$D$6:$K$6,0)))</f>
        <v>-7.9957453022098197E-4</v>
      </c>
      <c r="N38" s="187">
        <f t="shared" si="10"/>
        <v>-6.9990058146459201E-4</v>
      </c>
      <c r="Z38" s="173"/>
      <c r="AA38" s="173"/>
      <c r="AB38" s="173"/>
      <c r="AC38" s="173"/>
      <c r="AD38" s="173"/>
      <c r="AE38" s="173"/>
      <c r="AF38" s="173"/>
      <c r="AG38" s="173"/>
      <c r="AH38" s="173"/>
      <c r="AI38" s="173"/>
      <c r="AJ38" s="173"/>
      <c r="AK38" s="173"/>
      <c r="AL38" s="173"/>
    </row>
    <row r="39" spans="2:38">
      <c r="B39" s="253" t="str">
        <f>B58</f>
        <v>RoRE - Operational performance</v>
      </c>
      <c r="C39" s="254" t="s">
        <v>7</v>
      </c>
      <c r="D39" s="188">
        <f t="shared" ref="D39:K39" si="11">SUM(D29:D38)</f>
        <v>7.9930673646619474E-2</v>
      </c>
      <c r="E39" s="189">
        <f t="shared" si="11"/>
        <v>6.1230869991139192E-2</v>
      </c>
      <c r="F39" s="189">
        <f t="shared" si="11"/>
        <v>4.5677364165117279E-2</v>
      </c>
      <c r="G39" s="189">
        <f t="shared" si="11"/>
        <v>0.10710795661048965</v>
      </c>
      <c r="H39" s="189">
        <f t="shared" si="11"/>
        <v>9.0078691432252597E-2</v>
      </c>
      <c r="I39" s="189">
        <f t="shared" si="11"/>
        <v>9.3021548947408925E-2</v>
      </c>
      <c r="J39" s="189">
        <f t="shared" si="11"/>
        <v>9.3511591194611485E-2</v>
      </c>
      <c r="K39" s="190">
        <f t="shared" si="11"/>
        <v>4.4168546330130252E-2</v>
      </c>
      <c r="L39" s="174"/>
      <c r="M39" s="190">
        <f>SUM(M29:M38)</f>
        <v>8.2158532448213792E-2</v>
      </c>
      <c r="N39" s="190">
        <f>SUM(N29:N38)</f>
        <v>7.6397113068644051E-2</v>
      </c>
      <c r="Z39" s="173"/>
      <c r="AA39" s="173"/>
      <c r="AB39" s="173"/>
      <c r="AC39" s="173"/>
      <c r="AD39" s="173"/>
      <c r="AE39" s="173"/>
      <c r="AF39" s="173"/>
      <c r="AG39" s="173"/>
      <c r="AH39" s="173"/>
      <c r="AI39" s="173"/>
      <c r="AJ39" s="173"/>
      <c r="AK39" s="173"/>
      <c r="AL39" s="173"/>
    </row>
    <row r="40" spans="2:38">
      <c r="B40" s="252" t="s">
        <v>457</v>
      </c>
      <c r="C40" s="254" t="s">
        <v>7</v>
      </c>
      <c r="D40" s="175">
        <f>(D59+D60)/D$66</f>
        <v>-3.5255163542248454E-3</v>
      </c>
      <c r="E40" s="176">
        <f t="shared" ref="E40:K40" si="12">(E59+E60)/E$66</f>
        <v>1.5861676256144388E-3</v>
      </c>
      <c r="F40" s="176">
        <f t="shared" si="12"/>
        <v>1.5936374996433095E-2</v>
      </c>
      <c r="G40" s="176">
        <f t="shared" si="12"/>
        <v>1.0787749953928562E-2</v>
      </c>
      <c r="H40" s="176">
        <f t="shared" si="12"/>
        <v>4.1792807620217313E-4</v>
      </c>
      <c r="I40" s="176">
        <f t="shared" si="12"/>
        <v>-1.7247789372197037E-2</v>
      </c>
      <c r="J40" s="176">
        <f t="shared" si="12"/>
        <v>7.9200577892388335E-3</v>
      </c>
      <c r="K40" s="177">
        <f t="shared" si="12"/>
        <v>2.2274288427659591E-2</v>
      </c>
      <c r="L40" s="173"/>
      <c r="M40" s="177">
        <f>(AVERAGE(D59:INDEX(D59:K59,0,MATCH('RFPR cover'!$C$7,$D$6:$K$6,0)))+AVERAGE(D60:INDEX(D60:K60,0,MATCH('RFPR cover'!$C$7,$D$6:$K$6,0))))/AVERAGE($D$66:INDEX($D$66:$K$66,0,MATCH('RFPR cover'!$C$7,$D$6:$K$6,0)))</f>
        <v>2.2929542405585785E-3</v>
      </c>
      <c r="N40" s="177">
        <f>(AVERAGE(D59:K59)+AVERAGE(D60:K60))/AVERAGE($D$66:$K$66)</f>
        <v>5.323248741256616E-3</v>
      </c>
      <c r="Z40" s="173"/>
      <c r="AA40" s="173"/>
      <c r="AB40" s="173"/>
      <c r="AC40" s="173"/>
      <c r="AD40" s="173"/>
      <c r="AE40" s="173"/>
      <c r="AF40" s="173"/>
      <c r="AG40" s="173"/>
      <c r="AH40" s="173"/>
      <c r="AI40" s="173"/>
      <c r="AJ40" s="173"/>
      <c r="AK40" s="173"/>
      <c r="AL40" s="173"/>
    </row>
    <row r="41" spans="2:38">
      <c r="B41" s="252" t="s">
        <v>458</v>
      </c>
      <c r="C41" s="254" t="s">
        <v>7</v>
      </c>
      <c r="D41" s="175">
        <f>(D61+D62)/D$66</f>
        <v>2.3755454288994804E-4</v>
      </c>
      <c r="E41" s="176">
        <f t="shared" ref="E41:K41" si="13">(E61+E62)/E$66</f>
        <v>1.165518229709255E-2</v>
      </c>
      <c r="F41" s="176">
        <f t="shared" si="13"/>
        <v>-6.1408765001211606E-3</v>
      </c>
      <c r="G41" s="176">
        <f t="shared" si="13"/>
        <v>-1.5826006693661298E-4</v>
      </c>
      <c r="H41" s="176">
        <f t="shared" si="13"/>
        <v>-6.5091384505376274E-3</v>
      </c>
      <c r="I41" s="176">
        <f t="shared" si="13"/>
        <v>-8.610653640502626E-3</v>
      </c>
      <c r="J41" s="176">
        <f t="shared" si="13"/>
        <v>2.5279280941731563E-3</v>
      </c>
      <c r="K41" s="177">
        <f t="shared" si="13"/>
        <v>2.6474821031242509E-3</v>
      </c>
      <c r="L41" s="173"/>
      <c r="M41" s="177">
        <f>(AVERAGE(D61:INDEX(D61:K61,0,MATCH('RFPR cover'!$C$7,$D$6:$K$6,0)))+AVERAGE(D62:INDEX(D62:K62,0,MATCH('RFPR cover'!$C$7,$D$6:$K$6,0))))/AVERAGE($D$66:INDEX($D$66:$K$66,0,MATCH('RFPR cover'!$C$7,$D$6:$K$6,0)))</f>
        <v>-1.070368988717691E-3</v>
      </c>
      <c r="N41" s="177">
        <f>(AVERAGE(D61:K61)+AVERAGE(D62:K62))/AVERAGE($D$66:$K$66)</f>
        <v>-5.0653358050477325E-4</v>
      </c>
      <c r="Z41" s="173"/>
      <c r="AA41" s="173"/>
      <c r="AB41" s="173"/>
      <c r="AC41" s="173"/>
      <c r="AD41" s="173"/>
      <c r="AE41" s="173"/>
      <c r="AF41" s="173"/>
      <c r="AG41" s="173"/>
      <c r="AH41" s="173"/>
      <c r="AI41" s="173"/>
      <c r="AJ41" s="173"/>
      <c r="AK41" s="173"/>
      <c r="AL41" s="173"/>
    </row>
    <row r="42" spans="2:38">
      <c r="B42" s="253" t="str">
        <f>B63</f>
        <v>RoRE - including financing and tax</v>
      </c>
      <c r="C42" s="254" t="s">
        <v>7</v>
      </c>
      <c r="D42" s="191">
        <f>SUM(D39:D41)</f>
        <v>7.6642711835284566E-2</v>
      </c>
      <c r="E42" s="192">
        <f t="shared" ref="E42:K42" si="14">SUM(E39:E41)</f>
        <v>7.4472219913846172E-2</v>
      </c>
      <c r="F42" s="192">
        <f t="shared" si="14"/>
        <v>5.5472862661429208E-2</v>
      </c>
      <c r="G42" s="192">
        <f t="shared" si="14"/>
        <v>0.11773744649748159</v>
      </c>
      <c r="H42" s="192">
        <f t="shared" si="14"/>
        <v>8.3987481057917132E-2</v>
      </c>
      <c r="I42" s="192">
        <f t="shared" si="14"/>
        <v>6.7163105934709255E-2</v>
      </c>
      <c r="J42" s="192">
        <f t="shared" si="14"/>
        <v>0.10395957707802347</v>
      </c>
      <c r="K42" s="193">
        <f t="shared" si="14"/>
        <v>6.9090316860914089E-2</v>
      </c>
      <c r="L42" s="174"/>
      <c r="M42" s="193">
        <f>SUM(M39:M41)</f>
        <v>8.3381117700054672E-2</v>
      </c>
      <c r="N42" s="193">
        <f>SUM(N39:N41)</f>
        <v>8.1213828229395893E-2</v>
      </c>
      <c r="Z42" s="173"/>
      <c r="AA42" s="173"/>
      <c r="AB42" s="173"/>
      <c r="AC42" s="173"/>
      <c r="AD42" s="173"/>
      <c r="AE42" s="173"/>
      <c r="AF42" s="173"/>
      <c r="AG42" s="173"/>
      <c r="AH42" s="173"/>
      <c r="AI42" s="173"/>
      <c r="AJ42" s="173"/>
      <c r="AK42" s="173"/>
      <c r="AL42" s="173"/>
    </row>
    <row r="43" spans="2:38" s="31" customFormat="1">
      <c r="B43" s="470"/>
      <c r="C43" s="471"/>
      <c r="D43" s="472"/>
      <c r="E43" s="472"/>
      <c r="F43" s="472"/>
      <c r="G43" s="472"/>
      <c r="H43" s="472"/>
      <c r="I43" s="472"/>
      <c r="J43" s="472"/>
      <c r="K43" s="472"/>
      <c r="L43" s="473"/>
      <c r="M43" s="472"/>
      <c r="N43" s="472"/>
      <c r="Q43"/>
      <c r="R43"/>
      <c r="S43"/>
      <c r="T43"/>
      <c r="U43"/>
      <c r="V43"/>
      <c r="W43"/>
      <c r="X43"/>
      <c r="Y43"/>
      <c r="AB43" s="517"/>
      <c r="AC43" s="517"/>
      <c r="AD43" s="517"/>
      <c r="AE43" s="517"/>
      <c r="AF43" s="517"/>
      <c r="AG43" s="517"/>
      <c r="AH43" s="517"/>
      <c r="AI43" s="517"/>
      <c r="AJ43" s="517"/>
      <c r="AK43" s="517"/>
      <c r="AL43" s="517"/>
    </row>
    <row r="44" spans="2:38" s="31" customFormat="1">
      <c r="B44" s="470"/>
      <c r="C44" s="471"/>
      <c r="D44" s="472"/>
      <c r="E44" s="472"/>
      <c r="F44" s="472"/>
      <c r="G44" s="472"/>
      <c r="H44" s="472"/>
      <c r="I44" s="472"/>
      <c r="J44" s="472"/>
      <c r="K44" s="472"/>
      <c r="L44" s="473"/>
      <c r="M44" s="472"/>
      <c r="N44" s="472"/>
      <c r="Q44"/>
      <c r="R44"/>
      <c r="S44"/>
      <c r="T44"/>
      <c r="U44"/>
      <c r="V44"/>
      <c r="W44"/>
      <c r="X44"/>
      <c r="Y44"/>
      <c r="AB44" s="517"/>
      <c r="AC44" s="517"/>
      <c r="AD44" s="517"/>
      <c r="AE44" s="517"/>
      <c r="AF44" s="517"/>
      <c r="AG44" s="517"/>
      <c r="AH44" s="517"/>
      <c r="AI44" s="517"/>
      <c r="AJ44" s="517"/>
      <c r="AK44" s="517"/>
      <c r="AL44" s="517"/>
    </row>
    <row r="45" spans="2:38" s="31" customFormat="1">
      <c r="B45" s="523" t="s">
        <v>393</v>
      </c>
      <c r="C45" s="524"/>
      <c r="D45" s="525"/>
      <c r="E45" s="525"/>
      <c r="F45" s="525"/>
      <c r="G45" s="525"/>
      <c r="H45" s="525"/>
      <c r="I45" s="525"/>
      <c r="J45" s="525"/>
      <c r="K45" s="525"/>
      <c r="L45" s="526"/>
      <c r="M45" s="525"/>
      <c r="N45" s="525"/>
      <c r="O45" s="217"/>
      <c r="Q45"/>
      <c r="R45"/>
      <c r="S45"/>
      <c r="T45"/>
      <c r="U45"/>
      <c r="V45"/>
      <c r="W45"/>
      <c r="X45"/>
      <c r="Y45"/>
      <c r="AB45" s="517"/>
      <c r="AC45" s="517"/>
      <c r="AD45" s="517"/>
      <c r="AE45" s="517"/>
      <c r="AF45" s="517"/>
      <c r="AG45" s="517"/>
      <c r="AH45" s="517"/>
      <c r="AI45" s="517"/>
      <c r="AJ45" s="517"/>
      <c r="AK45" s="517"/>
      <c r="AL45" s="517"/>
    </row>
    <row r="46" spans="2:38" s="31" customFormat="1">
      <c r="B46" s="528" t="str">
        <f>"Input values provided in "&amp;'RFPR cover'!C14&amp;" prices"</f>
        <v>Input values provided in £m 12/13 prices</v>
      </c>
      <c r="C46" s="527"/>
      <c r="D46" s="527"/>
      <c r="E46" s="527"/>
      <c r="F46" s="527"/>
      <c r="G46" s="527"/>
      <c r="H46" s="527"/>
      <c r="I46" s="527"/>
      <c r="J46" s="527"/>
      <c r="K46" s="527"/>
      <c r="L46" s="527"/>
      <c r="M46" s="527"/>
      <c r="N46" s="527"/>
      <c r="O46" s="527"/>
      <c r="Q46"/>
      <c r="R46"/>
      <c r="S46"/>
      <c r="T46"/>
      <c r="U46"/>
      <c r="V46"/>
      <c r="W46"/>
      <c r="X46"/>
      <c r="Y46"/>
      <c r="AB46" s="517"/>
      <c r="AC46" s="517"/>
      <c r="AD46" s="517"/>
      <c r="AE46" s="517"/>
      <c r="AF46" s="517"/>
      <c r="AG46" s="517"/>
      <c r="AH46" s="517"/>
      <c r="AI46" s="517"/>
      <c r="AJ46" s="517"/>
      <c r="AK46" s="517"/>
      <c r="AL46" s="517"/>
    </row>
    <row r="47" spans="2:38">
      <c r="AB47" s="517"/>
      <c r="AC47" s="517"/>
      <c r="AD47" s="517"/>
      <c r="AE47" s="517"/>
      <c r="AF47" s="517"/>
      <c r="AG47" s="517"/>
      <c r="AH47" s="517"/>
      <c r="AI47" s="517"/>
      <c r="AJ47" s="517"/>
      <c r="AK47" s="517"/>
      <c r="AL47" s="517"/>
    </row>
    <row r="48" spans="2:38">
      <c r="B48" s="247" t="s">
        <v>228</v>
      </c>
      <c r="C48" s="342" t="str">
        <f>'RFPR cover'!$C$14</f>
        <v>£m 12/13</v>
      </c>
      <c r="D48" s="178">
        <f>'R9 - RAV'!D50</f>
        <v>27.156827699648645</v>
      </c>
      <c r="E48" s="179">
        <f>'R9 - RAV'!E50</f>
        <v>28.507691555343129</v>
      </c>
      <c r="F48" s="179">
        <f>'R9 - RAV'!F50</f>
        <v>29.713717724608163</v>
      </c>
      <c r="G48" s="179">
        <f>'R9 - RAV'!G50</f>
        <v>30.770254237142439</v>
      </c>
      <c r="H48" s="179">
        <f>'R9 - RAV'!H50</f>
        <v>31.862275033920561</v>
      </c>
      <c r="I48" s="179">
        <f>'R9 - RAV'!I50</f>
        <v>32.940042484755125</v>
      </c>
      <c r="J48" s="179">
        <f>'R9 - RAV'!J50</f>
        <v>34.079697836966723</v>
      </c>
      <c r="K48" s="180">
        <f>'R9 - RAV'!K50</f>
        <v>35.510529587905893</v>
      </c>
      <c r="M48" s="95">
        <f>SUM(D48:INDEX(D48:K48,0,MATCH('RFPR cover'!$C$7,$D$6:$K$6,0)))</f>
        <v>215.03050657238475</v>
      </c>
      <c r="N48" s="95">
        <f>SUM(D48:K48)</f>
        <v>250.54103616029064</v>
      </c>
      <c r="Z48" s="517"/>
      <c r="AA48" s="517"/>
      <c r="AB48" s="517"/>
      <c r="AC48" s="517"/>
      <c r="AD48" s="517"/>
      <c r="AE48" s="517"/>
      <c r="AF48" s="517"/>
      <c r="AG48" s="517"/>
      <c r="AH48" s="517"/>
      <c r="AI48" s="517"/>
      <c r="AJ48" s="517"/>
      <c r="AK48" s="517"/>
      <c r="AL48" s="517"/>
    </row>
    <row r="49" spans="2:38">
      <c r="B49" s="247" t="s">
        <v>102</v>
      </c>
      <c r="C49" s="342" t="str">
        <f>'RFPR cover'!$C$14</f>
        <v>£m 12/13</v>
      </c>
      <c r="D49" s="251">
        <f>'R4 - Totex'!D35+'R4 - Totex'!D63</f>
        <v>2.9514483058278898</v>
      </c>
      <c r="E49" s="251">
        <f>'R4 - Totex'!E35+'R4 - Totex'!E63</f>
        <v>-7.7184742895305192</v>
      </c>
      <c r="F49" s="251">
        <f>'R4 - Totex'!F35+'R4 - Totex'!F63</f>
        <v>-13.331669479132035</v>
      </c>
      <c r="G49" s="251">
        <f>'R4 - Totex'!G35+'R4 - Totex'!G63</f>
        <v>17.688672686639659</v>
      </c>
      <c r="H49" s="251">
        <f>'R4 - Totex'!H35+'R4 - Totex'!H63</f>
        <v>6.3593656843785942</v>
      </c>
      <c r="I49" s="251">
        <f>'R4 - Totex'!I35+'R4 - Totex'!I63</f>
        <v>11.42285574229615</v>
      </c>
      <c r="J49" s="251">
        <f>'R4 - Totex'!J35+'R4 - Totex'!J63</f>
        <v>17.847416954916294</v>
      </c>
      <c r="K49" s="251">
        <f>'R4 - Totex'!K35+'R4 - Totex'!K63</f>
        <v>-14.013911592631565</v>
      </c>
      <c r="M49" s="95">
        <f>SUM(D49:INDEX(D49:K49,0,MATCH('RFPR cover'!$C$7,$D$6:$K$6,0)))</f>
        <v>35.219615605396037</v>
      </c>
      <c r="N49" s="95">
        <f>SUM(D49:K49)</f>
        <v>21.205704012764471</v>
      </c>
      <c r="Z49" s="517"/>
      <c r="AA49" s="517"/>
      <c r="AB49" s="517"/>
      <c r="AC49" s="517"/>
      <c r="AD49" s="517"/>
      <c r="AE49" s="517"/>
      <c r="AF49" s="517"/>
      <c r="AG49" s="517"/>
      <c r="AH49" s="517"/>
      <c r="AI49" s="517"/>
      <c r="AJ49" s="517"/>
      <c r="AK49" s="517"/>
      <c r="AL49" s="517"/>
    </row>
    <row r="50" spans="2:38">
      <c r="B50" s="249" t="s">
        <v>110</v>
      </c>
      <c r="C50" s="342" t="str">
        <f>'RFPR cover'!$C$14</f>
        <v>£m 12/13</v>
      </c>
      <c r="D50" s="242">
        <f>'R4 - Totex'!D79</f>
        <v>4.3010161569366776</v>
      </c>
      <c r="E50" s="181">
        <f>'R4 - Totex'!E79</f>
        <v>4.3020775808672473</v>
      </c>
      <c r="F50" s="181">
        <f>'R4 - Totex'!F79</f>
        <v>4.2620663269464218</v>
      </c>
      <c r="G50" s="181">
        <f>'R4 - Totex'!G79</f>
        <v>4.3422878363445587</v>
      </c>
      <c r="H50" s="181">
        <f>'R4 - Totex'!H79</f>
        <v>4.2658842965272852</v>
      </c>
      <c r="I50" s="181">
        <f>'R4 - Totex'!I79</f>
        <v>4.3149655014531101</v>
      </c>
      <c r="J50" s="181">
        <f>'R4 - Totex'!J79</f>
        <v>4.311086814534697</v>
      </c>
      <c r="K50" s="182">
        <f>'R4 - Totex'!K79</f>
        <v>4.5116903404480535</v>
      </c>
      <c r="M50" s="95">
        <f>SUM(D50:INDEX(D50:K50,0,MATCH('RFPR cover'!$C$7,$D$6:$K$6,0)))</f>
        <v>30.099384513609994</v>
      </c>
      <c r="N50" s="95">
        <f t="shared" ref="N50:N57" si="15">SUM(D50:K50)</f>
        <v>34.611074854058046</v>
      </c>
      <c r="Z50" s="517"/>
      <c r="AA50" s="517"/>
      <c r="AB50" s="517"/>
      <c r="AC50" s="517"/>
      <c r="AD50" s="517"/>
      <c r="AE50" s="517"/>
      <c r="AF50" s="517"/>
      <c r="AG50" s="517"/>
      <c r="AH50" s="517"/>
      <c r="AI50" s="517"/>
      <c r="AJ50" s="517"/>
      <c r="AK50" s="517"/>
      <c r="AL50" s="517"/>
    </row>
    <row r="51" spans="2:38">
      <c r="B51" s="250" t="str">
        <f>'R5 - Output Incentives'!B39</f>
        <v>Broad measure of customer service</v>
      </c>
      <c r="C51" s="342" t="str">
        <f>'RFPR cover'!$C$14</f>
        <v>£m 12/13</v>
      </c>
      <c r="D51" s="242">
        <f>'R5 - Output Incentives'!D39</f>
        <v>3.0445960300009767</v>
      </c>
      <c r="E51" s="181">
        <f>'R5 - Output Incentives'!E39</f>
        <v>3.0836700000000006</v>
      </c>
      <c r="F51" s="181">
        <f>'R5 - Output Incentives'!F39</f>
        <v>3.1118058341271873</v>
      </c>
      <c r="G51" s="181">
        <f>'R5 - Output Incentives'!G39</f>
        <v>3.1604580000000024</v>
      </c>
      <c r="H51" s="181">
        <f>'R5 - Output Incentives'!H39</f>
        <v>2.5741800000000001</v>
      </c>
      <c r="I51" s="181">
        <f>'R5 - Output Incentives'!I39</f>
        <v>2.5741800000000001</v>
      </c>
      <c r="J51" s="181">
        <f>'R5 - Output Incentives'!J39</f>
        <v>2.4492780000000018</v>
      </c>
      <c r="K51" s="182">
        <f>'R5 - Output Incentives'!K39</f>
        <v>2.5741800000000001</v>
      </c>
      <c r="M51" s="95">
        <f>SUM(D51:INDEX(D51:K51,0,MATCH('RFPR cover'!$C$7,$D$6:$K$6,0)))</f>
        <v>19.99816786412817</v>
      </c>
      <c r="N51" s="95">
        <f t="shared" si="15"/>
        <v>22.572347864128169</v>
      </c>
      <c r="Z51" s="517"/>
      <c r="AA51" s="517"/>
      <c r="AB51" s="517"/>
      <c r="AC51" s="517"/>
      <c r="AD51" s="517"/>
      <c r="AE51" s="517"/>
      <c r="AF51" s="517"/>
      <c r="AG51" s="517"/>
      <c r="AH51" s="517"/>
      <c r="AI51" s="517"/>
      <c r="AJ51" s="517"/>
      <c r="AK51" s="517"/>
      <c r="AL51" s="517"/>
    </row>
    <row r="52" spans="2:38">
      <c r="B52" s="250" t="str">
        <f>'R5 - Output Incentives'!B40</f>
        <v>Interruptions-related quality of service</v>
      </c>
      <c r="C52" s="342" t="str">
        <f>'RFPR cover'!$C$14</f>
        <v>£m 12/13</v>
      </c>
      <c r="D52" s="242">
        <f>'R5 - Output Incentives'!D40</f>
        <v>3.9005771758875172</v>
      </c>
      <c r="E52" s="181">
        <f>'R5 - Output Incentives'!E40</f>
        <v>2.7340455262184005</v>
      </c>
      <c r="F52" s="181">
        <f>'R5 - Output Incentives'!F40</f>
        <v>-0.29181165973570838</v>
      </c>
      <c r="G52" s="181">
        <f>'R5 - Output Incentives'!G40</f>
        <v>2.6711999999999989</v>
      </c>
      <c r="H52" s="181">
        <f>'R5 - Output Incentives'!H40</f>
        <v>4.4279657949661733</v>
      </c>
      <c r="I52" s="181">
        <f>'R5 - Output Incentives'!I40</f>
        <v>0.74962634906045855</v>
      </c>
      <c r="J52" s="181">
        <f>'R5 - Output Incentives'!J40</f>
        <v>3.6804599999999978</v>
      </c>
      <c r="K52" s="182">
        <f>'R5 - Output Incentives'!K40</f>
        <v>1.7313831250072915</v>
      </c>
      <c r="M52" s="95">
        <f>SUM(D52:INDEX(D52:K52,0,MATCH('RFPR cover'!$C$7,$D$6:$K$6,0)))</f>
        <v>17.872063186396836</v>
      </c>
      <c r="N52" s="95">
        <f t="shared" si="15"/>
        <v>19.603446311404127</v>
      </c>
      <c r="Z52" s="517"/>
      <c r="AA52" s="517"/>
      <c r="AB52" s="517"/>
      <c r="AC52" s="517"/>
      <c r="AD52" s="517"/>
      <c r="AE52" s="517"/>
      <c r="AF52" s="517"/>
      <c r="AG52" s="517"/>
      <c r="AH52" s="517"/>
      <c r="AI52" s="517"/>
      <c r="AJ52" s="517"/>
      <c r="AK52" s="517"/>
      <c r="AL52" s="517"/>
    </row>
    <row r="53" spans="2:38">
      <c r="B53" s="250" t="str">
        <f>'R5 - Output Incentives'!B41</f>
        <v>Incentive on connections engagement</v>
      </c>
      <c r="C53" s="342" t="str">
        <f>'RFPR cover'!$C$14</f>
        <v>£m 12/13</v>
      </c>
      <c r="D53" s="242">
        <f>'R5 - Output Incentives'!D41</f>
        <v>0</v>
      </c>
      <c r="E53" s="181">
        <f>'R5 - Output Incentives'!E41</f>
        <v>0</v>
      </c>
      <c r="F53" s="181">
        <f>'R5 - Output Incentives'!F41</f>
        <v>0</v>
      </c>
      <c r="G53" s="181">
        <f>'R5 - Output Incentives'!G41</f>
        <v>0</v>
      </c>
      <c r="H53" s="181">
        <f>'R5 - Output Incentives'!H41</f>
        <v>0</v>
      </c>
      <c r="I53" s="181">
        <f>'R5 - Output Incentives'!I41</f>
        <v>0</v>
      </c>
      <c r="J53" s="181">
        <f>'R5 - Output Incentives'!J41</f>
        <v>0</v>
      </c>
      <c r="K53" s="182">
        <f>'R5 - Output Incentives'!K41</f>
        <v>0</v>
      </c>
      <c r="M53" s="95">
        <f>SUM(D53:INDEX(D53:K53,0,MATCH('RFPR cover'!$C$7,$D$6:$K$6,0)))</f>
        <v>0</v>
      </c>
      <c r="N53" s="95">
        <f t="shared" si="15"/>
        <v>0</v>
      </c>
      <c r="Z53" s="517"/>
      <c r="AA53" s="517"/>
      <c r="AB53" s="517"/>
      <c r="AC53" s="517"/>
      <c r="AD53" s="517"/>
      <c r="AE53" s="517"/>
      <c r="AF53" s="517"/>
      <c r="AG53" s="517"/>
      <c r="AH53" s="517"/>
      <c r="AI53" s="517"/>
      <c r="AJ53" s="517"/>
      <c r="AK53" s="517"/>
      <c r="AL53" s="517"/>
    </row>
    <row r="54" spans="2:38">
      <c r="B54" s="250" t="str">
        <f>'R5 - Output Incentives'!B42</f>
        <v>Time to Connect Incentive</v>
      </c>
      <c r="C54" s="342" t="str">
        <f>'RFPR cover'!$C$14</f>
        <v>£m 12/13</v>
      </c>
      <c r="D54" s="242">
        <f>'R5 - Output Incentives'!D42</f>
        <v>0.91975500000000021</v>
      </c>
      <c r="E54" s="181">
        <f>'R5 - Output Incentives'!E42</f>
        <v>0.77178681257629389</v>
      </c>
      <c r="F54" s="181">
        <f>'R5 - Output Incentives'!F42</f>
        <v>0.97199999999999998</v>
      </c>
      <c r="G54" s="181">
        <f>'R5 - Output Incentives'!G42</f>
        <v>0.97199999999999998</v>
      </c>
      <c r="H54" s="181">
        <f>'R5 - Output Incentives'!H42</f>
        <v>0.97199999999999998</v>
      </c>
      <c r="I54" s="181">
        <f>'R5 - Output Incentives'!I42</f>
        <v>0.57664388381080678</v>
      </c>
      <c r="J54" s="181">
        <f>'R5 - Output Incentives'!J42</f>
        <v>0.5157302117384952</v>
      </c>
      <c r="K54" s="182">
        <f>'R5 - Output Incentives'!K42</f>
        <v>0.79041009965206188</v>
      </c>
      <c r="M54" s="95">
        <f>SUM(D54:INDEX(D54:K54,0,MATCH('RFPR cover'!$C$7,$D$6:$K$6,0)))</f>
        <v>5.699915908125595</v>
      </c>
      <c r="N54" s="95">
        <f t="shared" si="15"/>
        <v>6.4903260077776572</v>
      </c>
      <c r="Z54" s="517"/>
      <c r="AA54" s="517"/>
      <c r="AB54" s="517"/>
      <c r="AC54" s="517"/>
      <c r="AD54" s="517"/>
      <c r="AE54" s="517"/>
      <c r="AF54" s="517"/>
      <c r="AG54" s="517"/>
      <c r="AH54" s="517"/>
      <c r="AI54" s="517"/>
      <c r="AJ54" s="517"/>
      <c r="AK54" s="517"/>
      <c r="AL54" s="517"/>
    </row>
    <row r="55" spans="2:38">
      <c r="B55" s="250" t="str">
        <f>'R5 - Output Incentives'!B43</f>
        <v>Losses discretionary reward scheme</v>
      </c>
      <c r="C55" s="342" t="str">
        <f>'RFPR cover'!$C$14</f>
        <v>£m 12/13</v>
      </c>
      <c r="D55" s="242">
        <f>'R5 - Output Incentives'!D43</f>
        <v>0</v>
      </c>
      <c r="E55" s="181">
        <f>'R5 - Output Incentives'!E43</f>
        <v>3.2400000000000005E-2</v>
      </c>
      <c r="F55" s="181">
        <f>'R5 - Output Incentives'!F43</f>
        <v>0</v>
      </c>
      <c r="G55" s="181">
        <f>'R5 - Output Incentives'!G43</f>
        <v>0</v>
      </c>
      <c r="H55" s="181">
        <f>'R5 - Output Incentives'!H43</f>
        <v>0</v>
      </c>
      <c r="I55" s="181">
        <f>'R5 - Output Incentives'!I43</f>
        <v>0</v>
      </c>
      <c r="J55" s="181">
        <f>'R5 - Output Incentives'!J43</f>
        <v>0</v>
      </c>
      <c r="K55" s="182">
        <f>'R5 - Output Incentives'!K43</f>
        <v>0</v>
      </c>
      <c r="M55" s="95">
        <f>SUM(D55:INDEX(D55:K55,0,MATCH('RFPR cover'!$C$7,$D$6:$K$6,0)))</f>
        <v>3.2400000000000005E-2</v>
      </c>
      <c r="N55" s="95">
        <f t="shared" si="15"/>
        <v>3.2400000000000005E-2</v>
      </c>
      <c r="Z55" s="517"/>
      <c r="AA55" s="517"/>
      <c r="AB55" s="517"/>
      <c r="AC55" s="517"/>
      <c r="AD55" s="517"/>
      <c r="AE55" s="517"/>
      <c r="AF55" s="517"/>
      <c r="AG55" s="517"/>
      <c r="AH55" s="517"/>
      <c r="AI55" s="517"/>
      <c r="AJ55" s="517"/>
      <c r="AK55" s="517"/>
      <c r="AL55" s="517"/>
    </row>
    <row r="56" spans="2:38">
      <c r="B56" s="247" t="s">
        <v>499</v>
      </c>
      <c r="C56" s="342" t="str">
        <f>'RFPR cover'!$C$14</f>
        <v>£m 12/13</v>
      </c>
      <c r="D56" s="242">
        <f>-'R6 - Innovation'!D28</f>
        <v>-3.8705536932753359E-2</v>
      </c>
      <c r="E56" s="181">
        <f>-'R6 - Innovation'!E28</f>
        <v>7.1630976437496205E-2</v>
      </c>
      <c r="F56" s="181">
        <f>-'R6 - Innovation'!F28</f>
        <v>0.25251790053399681</v>
      </c>
      <c r="G56" s="181">
        <f>-'R6 - Innovation'!G28</f>
        <v>-8.6942240423849668E-2</v>
      </c>
      <c r="H56" s="181">
        <f>-'R6 - Innovation'!H28</f>
        <v>-0.12628970141101425</v>
      </c>
      <c r="I56" s="181">
        <f>-'R6 - Innovation'!I28</f>
        <v>0.71775444977682745</v>
      </c>
      <c r="J56" s="181">
        <f>-'R6 - Innovation'!J28</f>
        <v>-0.1082706415470597</v>
      </c>
      <c r="K56" s="182">
        <f>-'R6 - Innovation'!K28</f>
        <v>-0.10627585236392109</v>
      </c>
      <c r="M56" s="95">
        <f>SUM(D56:INDEX(D56:K56,0,MATCH('RFPR cover'!$C$7,$D$6:$K$6,0)))</f>
        <v>0.68169520643364356</v>
      </c>
      <c r="N56" s="95">
        <f t="shared" si="15"/>
        <v>0.57541935406972244</v>
      </c>
      <c r="Z56" s="517"/>
      <c r="AA56" s="517"/>
      <c r="AB56" s="517"/>
      <c r="AC56" s="517"/>
      <c r="AD56" s="517"/>
      <c r="AE56" s="517"/>
      <c r="AF56" s="517"/>
      <c r="AG56" s="517"/>
      <c r="AH56" s="517"/>
      <c r="AI56" s="517"/>
      <c r="AJ56" s="517"/>
      <c r="AK56" s="517"/>
      <c r="AL56" s="517"/>
    </row>
    <row r="57" spans="2:38">
      <c r="B57" s="247" t="s">
        <v>35</v>
      </c>
      <c r="C57" s="342" t="str">
        <f>'RFPR cover'!$C$14</f>
        <v>£m 12/13</v>
      </c>
      <c r="D57" s="243">
        <f>-'R13 - Other Activities '!D8</f>
        <v>-2.3238338993111897E-3</v>
      </c>
      <c r="E57" s="243">
        <f>-'R13 - Other Activities '!E8</f>
        <v>-1.6841534838787566E-3</v>
      </c>
      <c r="F57" s="243">
        <f>-'R13 - Other Activities '!F8</f>
        <v>-2.8224028629577859E-3</v>
      </c>
      <c r="G57" s="243">
        <f>-'R13 - Other Activities '!G8</f>
        <v>-1.5949630437545035E-3</v>
      </c>
      <c r="H57" s="243">
        <f>-'R13 - Other Activities '!H8</f>
        <v>-3.1980782457456253E-3</v>
      </c>
      <c r="I57" s="243">
        <f>-'R13 - Other Activities '!I8</f>
        <v>-3.5404085816899923E-3</v>
      </c>
      <c r="J57" s="243">
        <f>-'R13 - Other Activities '!J8</f>
        <v>-3.1137513038030518</v>
      </c>
      <c r="K57" s="243">
        <f>-'R13 - Other Activities '!K8</f>
        <v>-9.9574002709622439E-2</v>
      </c>
      <c r="M57" s="95">
        <f>SUM(D57:INDEX(D57:K57,0,MATCH('RFPR cover'!$C$7,$D$6:$K$6,0)))</f>
        <v>-3.1289151439203895</v>
      </c>
      <c r="N57" s="95">
        <f t="shared" si="15"/>
        <v>-3.2284891466300119</v>
      </c>
      <c r="Z57" s="517"/>
      <c r="AA57" s="517"/>
      <c r="AB57" s="517"/>
      <c r="AC57" s="517"/>
      <c r="AD57" s="517"/>
      <c r="AE57" s="517"/>
      <c r="AF57" s="517"/>
      <c r="AG57" s="517"/>
      <c r="AH57" s="517"/>
      <c r="AI57" s="517"/>
      <c r="AJ57" s="517"/>
      <c r="AK57" s="517"/>
      <c r="AL57" s="517"/>
    </row>
    <row r="58" spans="2:38">
      <c r="B58" s="248" t="s">
        <v>103</v>
      </c>
      <c r="C58" s="342" t="str">
        <f>'RFPR cover'!$C$14</f>
        <v>£m 12/13</v>
      </c>
      <c r="D58" s="244">
        <f t="shared" ref="D58:K58" si="16">SUM(D48:D57)</f>
        <v>42.233190997469642</v>
      </c>
      <c r="E58" s="143">
        <f t="shared" si="16"/>
        <v>31.78314400842817</v>
      </c>
      <c r="F58" s="143">
        <f t="shared" si="16"/>
        <v>24.685804244485066</v>
      </c>
      <c r="G58" s="143">
        <f t="shared" si="16"/>
        <v>59.516335556659058</v>
      </c>
      <c r="H58" s="143">
        <f t="shared" si="16"/>
        <v>50.332183030135859</v>
      </c>
      <c r="I58" s="143">
        <f t="shared" si="16"/>
        <v>53.292528002570783</v>
      </c>
      <c r="J58" s="143">
        <f t="shared" si="16"/>
        <v>59.661647872806093</v>
      </c>
      <c r="K58" s="144">
        <f t="shared" si="16"/>
        <v>30.898431705308187</v>
      </c>
      <c r="M58" s="142">
        <f>SUM(M48:M57)</f>
        <v>321.50483371255461</v>
      </c>
      <c r="N58" s="144">
        <f>SUM(N48:N57)</f>
        <v>352.40326541786277</v>
      </c>
      <c r="Z58" s="517"/>
      <c r="AA58" s="517"/>
      <c r="AB58" s="517"/>
      <c r="AC58" s="517"/>
      <c r="AD58" s="517"/>
      <c r="AE58" s="517"/>
      <c r="AF58" s="517"/>
      <c r="AG58" s="517"/>
      <c r="AH58" s="517"/>
      <c r="AI58" s="517"/>
      <c r="AJ58" s="517"/>
      <c r="AK58" s="517"/>
      <c r="AL58" s="517"/>
    </row>
    <row r="59" spans="2:38">
      <c r="B59" s="247" t="s">
        <v>438</v>
      </c>
      <c r="C59" s="342" t="str">
        <f>'RFPR cover'!$C$14</f>
        <v>£m 12/13</v>
      </c>
      <c r="D59" s="242">
        <f>'R7 - Financing'!D88+'R10 - Tax'!D89</f>
        <v>-4.5916009286938761</v>
      </c>
      <c r="E59" s="242">
        <f>'R7 - Financing'!E88+'R10 - Tax'!E89</f>
        <v>-0.63528411956250141</v>
      </c>
      <c r="F59" s="242">
        <f>'R7 - Financing'!F88+'R10 - Tax'!F89</f>
        <v>7.9448712323015691</v>
      </c>
      <c r="G59" s="242">
        <f>'R7 - Financing'!G88+'R10 - Tax'!G89</f>
        <v>5.2785881766114429</v>
      </c>
      <c r="H59" s="242">
        <f>'R7 - Financing'!H88+'R10 - Tax'!H89</f>
        <v>-0.58451090536384886</v>
      </c>
      <c r="I59" s="242">
        <f>'R7 - Financing'!I88+'R10 - Tax'!I89</f>
        <v>-11.069548728991062</v>
      </c>
      <c r="J59" s="242">
        <f>'R7 - Financing'!J88+'R10 - Tax'!J89</f>
        <v>4.9295145000968965</v>
      </c>
      <c r="K59" s="242">
        <f>'R7 - Financing'!K88+'R10 - Tax'!K89</f>
        <v>17.596042879299919</v>
      </c>
      <c r="M59" s="95">
        <f>SUM(D59:INDEX(D59:K59,0,MATCH('RFPR cover'!$C$7,$D$6:$K$6,0)))</f>
        <v>1.2720292263986197</v>
      </c>
      <c r="N59" s="95">
        <f>SUM(D59:K59)</f>
        <v>18.868072105698538</v>
      </c>
      <c r="Z59" s="517"/>
      <c r="AA59" s="517"/>
      <c r="AB59" s="517"/>
      <c r="AC59" s="517"/>
      <c r="AD59" s="517"/>
      <c r="AE59" s="517"/>
      <c r="AF59" s="517"/>
      <c r="AG59" s="517"/>
      <c r="AH59" s="517"/>
      <c r="AI59" s="517"/>
      <c r="AJ59" s="517"/>
      <c r="AK59" s="517"/>
      <c r="AL59" s="517"/>
    </row>
    <row r="60" spans="2:38">
      <c r="B60" s="247" t="s">
        <v>433</v>
      </c>
      <c r="C60" s="342" t="str">
        <f>'RFPR cover'!$C$14</f>
        <v>£m 12/13</v>
      </c>
      <c r="D60" s="242">
        <f>'R7 - Financing'!D90+'R10 - Tax'!D90</f>
        <v>2.728814106566575</v>
      </c>
      <c r="E60" s="242">
        <f>'R7 - Financing'!E90+'R10 - Tax'!E90</f>
        <v>1.4586170899041881</v>
      </c>
      <c r="F60" s="242">
        <f>'R7 - Financing'!F90+'R10 - Tax'!F90</f>
        <v>0.66775869324666948</v>
      </c>
      <c r="G60" s="242">
        <f>'R7 - Financing'!G90+'R10 - Tax'!G90</f>
        <v>0.71580632476275663</v>
      </c>
      <c r="H60" s="242">
        <f>'R7 - Financing'!H90+'R10 - Tax'!H90</f>
        <v>0.8180315315006168</v>
      </c>
      <c r="I60" s="242">
        <f>'R7 - Financing'!I90+'R10 - Tax'!I90</f>
        <v>1.18820071338315</v>
      </c>
      <c r="J60" s="242">
        <f>'R7 - Financing'!J90+'R10 - Tax'!J90</f>
        <v>0.12358846732508422</v>
      </c>
      <c r="K60" s="242">
        <f>'R7 - Financing'!K90+'R10 - Tax'!K90</f>
        <v>-2.0139004510153251</v>
      </c>
      <c r="M60" s="95">
        <f>SUM(D60:INDEX(D60:K60,0,MATCH('RFPR cover'!$C$7,$D$6:$K$6,0)))</f>
        <v>7.7008169266890407</v>
      </c>
      <c r="N60" s="95">
        <f>SUM(D60:K60)</f>
        <v>5.6869164756737156</v>
      </c>
      <c r="Z60" s="517"/>
      <c r="AA60" s="517"/>
      <c r="AB60" s="517"/>
      <c r="AC60" s="517"/>
      <c r="AD60" s="517"/>
      <c r="AE60" s="517"/>
      <c r="AF60" s="517"/>
      <c r="AG60" s="517"/>
      <c r="AH60" s="517"/>
      <c r="AI60" s="517"/>
      <c r="AJ60" s="517"/>
      <c r="AK60" s="517"/>
      <c r="AL60" s="517"/>
    </row>
    <row r="61" spans="2:38">
      <c r="B61" s="247" t="s">
        <v>439</v>
      </c>
      <c r="C61" s="342" t="str">
        <f>'RFPR cover'!$C$14</f>
        <v>£m 12/13</v>
      </c>
      <c r="D61" s="242">
        <f>'R10 - Tax'!D82-'R10 - Tax'!D89</f>
        <v>0.12551735052982482</v>
      </c>
      <c r="E61" s="242">
        <f>'R10 - Tax'!E82-'R10 - Tax'!E89</f>
        <v>6.0498623888012988</v>
      </c>
      <c r="F61" s="242">
        <f>'R10 - Tax'!F82-'R10 - Tax'!F89</f>
        <v>-3.3187658250936707</v>
      </c>
      <c r="G61" s="242">
        <f>'R10 - Tax'!G82-'R10 - Tax'!G89</f>
        <v>-8.7939865039834419E-2</v>
      </c>
      <c r="H61" s="242">
        <f>'R10 - Tax'!H82-'R10 - Tax'!H89</f>
        <v>-3.6370327171921026</v>
      </c>
      <c r="I61" s="242">
        <f>'R10 - Tax'!I82-'R10 - Tax'!I89</f>
        <v>-4.9330881440854171</v>
      </c>
      <c r="J61" s="242">
        <f>'R10 - Tax'!J82-'R10 - Tax'!J89</f>
        <v>1.6128519884604804</v>
      </c>
      <c r="K61" s="242">
        <f>'R10 - Tax'!K82-'R10 - Tax'!K89</f>
        <v>1.8520655930803671</v>
      </c>
      <c r="M61" s="95">
        <f>SUM(D61:INDEX(D61:K61,0,MATCH('RFPR cover'!$C$7,$D$6:$K$6,0)))</f>
        <v>-4.1885948236194199</v>
      </c>
      <c r="N61" s="95">
        <f>SUM(D61:K61)</f>
        <v>-2.3365292305390528</v>
      </c>
      <c r="Z61" s="517"/>
      <c r="AA61" s="517"/>
      <c r="AB61" s="517"/>
      <c r="AC61" s="517"/>
      <c r="AD61" s="517"/>
      <c r="AE61" s="517"/>
      <c r="AF61" s="517"/>
      <c r="AG61" s="517"/>
      <c r="AH61" s="517"/>
      <c r="AI61" s="517"/>
      <c r="AJ61" s="517"/>
      <c r="AK61" s="517"/>
      <c r="AL61" s="517"/>
    </row>
    <row r="62" spans="2:38">
      <c r="B62" s="247" t="s">
        <v>434</v>
      </c>
      <c r="C62" s="342" t="str">
        <f>'RFPR cover'!$C$14</f>
        <v>£m 12/13</v>
      </c>
      <c r="D62" s="242">
        <f>'R10 - Tax'!D84-'R10 - Tax'!D90</f>
        <v>0</v>
      </c>
      <c r="E62" s="242">
        <f>'R10 - Tax'!E84-'R10 - Tax'!E90</f>
        <v>0</v>
      </c>
      <c r="F62" s="242">
        <f>'R10 - Tax'!F84-'R10 - Tax'!F90</f>
        <v>-1.3322676295501878E-15</v>
      </c>
      <c r="G62" s="242">
        <f>'R10 - Tax'!G84-'R10 - Tax'!G90</f>
        <v>1.1102230246251565E-15</v>
      </c>
      <c r="H62" s="242">
        <f>'R10 - Tax'!H84-'R10 - Tax'!H90</f>
        <v>-1.27675647831893E-15</v>
      </c>
      <c r="I62" s="242">
        <f>'R10 - Tax'!I84-'R10 - Tax'!I90</f>
        <v>0</v>
      </c>
      <c r="J62" s="242">
        <f>'R10 - Tax'!J84-'R10 - Tax'!J90</f>
        <v>0</v>
      </c>
      <c r="K62" s="242">
        <f>'R10 - Tax'!K84-'R10 - Tax'!K90</f>
        <v>0</v>
      </c>
      <c r="M62" s="95">
        <f>SUM(D62:INDEX(D62:K62,0,MATCH('RFPR cover'!$C$7,$D$6:$K$6,0)))</f>
        <v>-1.4988010832439613E-15</v>
      </c>
      <c r="N62" s="95">
        <f>SUM(D62:K62)</f>
        <v>-1.4988010832439613E-15</v>
      </c>
      <c r="Z62" s="517"/>
      <c r="AA62" s="517"/>
      <c r="AB62" s="517"/>
      <c r="AC62" s="517"/>
      <c r="AD62" s="517"/>
      <c r="AE62" s="517"/>
      <c r="AF62" s="517"/>
      <c r="AG62" s="517"/>
      <c r="AH62" s="517"/>
      <c r="AI62" s="517"/>
      <c r="AJ62" s="517"/>
      <c r="AK62" s="517"/>
      <c r="AL62" s="517"/>
    </row>
    <row r="63" spans="2:38">
      <c r="B63" s="248" t="s">
        <v>104</v>
      </c>
      <c r="C63" s="342" t="str">
        <f>'RFPR cover'!$C$14</f>
        <v>£m 12/13</v>
      </c>
      <c r="D63" s="245">
        <f>SUM(D58:D62)</f>
        <v>40.495921525872163</v>
      </c>
      <c r="E63" s="146">
        <f t="shared" ref="E63:K63" si="17">SUM(E58:E62)</f>
        <v>38.656339367571157</v>
      </c>
      <c r="F63" s="146">
        <f t="shared" si="17"/>
        <v>29.979668344939633</v>
      </c>
      <c r="G63" s="146">
        <f t="shared" si="17"/>
        <v>65.422790192993432</v>
      </c>
      <c r="H63" s="146">
        <f t="shared" si="17"/>
        <v>46.928670939080519</v>
      </c>
      <c r="I63" s="146">
        <f t="shared" si="17"/>
        <v>38.478091842877461</v>
      </c>
      <c r="J63" s="146">
        <f t="shared" si="17"/>
        <v>66.327602828688541</v>
      </c>
      <c r="K63" s="147">
        <f t="shared" si="17"/>
        <v>48.33263972667315</v>
      </c>
      <c r="M63" s="145">
        <f>SUM(M58:M62)</f>
        <v>326.2890850420228</v>
      </c>
      <c r="N63" s="147">
        <f>SUM(N58:N62)</f>
        <v>374.62172476869603</v>
      </c>
      <c r="Z63" s="517"/>
      <c r="AA63" s="517"/>
      <c r="AB63" s="517"/>
      <c r="AC63" s="517"/>
      <c r="AD63" s="517"/>
      <c r="AE63" s="517"/>
      <c r="AF63" s="517"/>
      <c r="AG63" s="517"/>
      <c r="AH63" s="517"/>
      <c r="AI63" s="517"/>
      <c r="AJ63" s="517"/>
      <c r="AK63" s="517"/>
      <c r="AL63" s="517"/>
    </row>
    <row r="64" spans="2:38">
      <c r="B64" s="247"/>
      <c r="D64" s="420"/>
      <c r="AB64" s="517"/>
      <c r="AC64" s="517"/>
      <c r="AD64" s="517"/>
      <c r="AE64" s="517"/>
      <c r="AF64" s="517"/>
      <c r="AG64" s="517"/>
      <c r="AH64" s="517"/>
      <c r="AI64" s="517"/>
      <c r="AJ64" s="517"/>
      <c r="AK64" s="517"/>
      <c r="AL64" s="517"/>
    </row>
    <row r="65" spans="2:38">
      <c r="B65" s="247" t="s">
        <v>232</v>
      </c>
      <c r="C65" s="342" t="str">
        <f>'RFPR cover'!$C$14</f>
        <v>£m 12/13</v>
      </c>
      <c r="D65" s="241">
        <f>'R9 - RAV'!D46</f>
        <v>424.32543280701009</v>
      </c>
      <c r="E65" s="179">
        <f>'R9 - RAV'!E46</f>
        <v>445.43268055223638</v>
      </c>
      <c r="F65" s="179">
        <f>'R9 - RAV'!F46</f>
        <v>464.27683944700254</v>
      </c>
      <c r="G65" s="179">
        <f>'R9 - RAV'!G46</f>
        <v>480.78522245535061</v>
      </c>
      <c r="H65" s="179">
        <f>'R9 - RAV'!H46</f>
        <v>497.84804740500874</v>
      </c>
      <c r="I65" s="179">
        <f>'R9 - RAV'!I46</f>
        <v>514.68816382429884</v>
      </c>
      <c r="J65" s="179">
        <f>'R9 - RAV'!J46</f>
        <v>532.49527870260499</v>
      </c>
      <c r="K65" s="180">
        <f>'R9 - RAV'!K46</f>
        <v>554.85202481102954</v>
      </c>
      <c r="AB65" s="517"/>
      <c r="AC65" s="517"/>
      <c r="AD65" s="517"/>
      <c r="AE65" s="517"/>
      <c r="AF65" s="517"/>
      <c r="AG65" s="517"/>
      <c r="AH65" s="517"/>
      <c r="AI65" s="517"/>
      <c r="AJ65" s="517"/>
      <c r="AK65" s="517"/>
      <c r="AL65" s="517"/>
    </row>
    <row r="66" spans="2:38">
      <c r="B66" s="247" t="s">
        <v>107</v>
      </c>
      <c r="C66" s="342" t="str">
        <f>'RFPR cover'!$C$14</f>
        <v>£m 12/13</v>
      </c>
      <c r="D66" s="246">
        <f>'R8 - Net Debt'!D62</f>
        <v>528.37276443066503</v>
      </c>
      <c r="E66" s="183">
        <f>'R8 - Net Debt'!E62</f>
        <v>519.07059319959933</v>
      </c>
      <c r="F66" s="183">
        <f>'R8 - Net Debt'!F62</f>
        <v>540.43845777197964</v>
      </c>
      <c r="G66" s="183">
        <f>'R8 - Net Debt'!G62</f>
        <v>555.66680048894057</v>
      </c>
      <c r="H66" s="183">
        <f>'R8 - Net Debt'!H62</f>
        <v>558.75792853840744</v>
      </c>
      <c r="I66" s="183">
        <f>'R8 - Net Debt'!I62</f>
        <v>572.90518815914891</v>
      </c>
      <c r="J66" s="183">
        <f>'R8 - Net Debt'!J62</f>
        <v>638.01339610018363</v>
      </c>
      <c r="K66" s="184">
        <f>'R8 - Net Debt'!K62</f>
        <v>699.55736089576374</v>
      </c>
      <c r="AB66" s="517"/>
      <c r="AC66" s="517"/>
      <c r="AD66" s="517"/>
      <c r="AE66" s="517"/>
      <c r="AF66" s="517"/>
      <c r="AG66" s="517"/>
      <c r="AH66" s="517"/>
      <c r="AI66" s="517"/>
      <c r="AJ66" s="517"/>
      <c r="AK66" s="517"/>
      <c r="AL66" s="517"/>
    </row>
    <row r="79" spans="2:38">
      <c r="J79" s="747"/>
    </row>
  </sheetData>
  <conditionalFormatting sqref="D5:K6">
    <cfRule type="expression" dxfId="111"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M71"/>
  <sheetViews>
    <sheetView showGridLines="0" zoomScale="60" zoomScaleNormal="60" workbookViewId="0">
      <pane ySplit="6" topLeftCell="A13" activePane="bottomLeft" state="frozen"/>
      <selection activeCell="D85" sqref="D85:N85"/>
      <selection pane="bottomLeft" activeCell="J20" sqref="J20"/>
    </sheetView>
  </sheetViews>
  <sheetFormatPr defaultRowHeight="12.6"/>
  <cols>
    <col min="1" max="1" width="8.36328125" customWidth="1"/>
    <col min="2" max="2" width="64.36328125" style="213" customWidth="1"/>
    <col min="3" max="3" width="13.36328125" style="136" customWidth="1"/>
    <col min="4" max="11" width="11.08984375" customWidth="1"/>
    <col min="12" max="12" width="5" style="42" customWidth="1"/>
  </cols>
  <sheetData>
    <row r="1" spans="1:12" s="31" customFormat="1" ht="21">
      <c r="A1" s="919" t="s">
        <v>119</v>
      </c>
      <c r="B1" s="920"/>
      <c r="C1" s="275"/>
      <c r="D1" s="274"/>
      <c r="E1" s="274"/>
      <c r="F1" s="274"/>
      <c r="G1" s="274"/>
      <c r="H1" s="274"/>
      <c r="I1" s="274"/>
      <c r="J1" s="274"/>
      <c r="K1" s="274"/>
      <c r="L1" s="276"/>
    </row>
    <row r="2" spans="1:12" s="31" customFormat="1" ht="21">
      <c r="A2" s="908" t="str">
        <f>'RFPR cover'!C5</f>
        <v>WPD-SWEST</v>
      </c>
      <c r="B2" s="921"/>
      <c r="C2" s="134"/>
      <c r="D2" s="29"/>
      <c r="E2" s="29"/>
      <c r="F2" s="29"/>
      <c r="G2" s="29"/>
      <c r="H2" s="29"/>
      <c r="I2" s="27"/>
      <c r="J2" s="27"/>
      <c r="K2" s="27"/>
      <c r="L2" s="123"/>
    </row>
    <row r="3" spans="1:12" s="31" customFormat="1" ht="21">
      <c r="A3" s="911">
        <f>'RFPR cover'!C7</f>
        <v>2022</v>
      </c>
      <c r="B3" s="922"/>
      <c r="C3" s="277"/>
      <c r="D3" s="260"/>
      <c r="E3" s="260"/>
      <c r="F3" s="260"/>
      <c r="G3" s="260"/>
      <c r="H3" s="260"/>
      <c r="I3" s="255"/>
      <c r="J3" s="255"/>
      <c r="K3" s="255"/>
      <c r="L3" s="261"/>
    </row>
    <row r="4" spans="1:12" s="35" customFormat="1" ht="12.75" customHeight="1">
      <c r="B4" s="225"/>
      <c r="C4" s="138"/>
      <c r="L4" s="58"/>
    </row>
    <row r="5" spans="1:12" s="2" customFormat="1">
      <c r="B5" s="129"/>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c r="L5" s="54"/>
    </row>
    <row r="6" spans="1:12" s="2" customFormat="1">
      <c r="B6" s="129"/>
      <c r="C6" s="136"/>
      <c r="D6" s="90">
        <f>'RFPR cover'!$C$13</f>
        <v>2016</v>
      </c>
      <c r="E6" s="91">
        <f>D6+1</f>
        <v>2017</v>
      </c>
      <c r="F6" s="91">
        <f t="shared" ref="F6:K6" si="0">E6+1</f>
        <v>2018</v>
      </c>
      <c r="G6" s="91">
        <f t="shared" si="0"/>
        <v>2019</v>
      </c>
      <c r="H6" s="91">
        <f t="shared" si="0"/>
        <v>2020</v>
      </c>
      <c r="I6" s="91">
        <f t="shared" si="0"/>
        <v>2021</v>
      </c>
      <c r="J6" s="91">
        <f t="shared" si="0"/>
        <v>2022</v>
      </c>
      <c r="K6" s="91">
        <f t="shared" si="0"/>
        <v>2023</v>
      </c>
      <c r="L6" s="54"/>
    </row>
    <row r="7" spans="1:12" s="2" customFormat="1">
      <c r="B7" s="761"/>
      <c r="C7" s="152"/>
      <c r="D7" s="50"/>
      <c r="E7" s="50"/>
      <c r="F7" s="50"/>
      <c r="G7" s="50"/>
      <c r="H7" s="50"/>
      <c r="I7" s="50"/>
      <c r="J7" s="50"/>
      <c r="K7" s="50"/>
      <c r="L7" s="58"/>
    </row>
    <row r="8" spans="1:12" s="2" customFormat="1">
      <c r="B8" s="762" t="s">
        <v>155</v>
      </c>
      <c r="C8" s="150"/>
      <c r="D8" s="81"/>
      <c r="E8" s="81"/>
      <c r="F8" s="81"/>
      <c r="G8" s="81"/>
      <c r="H8" s="81"/>
      <c r="I8" s="81"/>
      <c r="J8" s="81"/>
      <c r="K8" s="81"/>
      <c r="L8" s="272"/>
    </row>
    <row r="9" spans="1:12" s="35" customFormat="1">
      <c r="A9" s="2"/>
      <c r="B9" s="763"/>
      <c r="C9" s="138"/>
      <c r="L9" s="58"/>
    </row>
    <row r="10" spans="1:12" s="2" customFormat="1">
      <c r="B10" s="764" t="s">
        <v>386</v>
      </c>
      <c r="C10" s="151" t="str">
        <f>'RFPR cover'!$C$14</f>
        <v>£m 12/13</v>
      </c>
      <c r="D10" s="593">
        <v>286.89999999999998</v>
      </c>
      <c r="E10" s="594">
        <v>291.89999999999998</v>
      </c>
      <c r="F10" s="594">
        <v>296.5</v>
      </c>
      <c r="G10" s="594">
        <v>299.5</v>
      </c>
      <c r="H10" s="594">
        <v>302.5</v>
      </c>
      <c r="I10" s="594">
        <v>305.5</v>
      </c>
      <c r="J10" s="594">
        <v>308.60000000000002</v>
      </c>
      <c r="K10" s="594"/>
      <c r="L10" s="58"/>
    </row>
    <row r="11" spans="1:12" s="2" customFormat="1">
      <c r="B11" s="764" t="s">
        <v>387</v>
      </c>
      <c r="C11" s="151" t="str">
        <f>'RFPR cover'!$C$14</f>
        <v>£m 12/13</v>
      </c>
      <c r="D11" s="595">
        <v>0</v>
      </c>
      <c r="E11" s="596">
        <v>-1.7</v>
      </c>
      <c r="F11" s="596">
        <v>-4</v>
      </c>
      <c r="G11" s="596">
        <v>-7.8</v>
      </c>
      <c r="H11" s="596">
        <v>-6.8</v>
      </c>
      <c r="I11" s="596">
        <v>-15</v>
      </c>
      <c r="J11" s="596">
        <v>-32.4</v>
      </c>
      <c r="K11" s="596"/>
      <c r="L11" s="58"/>
    </row>
    <row r="12" spans="1:12" s="2" customFormat="1">
      <c r="B12" s="764" t="s">
        <v>147</v>
      </c>
      <c r="C12" s="151" t="str">
        <f>'RFPR cover'!$C$14</f>
        <v>£m 12/13</v>
      </c>
      <c r="D12" s="595">
        <v>0</v>
      </c>
      <c r="E12" s="596">
        <v>0</v>
      </c>
      <c r="F12" s="596">
        <v>-6.3265570245591984</v>
      </c>
      <c r="G12" s="596">
        <v>-1.1427829459226504</v>
      </c>
      <c r="H12" s="596">
        <v>0.71134570327322644</v>
      </c>
      <c r="I12" s="596">
        <v>-0.29861869239177119</v>
      </c>
      <c r="J12" s="596">
        <v>-2.6777954401558501</v>
      </c>
      <c r="K12" s="596"/>
      <c r="L12" s="58"/>
    </row>
    <row r="13" spans="1:12" s="2" customFormat="1">
      <c r="B13" s="764" t="s">
        <v>375</v>
      </c>
      <c r="C13" s="152" t="s">
        <v>127</v>
      </c>
      <c r="D13" s="814">
        <v>1.0820000000000001</v>
      </c>
      <c r="E13" s="815">
        <v>1.087</v>
      </c>
      <c r="F13" s="815">
        <v>1.121</v>
      </c>
      <c r="G13" s="815">
        <v>1.159</v>
      </c>
      <c r="H13" s="815">
        <v>1.198</v>
      </c>
      <c r="I13" s="815">
        <v>1.2170000000000001</v>
      </c>
      <c r="J13" s="815">
        <v>1.238</v>
      </c>
      <c r="K13" s="815"/>
      <c r="L13" s="58"/>
    </row>
    <row r="14" spans="1:12" s="2" customFormat="1">
      <c r="B14" s="765" t="s">
        <v>196</v>
      </c>
      <c r="C14" s="266" t="s">
        <v>128</v>
      </c>
      <c r="D14" s="628">
        <f>SUM(D10:D12)*D13</f>
        <v>310.42579999999998</v>
      </c>
      <c r="E14" s="629">
        <f t="shared" ref="E14:K14" si="1">SUM(E10:E12)*E13</f>
        <v>315.44739999999996</v>
      </c>
      <c r="F14" s="629">
        <f t="shared" si="1"/>
        <v>320.80042957546914</v>
      </c>
      <c r="G14" s="629">
        <f t="shared" si="1"/>
        <v>336.75581456567562</v>
      </c>
      <c r="H14" s="629">
        <f t="shared" si="1"/>
        <v>355.10079215252131</v>
      </c>
      <c r="I14" s="629">
        <f t="shared" si="1"/>
        <v>353.17508105135926</v>
      </c>
      <c r="J14" s="629">
        <f t="shared" si="1"/>
        <v>338.62048924508707</v>
      </c>
      <c r="K14" s="630">
        <f t="shared" si="1"/>
        <v>0</v>
      </c>
      <c r="L14" s="58"/>
    </row>
    <row r="15" spans="1:12" s="2" customFormat="1">
      <c r="B15" s="213" t="s">
        <v>131</v>
      </c>
      <c r="C15" s="152" t="s">
        <v>128</v>
      </c>
      <c r="D15" s="597">
        <f>'R5 - Output Incentives'!D102</f>
        <v>7.2959808351149995</v>
      </c>
      <c r="E15" s="598">
        <f>'R5 - Output Incentives'!E102</f>
        <v>7.9779374569769903</v>
      </c>
      <c r="F15" s="599">
        <f>'R5 - Output Incentives'!F102</f>
        <v>11.056645964830542</v>
      </c>
      <c r="G15" s="599">
        <f>'R5 - Output Incentives'!G102</f>
        <v>9.3688219807151381</v>
      </c>
      <c r="H15" s="599">
        <f>'R5 - Output Incentives'!H102</f>
        <v>5.2016442323563572</v>
      </c>
      <c r="I15" s="599">
        <f>'R5 - Output Incentives'!I102</f>
        <v>10.196153978306409</v>
      </c>
      <c r="J15" s="599">
        <f>'R5 - Output Incentives'!J102</f>
        <v>12.395338617461537</v>
      </c>
      <c r="K15" s="600">
        <f>'R5 - Output Incentives'!K102</f>
        <v>5.9697376173068202</v>
      </c>
      <c r="L15" s="58"/>
    </row>
    <row r="16" spans="1:12" s="2" customFormat="1">
      <c r="B16" s="766" t="s">
        <v>388</v>
      </c>
      <c r="C16" s="152" t="s">
        <v>128</v>
      </c>
      <c r="D16" s="595">
        <v>0</v>
      </c>
      <c r="E16" s="596">
        <v>0</v>
      </c>
      <c r="F16" s="596">
        <v>-0.9743727796161239</v>
      </c>
      <c r="G16" s="596">
        <v>-1.5370216543795576</v>
      </c>
      <c r="H16" s="596">
        <v>-0.81092718241662898</v>
      </c>
      <c r="I16" s="596">
        <v>-5.1020341062775971</v>
      </c>
      <c r="J16" s="596">
        <v>-5.7978530871573017</v>
      </c>
      <c r="K16" s="596"/>
      <c r="L16" s="58"/>
    </row>
    <row r="17" spans="2:12" s="2" customFormat="1">
      <c r="B17" s="766" t="s">
        <v>134</v>
      </c>
      <c r="C17" s="152" t="s">
        <v>128</v>
      </c>
      <c r="D17" s="597">
        <f>'R6 - Innovation'!D12</f>
        <v>0.45862408100000007</v>
      </c>
      <c r="E17" s="598">
        <f>'R6 - Innovation'!E12</f>
        <v>1.1017892250000003</v>
      </c>
      <c r="F17" s="599">
        <f>'R6 - Innovation'!F12</f>
        <v>1.4480200000000001</v>
      </c>
      <c r="G17" s="599">
        <f>'R6 - Innovation'!G12</f>
        <v>0.90602999999999989</v>
      </c>
      <c r="H17" s="599">
        <f>'R6 - Innovation'!H12</f>
        <v>1.3501413000000002</v>
      </c>
      <c r="I17" s="599">
        <f>'R6 - Innovation'!I12</f>
        <v>1.0699532999999999</v>
      </c>
      <c r="J17" s="599">
        <f>'R6 - Innovation'!J12</f>
        <v>1.2392091000000001</v>
      </c>
      <c r="K17" s="600">
        <f>'R6 - Innovation'!K12</f>
        <v>1.3173371432964411</v>
      </c>
      <c r="L17" s="58"/>
    </row>
    <row r="18" spans="2:12" s="2" customFormat="1">
      <c r="B18" s="766" t="s">
        <v>133</v>
      </c>
      <c r="C18" s="152" t="s">
        <v>128</v>
      </c>
      <c r="D18" s="597">
        <f>'R6 - Innovation'!D17</f>
        <v>1.0900995600000001</v>
      </c>
      <c r="E18" s="598">
        <f>'R6 - Innovation'!E17</f>
        <v>5.799675E-2</v>
      </c>
      <c r="F18" s="599">
        <f>'R6 - Innovation'!F17</f>
        <v>0.16837228000000001</v>
      </c>
      <c r="G18" s="599">
        <f>'R6 - Innovation'!G17</f>
        <v>0.45837662000000001</v>
      </c>
      <c r="H18" s="599">
        <f>'R6 - Innovation'!H17</f>
        <v>6.3094600000000001E-2</v>
      </c>
      <c r="I18" s="599">
        <f>'R6 - Innovation'!I17</f>
        <v>-0.17071215000000001</v>
      </c>
      <c r="J18" s="599">
        <f>'R6 - Innovation'!J17</f>
        <v>3.7759010000000003E-2</v>
      </c>
      <c r="K18" s="600">
        <f>'R6 - Innovation'!K17</f>
        <v>0</v>
      </c>
      <c r="L18" s="58"/>
    </row>
    <row r="19" spans="2:12" s="2" customFormat="1">
      <c r="B19" s="942" t="s">
        <v>587</v>
      </c>
      <c r="C19" s="152" t="s">
        <v>128</v>
      </c>
      <c r="D19" s="595">
        <v>-9.4046009259502412</v>
      </c>
      <c r="E19" s="596">
        <v>-1.9100856947630691</v>
      </c>
      <c r="F19" s="596">
        <v>0</v>
      </c>
      <c r="G19" s="596">
        <v>0</v>
      </c>
      <c r="H19" s="596">
        <v>0</v>
      </c>
      <c r="I19" s="596">
        <v>0</v>
      </c>
      <c r="J19" s="596">
        <v>0</v>
      </c>
      <c r="K19" s="596"/>
      <c r="L19" s="58"/>
    </row>
    <row r="20" spans="2:12" s="2" customFormat="1">
      <c r="B20" s="541" t="s">
        <v>668</v>
      </c>
      <c r="C20" s="152" t="s">
        <v>128</v>
      </c>
      <c r="D20" s="595">
        <v>0</v>
      </c>
      <c r="E20" s="596">
        <v>0</v>
      </c>
      <c r="F20" s="596">
        <v>0</v>
      </c>
      <c r="G20" s="596">
        <v>0</v>
      </c>
      <c r="H20" s="596">
        <v>0</v>
      </c>
      <c r="I20" s="596">
        <v>0</v>
      </c>
      <c r="J20" s="596">
        <v>-0.44901471748237398</v>
      </c>
      <c r="K20" s="596"/>
      <c r="L20" s="58"/>
    </row>
    <row r="21" spans="2:12" s="2" customFormat="1">
      <c r="B21" s="541" t="s">
        <v>243</v>
      </c>
      <c r="C21" s="152" t="s">
        <v>128</v>
      </c>
      <c r="D21" s="595">
        <v>0</v>
      </c>
      <c r="E21" s="596">
        <v>0</v>
      </c>
      <c r="F21" s="596">
        <v>0</v>
      </c>
      <c r="G21" s="596">
        <v>0</v>
      </c>
      <c r="H21" s="596">
        <v>0</v>
      </c>
      <c r="I21" s="596">
        <v>0</v>
      </c>
      <c r="J21" s="596">
        <v>0</v>
      </c>
      <c r="K21" s="596"/>
      <c r="L21" s="58"/>
    </row>
    <row r="22" spans="2:12" s="2" customFormat="1">
      <c r="B22" s="541" t="s">
        <v>243</v>
      </c>
      <c r="C22" s="152" t="s">
        <v>128</v>
      </c>
      <c r="D22" s="595">
        <v>0</v>
      </c>
      <c r="E22" s="596">
        <v>0</v>
      </c>
      <c r="F22" s="596">
        <v>0</v>
      </c>
      <c r="G22" s="596">
        <v>0</v>
      </c>
      <c r="H22" s="596">
        <v>0</v>
      </c>
      <c r="I22" s="596">
        <v>0</v>
      </c>
      <c r="J22" s="596">
        <v>0</v>
      </c>
      <c r="K22" s="596"/>
      <c r="L22" s="58"/>
    </row>
    <row r="23" spans="2:12" s="2" customFormat="1">
      <c r="B23" s="541" t="s">
        <v>243</v>
      </c>
      <c r="C23" s="152" t="s">
        <v>128</v>
      </c>
      <c r="D23" s="595">
        <v>0</v>
      </c>
      <c r="E23" s="596">
        <v>0</v>
      </c>
      <c r="F23" s="596">
        <v>0</v>
      </c>
      <c r="G23" s="596">
        <v>0</v>
      </c>
      <c r="H23" s="596">
        <v>0</v>
      </c>
      <c r="I23" s="596">
        <v>0</v>
      </c>
      <c r="J23" s="596">
        <v>0</v>
      </c>
      <c r="K23" s="596"/>
      <c r="L23" s="58"/>
    </row>
    <row r="24" spans="2:12" s="2" customFormat="1">
      <c r="B24" s="541" t="s">
        <v>243</v>
      </c>
      <c r="C24" s="152" t="s">
        <v>128</v>
      </c>
      <c r="D24" s="595">
        <v>0</v>
      </c>
      <c r="E24" s="596">
        <v>0</v>
      </c>
      <c r="F24" s="596">
        <v>0</v>
      </c>
      <c r="G24" s="596">
        <v>0</v>
      </c>
      <c r="H24" s="596">
        <v>0</v>
      </c>
      <c r="I24" s="596">
        <v>0</v>
      </c>
      <c r="J24" s="596">
        <v>0</v>
      </c>
      <c r="K24" s="596"/>
      <c r="L24" s="58"/>
    </row>
    <row r="25" spans="2:12" s="2" customFormat="1">
      <c r="B25" s="766" t="s">
        <v>135</v>
      </c>
      <c r="C25" s="152" t="s">
        <v>128</v>
      </c>
      <c r="D25" s="595">
        <v>0</v>
      </c>
      <c r="E25" s="596">
        <v>-21.218210269698869</v>
      </c>
      <c r="F25" s="596">
        <v>-2.9158233460713121</v>
      </c>
      <c r="G25" s="596">
        <v>12.619615032575819</v>
      </c>
      <c r="H25" s="596">
        <v>8.9009119448275928</v>
      </c>
      <c r="I25" s="596">
        <v>13.085258992572566</v>
      </c>
      <c r="J25" s="596">
        <v>-3.7000287804981027</v>
      </c>
      <c r="K25" s="596"/>
      <c r="L25" s="58"/>
    </row>
    <row r="26" spans="2:12" s="2" customFormat="1">
      <c r="B26" s="761" t="s">
        <v>148</v>
      </c>
      <c r="C26" s="152" t="s">
        <v>128</v>
      </c>
      <c r="D26" s="601">
        <f>SUM(D14:D24,-D25)</f>
        <v>309.86590355016472</v>
      </c>
      <c r="E26" s="602">
        <f t="shared" ref="E26:K26" si="2">SUM(E14:E24,-E25)</f>
        <v>343.8932480069127</v>
      </c>
      <c r="F26" s="602">
        <f t="shared" si="2"/>
        <v>335.41491838675483</v>
      </c>
      <c r="G26" s="602">
        <f t="shared" si="2"/>
        <v>333.33240647943541</v>
      </c>
      <c r="H26" s="602">
        <f t="shared" si="2"/>
        <v>352.00383315763344</v>
      </c>
      <c r="I26" s="602">
        <f t="shared" si="2"/>
        <v>346.08318308081556</v>
      </c>
      <c r="J26" s="602">
        <f t="shared" si="2"/>
        <v>349.74595694840701</v>
      </c>
      <c r="K26" s="603">
        <f t="shared" si="2"/>
        <v>7.2870747606032609</v>
      </c>
      <c r="L26" s="58"/>
    </row>
    <row r="27" spans="2:12" s="2" customFormat="1">
      <c r="B27" s="225"/>
      <c r="C27" s="138"/>
      <c r="D27" s="55"/>
      <c r="E27" s="55"/>
      <c r="F27" s="55"/>
      <c r="G27" s="61"/>
      <c r="H27" s="61"/>
      <c r="I27" s="61"/>
      <c r="J27" s="61"/>
      <c r="K27" s="61"/>
      <c r="L27" s="58"/>
    </row>
    <row r="28" spans="2:12" s="2" customFormat="1">
      <c r="B28" s="225" t="s">
        <v>150</v>
      </c>
      <c r="C28" s="138"/>
      <c r="D28" s="601">
        <f>IF(ISBLANK(D33),0,D33-D26)</f>
        <v>-2.8071223401647671</v>
      </c>
      <c r="E28" s="602">
        <f t="shared" ref="E28:K28" si="3">IF(ISBLANK(E33),0,E33-E26)</f>
        <v>12.166725073087321</v>
      </c>
      <c r="F28" s="602">
        <f t="shared" si="3"/>
        <v>8.553747913245104</v>
      </c>
      <c r="G28" s="602">
        <f t="shared" si="3"/>
        <v>12.524881230564574</v>
      </c>
      <c r="H28" s="602">
        <f t="shared" si="3"/>
        <v>-3.5586720276334063</v>
      </c>
      <c r="I28" s="602">
        <f t="shared" si="3"/>
        <v>-8.8372047308155857</v>
      </c>
      <c r="J28" s="602">
        <f t="shared" si="3"/>
        <v>19.671978561592994</v>
      </c>
      <c r="K28" s="603">
        <f t="shared" si="3"/>
        <v>0</v>
      </c>
      <c r="L28" s="58"/>
    </row>
    <row r="29" spans="2:12" s="2" customFormat="1">
      <c r="B29" s="225"/>
      <c r="C29" s="138"/>
      <c r="D29" s="35"/>
      <c r="E29" s="35"/>
      <c r="F29" s="35"/>
      <c r="G29" s="35"/>
      <c r="H29" s="35"/>
      <c r="I29" s="35"/>
      <c r="J29" s="35"/>
      <c r="K29" s="35"/>
      <c r="L29" s="58"/>
    </row>
    <row r="30" spans="2:12" s="2" customFormat="1">
      <c r="B30" s="225"/>
      <c r="C30" s="138"/>
      <c r="D30" s="35"/>
      <c r="E30" s="35"/>
      <c r="F30" s="35"/>
      <c r="G30" s="35"/>
      <c r="H30" s="35"/>
      <c r="I30" s="35"/>
      <c r="J30" s="35"/>
      <c r="K30" s="35"/>
      <c r="L30" s="58"/>
    </row>
    <row r="31" spans="2:12" s="2" customFormat="1">
      <c r="B31" s="762" t="s">
        <v>193</v>
      </c>
      <c r="C31" s="150"/>
      <c r="D31" s="81"/>
      <c r="E31" s="81"/>
      <c r="F31" s="81"/>
      <c r="G31" s="81"/>
      <c r="H31" s="81"/>
      <c r="I31" s="81"/>
      <c r="J31" s="81"/>
      <c r="K31" s="81"/>
      <c r="L31" s="273"/>
    </row>
    <row r="32" spans="2:12" s="2" customFormat="1">
      <c r="B32" s="225"/>
      <c r="C32" s="138"/>
      <c r="D32" s="35"/>
      <c r="E32" s="35"/>
      <c r="F32" s="35"/>
      <c r="G32" s="35"/>
      <c r="H32" s="35"/>
      <c r="I32" s="35"/>
      <c r="J32" s="35"/>
      <c r="K32" s="35"/>
      <c r="L32" s="58"/>
    </row>
    <row r="33" spans="2:12" s="2" customFormat="1">
      <c r="B33" s="763" t="s">
        <v>149</v>
      </c>
      <c r="C33" s="138"/>
      <c r="D33" s="637">
        <v>307.05878120999995</v>
      </c>
      <c r="E33" s="638">
        <v>356.05997308000002</v>
      </c>
      <c r="F33" s="638">
        <v>343.96866629999994</v>
      </c>
      <c r="G33" s="638">
        <v>345.85728770999998</v>
      </c>
      <c r="H33" s="638">
        <v>348.44516113000003</v>
      </c>
      <c r="I33" s="638">
        <v>337.24597834999997</v>
      </c>
      <c r="J33" s="638">
        <v>369.41793551000001</v>
      </c>
      <c r="K33" s="639"/>
      <c r="L33" s="58"/>
    </row>
    <row r="34" spans="2:12" s="2" customFormat="1">
      <c r="B34" s="129"/>
      <c r="C34" s="136"/>
      <c r="L34" s="58"/>
    </row>
    <row r="35" spans="2:12" s="2" customFormat="1">
      <c r="B35" s="393" t="s">
        <v>136</v>
      </c>
      <c r="C35" s="136"/>
      <c r="L35" s="58"/>
    </row>
    <row r="36" spans="2:12" s="2" customFormat="1">
      <c r="B36" s="893" t="s">
        <v>137</v>
      </c>
      <c r="C36" s="152" t="s">
        <v>128</v>
      </c>
      <c r="D36" s="593">
        <v>0</v>
      </c>
      <c r="E36" s="594">
        <v>0</v>
      </c>
      <c r="F36" s="594">
        <v>0</v>
      </c>
      <c r="G36" s="594">
        <v>0</v>
      </c>
      <c r="H36" s="594">
        <v>0</v>
      </c>
      <c r="I36" s="594">
        <v>0</v>
      </c>
      <c r="J36" s="594">
        <v>0</v>
      </c>
      <c r="K36" s="604"/>
      <c r="L36" s="58"/>
    </row>
    <row r="37" spans="2:12" s="2" customFormat="1">
      <c r="B37" s="893" t="s">
        <v>138</v>
      </c>
      <c r="C37" s="152" t="s">
        <v>128</v>
      </c>
      <c r="D37" s="595">
        <v>2.7888999999999999</v>
      </c>
      <c r="E37" s="596">
        <v>2.5195000000000003</v>
      </c>
      <c r="F37" s="596">
        <v>2.0343</v>
      </c>
      <c r="G37" s="596">
        <v>2.1497999999999999</v>
      </c>
      <c r="H37" s="596">
        <v>2.4695160279999997</v>
      </c>
      <c r="I37" s="596">
        <v>1.7896477180000001</v>
      </c>
      <c r="J37" s="596">
        <v>1.7449999999999999</v>
      </c>
      <c r="K37" s="605"/>
      <c r="L37" s="58"/>
    </row>
    <row r="38" spans="2:12" s="2" customFormat="1">
      <c r="B38" s="893" t="s">
        <v>139</v>
      </c>
      <c r="C38" s="152" t="s">
        <v>128</v>
      </c>
      <c r="D38" s="595">
        <v>10.5586</v>
      </c>
      <c r="E38" s="596">
        <v>38.68560124495</v>
      </c>
      <c r="F38" s="596">
        <v>41.936399999999999</v>
      </c>
      <c r="G38" s="596">
        <v>48.3078</v>
      </c>
      <c r="H38" s="596">
        <v>53.635448077999996</v>
      </c>
      <c r="I38" s="596">
        <v>42.522312849999999</v>
      </c>
      <c r="J38" s="596">
        <v>56.703999999999994</v>
      </c>
      <c r="K38" s="605"/>
      <c r="L38" s="58"/>
    </row>
    <row r="39" spans="2:12" s="2" customFormat="1">
      <c r="B39" s="893" t="s">
        <v>140</v>
      </c>
      <c r="C39" s="152" t="s">
        <v>128</v>
      </c>
      <c r="D39" s="595">
        <v>0</v>
      </c>
      <c r="E39" s="596">
        <v>0</v>
      </c>
      <c r="F39" s="596">
        <v>0</v>
      </c>
      <c r="G39" s="596">
        <v>0</v>
      </c>
      <c r="H39" s="596">
        <v>0</v>
      </c>
      <c r="I39" s="596">
        <v>0</v>
      </c>
      <c r="J39" s="596">
        <v>0</v>
      </c>
      <c r="K39" s="605"/>
      <c r="L39" s="58"/>
    </row>
    <row r="40" spans="2:12" s="2" customFormat="1">
      <c r="B40" s="893" t="s">
        <v>141</v>
      </c>
      <c r="C40" s="152" t="s">
        <v>128</v>
      </c>
      <c r="D40" s="595">
        <v>0</v>
      </c>
      <c r="E40" s="596">
        <v>0</v>
      </c>
      <c r="F40" s="596">
        <v>0</v>
      </c>
      <c r="G40" s="596">
        <v>0</v>
      </c>
      <c r="H40" s="596">
        <v>0</v>
      </c>
      <c r="I40" s="596">
        <v>0</v>
      </c>
      <c r="J40" s="596">
        <v>0</v>
      </c>
      <c r="K40" s="605"/>
      <c r="L40" s="58"/>
    </row>
    <row r="41" spans="2:12" s="2" customFormat="1">
      <c r="B41" s="893" t="s">
        <v>142</v>
      </c>
      <c r="C41" s="152" t="s">
        <v>128</v>
      </c>
      <c r="D41" s="595">
        <v>4.0037000000000003</v>
      </c>
      <c r="E41" s="596">
        <v>3.9135</v>
      </c>
      <c r="F41" s="596">
        <v>3.5831</v>
      </c>
      <c r="G41" s="596">
        <v>2.8521999999999998</v>
      </c>
      <c r="H41" s="596">
        <v>2.2910224299999995</v>
      </c>
      <c r="I41" s="596">
        <v>2.1023219200000001</v>
      </c>
      <c r="J41" s="596">
        <v>2.621</v>
      </c>
      <c r="K41" s="605"/>
      <c r="L41" s="58"/>
    </row>
    <row r="42" spans="2:12" s="2" customFormat="1">
      <c r="B42" s="893" t="s">
        <v>143</v>
      </c>
      <c r="C42" s="152" t="s">
        <v>128</v>
      </c>
      <c r="D42" s="595">
        <v>0</v>
      </c>
      <c r="E42" s="596">
        <v>0</v>
      </c>
      <c r="F42" s="596">
        <v>0</v>
      </c>
      <c r="G42" s="596">
        <v>0</v>
      </c>
      <c r="H42" s="596">
        <v>0</v>
      </c>
      <c r="I42" s="596">
        <v>0</v>
      </c>
      <c r="J42" s="596">
        <v>0</v>
      </c>
      <c r="K42" s="605"/>
      <c r="L42" s="58"/>
    </row>
    <row r="43" spans="2:12" s="2" customFormat="1">
      <c r="B43" s="894" t="s">
        <v>144</v>
      </c>
      <c r="C43" s="152" t="s">
        <v>128</v>
      </c>
      <c r="D43" s="606">
        <v>0</v>
      </c>
      <c r="E43" s="607">
        <v>0</v>
      </c>
      <c r="F43" s="607">
        <v>0</v>
      </c>
      <c r="G43" s="607">
        <v>0</v>
      </c>
      <c r="H43" s="607">
        <v>0</v>
      </c>
      <c r="I43" s="607">
        <v>0</v>
      </c>
      <c r="J43" s="607">
        <v>0</v>
      </c>
      <c r="K43" s="608"/>
      <c r="L43" s="58"/>
    </row>
    <row r="44" spans="2:12" s="2" customFormat="1">
      <c r="B44" s="892" t="s">
        <v>528</v>
      </c>
      <c r="C44" s="152" t="s">
        <v>128</v>
      </c>
      <c r="D44" s="606">
        <v>0</v>
      </c>
      <c r="E44" s="607">
        <v>0</v>
      </c>
      <c r="F44" s="607">
        <v>0</v>
      </c>
      <c r="G44" s="607">
        <v>0</v>
      </c>
      <c r="H44" s="607">
        <v>0</v>
      </c>
      <c r="I44" s="607">
        <v>0</v>
      </c>
      <c r="J44" s="607">
        <v>0</v>
      </c>
      <c r="K44" s="608"/>
      <c r="L44" s="58"/>
    </row>
    <row r="45" spans="2:12" s="2" customFormat="1">
      <c r="B45" s="393" t="s">
        <v>176</v>
      </c>
      <c r="C45" s="152" t="s">
        <v>128</v>
      </c>
      <c r="D45" s="609">
        <f>SUM(D36:D44)</f>
        <v>17.351199999999999</v>
      </c>
      <c r="E45" s="610">
        <f t="shared" ref="E45:K45" si="4">SUM(E36:E44)</f>
        <v>45.11860124495</v>
      </c>
      <c r="F45" s="610">
        <f t="shared" si="4"/>
        <v>47.553800000000003</v>
      </c>
      <c r="G45" s="610">
        <f t="shared" si="4"/>
        <v>53.309799999999996</v>
      </c>
      <c r="H45" s="610">
        <f t="shared" si="4"/>
        <v>58.395986535999995</v>
      </c>
      <c r="I45" s="610">
        <f t="shared" si="4"/>
        <v>46.414282487999998</v>
      </c>
      <c r="J45" s="610">
        <f t="shared" si="4"/>
        <v>61.069999999999993</v>
      </c>
      <c r="K45" s="611">
        <f t="shared" si="4"/>
        <v>0</v>
      </c>
      <c r="L45" s="58"/>
    </row>
    <row r="46" spans="2:12" s="2" customFormat="1">
      <c r="B46" s="129"/>
      <c r="C46" s="136"/>
      <c r="L46" s="58"/>
    </row>
    <row r="47" spans="2:12" s="2" customFormat="1">
      <c r="B47" s="393" t="s">
        <v>145</v>
      </c>
      <c r="C47" s="136"/>
      <c r="L47" s="54"/>
    </row>
    <row r="48" spans="2:12" s="2" customFormat="1">
      <c r="B48" s="541" t="s">
        <v>588</v>
      </c>
      <c r="C48" s="152" t="s">
        <v>128</v>
      </c>
      <c r="D48" s="612">
        <v>1.9776003520000001</v>
      </c>
      <c r="E48" s="613">
        <v>2.6860033630000002</v>
      </c>
      <c r="F48" s="613">
        <v>2.7193234500000001</v>
      </c>
      <c r="G48" s="613">
        <v>5.7949796899999999</v>
      </c>
      <c r="H48" s="613">
        <v>3.2436951199899995</v>
      </c>
      <c r="I48" s="613">
        <v>2.6841138099999995</v>
      </c>
      <c r="J48" s="613">
        <v>2.0538742300899999</v>
      </c>
      <c r="K48" s="614"/>
      <c r="L48" s="58"/>
    </row>
    <row r="49" spans="2:12" s="2" customFormat="1">
      <c r="B49" s="541" t="s">
        <v>589</v>
      </c>
      <c r="C49" s="152" t="s">
        <v>128</v>
      </c>
      <c r="D49" s="615">
        <v>-0.76088299999999998</v>
      </c>
      <c r="E49" s="616">
        <v>-0.63873232000999991</v>
      </c>
      <c r="F49" s="616">
        <v>-0.49299996000000001</v>
      </c>
      <c r="G49" s="616">
        <v>-0.52687464000000006</v>
      </c>
      <c r="H49" s="616">
        <v>-0.55494197999999995</v>
      </c>
      <c r="I49" s="616">
        <v>-0.59204551999999999</v>
      </c>
      <c r="J49" s="616">
        <v>-0.61442536000000003</v>
      </c>
      <c r="K49" s="617"/>
      <c r="L49" s="58"/>
    </row>
    <row r="50" spans="2:12" s="2" customFormat="1">
      <c r="B50" s="541" t="s">
        <v>590</v>
      </c>
      <c r="C50" s="152" t="s">
        <v>128</v>
      </c>
      <c r="D50" s="615">
        <v>-1.3659473899999997</v>
      </c>
      <c r="E50" s="616">
        <v>-1.1649678700000001</v>
      </c>
      <c r="F50" s="616">
        <v>-1.3093721100000002</v>
      </c>
      <c r="G50" s="616">
        <v>-0.92787659999999983</v>
      </c>
      <c r="H50" s="616">
        <v>-1.4350947700000001</v>
      </c>
      <c r="I50" s="616">
        <v>-0.87843581999999987</v>
      </c>
      <c r="J50" s="616">
        <v>-0.33678789999999992</v>
      </c>
      <c r="K50" s="617"/>
      <c r="L50" s="58"/>
    </row>
    <row r="51" spans="2:12" s="2" customFormat="1">
      <c r="B51" s="541" t="s">
        <v>591</v>
      </c>
      <c r="C51" s="152" t="s">
        <v>128</v>
      </c>
      <c r="D51" s="615">
        <v>34.615600000000001</v>
      </c>
      <c r="E51" s="616">
        <v>0</v>
      </c>
      <c r="F51" s="616">
        <v>0</v>
      </c>
      <c r="G51" s="616">
        <v>0</v>
      </c>
      <c r="H51" s="616">
        <v>0</v>
      </c>
      <c r="I51" s="616">
        <v>0</v>
      </c>
      <c r="J51" s="616">
        <v>0</v>
      </c>
      <c r="K51" s="617"/>
      <c r="L51" s="58"/>
    </row>
    <row r="52" spans="2:12" s="2" customFormat="1">
      <c r="B52" s="541" t="s">
        <v>592</v>
      </c>
      <c r="C52" s="152" t="s">
        <v>128</v>
      </c>
      <c r="D52" s="615">
        <v>-36.565800000000003</v>
      </c>
      <c r="E52" s="616">
        <v>-29.979101244949998</v>
      </c>
      <c r="F52" s="616">
        <v>-28.109400000000001</v>
      </c>
      <c r="G52" s="616">
        <v>-31.3200934027278</v>
      </c>
      <c r="H52" s="616">
        <v>-26.571100000000001</v>
      </c>
      <c r="I52" s="616">
        <v>-27.061399999999999</v>
      </c>
      <c r="J52" s="616">
        <v>-31.789000000000001</v>
      </c>
      <c r="K52" s="617"/>
      <c r="L52" s="58"/>
    </row>
    <row r="53" spans="2:12" s="2" customFormat="1">
      <c r="B53" s="541" t="s">
        <v>593</v>
      </c>
      <c r="C53" s="152" t="s">
        <v>128</v>
      </c>
      <c r="D53" s="615">
        <v>1.9501999999999999</v>
      </c>
      <c r="E53" s="616">
        <v>0</v>
      </c>
      <c r="F53" s="616">
        <v>0</v>
      </c>
      <c r="G53" s="616">
        <v>0</v>
      </c>
      <c r="H53" s="616">
        <v>0</v>
      </c>
      <c r="I53" s="616">
        <v>0</v>
      </c>
      <c r="J53" s="616">
        <v>0</v>
      </c>
      <c r="K53" s="617"/>
      <c r="L53" s="58"/>
    </row>
    <row r="54" spans="2:12" s="2" customFormat="1">
      <c r="B54" s="541" t="s">
        <v>154</v>
      </c>
      <c r="C54" s="152" t="s">
        <v>128</v>
      </c>
      <c r="D54" s="615">
        <v>0</v>
      </c>
      <c r="E54" s="616">
        <v>0.12</v>
      </c>
      <c r="F54" s="616">
        <v>0.1</v>
      </c>
      <c r="G54" s="616">
        <v>0</v>
      </c>
      <c r="H54" s="616">
        <v>0.2</v>
      </c>
      <c r="I54" s="616">
        <v>0.1</v>
      </c>
      <c r="J54" s="616">
        <v>0</v>
      </c>
      <c r="K54" s="617"/>
      <c r="L54" s="58"/>
    </row>
    <row r="55" spans="2:12" s="2" customFormat="1">
      <c r="B55" s="942" t="s">
        <v>662</v>
      </c>
      <c r="C55" s="152" t="s">
        <v>128</v>
      </c>
      <c r="D55" s="615">
        <v>0</v>
      </c>
      <c r="E55" s="616">
        <v>0</v>
      </c>
      <c r="F55" s="616">
        <v>0</v>
      </c>
      <c r="G55" s="616">
        <v>0</v>
      </c>
      <c r="H55" s="616">
        <v>0</v>
      </c>
      <c r="I55" s="616">
        <v>0</v>
      </c>
      <c r="J55" s="616">
        <v>10.361000000000001</v>
      </c>
      <c r="K55" s="617"/>
      <c r="L55" s="58"/>
    </row>
    <row r="56" spans="2:12" s="2" customFormat="1">
      <c r="B56" s="541" t="s">
        <v>243</v>
      </c>
      <c r="C56" s="152" t="s">
        <v>128</v>
      </c>
      <c r="D56" s="615">
        <v>0</v>
      </c>
      <c r="E56" s="616">
        <v>0</v>
      </c>
      <c r="F56" s="616">
        <v>0</v>
      </c>
      <c r="G56" s="616">
        <v>0</v>
      </c>
      <c r="H56" s="616">
        <v>0</v>
      </c>
      <c r="I56" s="616">
        <v>0</v>
      </c>
      <c r="J56" s="616">
        <v>0</v>
      </c>
      <c r="K56" s="617"/>
      <c r="L56" s="58"/>
    </row>
    <row r="57" spans="2:12" s="2" customFormat="1">
      <c r="B57" s="541" t="s">
        <v>243</v>
      </c>
      <c r="C57" s="152" t="s">
        <v>128</v>
      </c>
      <c r="D57" s="615">
        <v>0</v>
      </c>
      <c r="E57" s="616">
        <v>0</v>
      </c>
      <c r="F57" s="616">
        <v>0</v>
      </c>
      <c r="G57" s="616">
        <v>0</v>
      </c>
      <c r="H57" s="616">
        <v>0</v>
      </c>
      <c r="I57" s="616">
        <v>0</v>
      </c>
      <c r="J57" s="616">
        <v>0</v>
      </c>
      <c r="K57" s="617"/>
      <c r="L57" s="58"/>
    </row>
    <row r="58" spans="2:12" s="2" customFormat="1">
      <c r="B58" s="541" t="s">
        <v>243</v>
      </c>
      <c r="C58" s="152" t="s">
        <v>128</v>
      </c>
      <c r="D58" s="615">
        <v>0</v>
      </c>
      <c r="E58" s="616">
        <v>0</v>
      </c>
      <c r="F58" s="616">
        <v>0</v>
      </c>
      <c r="G58" s="616">
        <v>0</v>
      </c>
      <c r="H58" s="616">
        <v>0</v>
      </c>
      <c r="I58" s="616">
        <v>0</v>
      </c>
      <c r="J58" s="616">
        <v>0</v>
      </c>
      <c r="K58" s="617"/>
      <c r="L58" s="58"/>
    </row>
    <row r="59" spans="2:12" s="2" customFormat="1">
      <c r="B59" s="541" t="s">
        <v>243</v>
      </c>
      <c r="C59" s="152" t="s">
        <v>128</v>
      </c>
      <c r="D59" s="615">
        <v>0</v>
      </c>
      <c r="E59" s="616">
        <v>0</v>
      </c>
      <c r="F59" s="616">
        <v>0</v>
      </c>
      <c r="G59" s="616">
        <v>0</v>
      </c>
      <c r="H59" s="616">
        <v>0</v>
      </c>
      <c r="I59" s="616">
        <v>0</v>
      </c>
      <c r="J59" s="616">
        <v>0</v>
      </c>
      <c r="K59" s="617"/>
      <c r="L59" s="58"/>
    </row>
    <row r="60" spans="2:12" s="2" customFormat="1">
      <c r="B60" s="541" t="s">
        <v>243</v>
      </c>
      <c r="C60" s="152" t="s">
        <v>128</v>
      </c>
      <c r="D60" s="615">
        <v>0</v>
      </c>
      <c r="E60" s="616">
        <v>0</v>
      </c>
      <c r="F60" s="616">
        <v>0</v>
      </c>
      <c r="G60" s="616">
        <v>0</v>
      </c>
      <c r="H60" s="616">
        <v>0</v>
      </c>
      <c r="I60" s="616">
        <v>0</v>
      </c>
      <c r="J60" s="616">
        <v>0</v>
      </c>
      <c r="K60" s="617"/>
      <c r="L60" s="58"/>
    </row>
    <row r="61" spans="2:12" s="2" customFormat="1">
      <c r="B61" s="541" t="s">
        <v>243</v>
      </c>
      <c r="C61" s="152" t="s">
        <v>128</v>
      </c>
      <c r="D61" s="615">
        <v>0</v>
      </c>
      <c r="E61" s="616">
        <v>0</v>
      </c>
      <c r="F61" s="616">
        <v>0</v>
      </c>
      <c r="G61" s="616">
        <v>0</v>
      </c>
      <c r="H61" s="616">
        <v>0</v>
      </c>
      <c r="I61" s="616">
        <v>0</v>
      </c>
      <c r="J61" s="616">
        <v>0</v>
      </c>
      <c r="K61" s="617"/>
      <c r="L61" s="58"/>
    </row>
    <row r="62" spans="2:12" s="2" customFormat="1">
      <c r="B62" s="541" t="s">
        <v>243</v>
      </c>
      <c r="C62" s="152" t="s">
        <v>128</v>
      </c>
      <c r="D62" s="615">
        <v>0</v>
      </c>
      <c r="E62" s="616">
        <v>0</v>
      </c>
      <c r="F62" s="616">
        <v>0</v>
      </c>
      <c r="G62" s="616">
        <v>0</v>
      </c>
      <c r="H62" s="616">
        <v>0</v>
      </c>
      <c r="I62" s="616">
        <v>0</v>
      </c>
      <c r="J62" s="616">
        <v>0</v>
      </c>
      <c r="K62" s="617"/>
      <c r="L62" s="58"/>
    </row>
    <row r="63" spans="2:12" s="2" customFormat="1">
      <c r="B63" s="767" t="s">
        <v>154</v>
      </c>
      <c r="C63" s="152" t="s">
        <v>128</v>
      </c>
      <c r="D63" s="618">
        <v>0</v>
      </c>
      <c r="E63" s="619">
        <v>0</v>
      </c>
      <c r="F63" s="620">
        <v>0</v>
      </c>
      <c r="G63" s="619">
        <v>0</v>
      </c>
      <c r="H63" s="619">
        <v>0</v>
      </c>
      <c r="I63" s="619">
        <v>0</v>
      </c>
      <c r="J63" s="619">
        <v>0</v>
      </c>
      <c r="K63" s="621"/>
      <c r="L63" s="58"/>
    </row>
    <row r="64" spans="2:12" s="2" customFormat="1">
      <c r="B64" s="763" t="s">
        <v>177</v>
      </c>
      <c r="C64" s="152" t="s">
        <v>128</v>
      </c>
      <c r="D64" s="601">
        <f t="shared" ref="D64:K64" si="5">SUM(D48:D63)</f>
        <v>-0.14923003800000134</v>
      </c>
      <c r="E64" s="602">
        <f t="shared" si="5"/>
        <v>-28.976798071959998</v>
      </c>
      <c r="F64" s="602">
        <f t="shared" si="5"/>
        <v>-27.092448619999999</v>
      </c>
      <c r="G64" s="602">
        <f t="shared" si="5"/>
        <v>-26.979864952727802</v>
      </c>
      <c r="H64" s="602">
        <f t="shared" si="5"/>
        <v>-25.117441630010003</v>
      </c>
      <c r="I64" s="602">
        <f t="shared" si="5"/>
        <v>-25.747767529999997</v>
      </c>
      <c r="J64" s="602">
        <f t="shared" si="5"/>
        <v>-20.325339029910001</v>
      </c>
      <c r="K64" s="603">
        <f t="shared" si="5"/>
        <v>0</v>
      </c>
      <c r="L64" s="58"/>
    </row>
    <row r="65" spans="1:13" s="2" customFormat="1">
      <c r="B65" s="225"/>
      <c r="C65" s="138"/>
      <c r="D65" s="56"/>
      <c r="E65" s="56"/>
      <c r="F65" s="56"/>
      <c r="G65" s="56"/>
      <c r="H65" s="56"/>
      <c r="I65" s="56"/>
      <c r="J65" s="56"/>
      <c r="K65" s="56"/>
      <c r="L65" s="58"/>
    </row>
    <row r="66" spans="1:13" s="2" customFormat="1">
      <c r="B66" s="763" t="s">
        <v>146</v>
      </c>
      <c r="C66" s="152" t="s">
        <v>128</v>
      </c>
      <c r="D66" s="622">
        <f t="shared" ref="D66:K66" si="6">D33+D45+D64</f>
        <v>324.26075117199997</v>
      </c>
      <c r="E66" s="623">
        <f t="shared" si="6"/>
        <v>372.20177625299004</v>
      </c>
      <c r="F66" s="623">
        <f t="shared" si="6"/>
        <v>364.43001767999999</v>
      </c>
      <c r="G66" s="623">
        <f t="shared" si="6"/>
        <v>372.1872227572722</v>
      </c>
      <c r="H66" s="623">
        <f t="shared" si="6"/>
        <v>381.72370603599006</v>
      </c>
      <c r="I66" s="623">
        <f t="shared" si="6"/>
        <v>357.91249330800002</v>
      </c>
      <c r="J66" s="623">
        <f t="shared" si="6"/>
        <v>410.16259648008997</v>
      </c>
      <c r="K66" s="624">
        <f t="shared" si="6"/>
        <v>0</v>
      </c>
      <c r="L66" s="58"/>
      <c r="M66" s="323"/>
    </row>
    <row r="67" spans="1:13" s="2" customFormat="1">
      <c r="B67" s="763" t="s">
        <v>194</v>
      </c>
      <c r="C67" s="152" t="s">
        <v>128</v>
      </c>
      <c r="D67" s="625">
        <v>324.3</v>
      </c>
      <c r="E67" s="626">
        <v>372.2</v>
      </c>
      <c r="F67" s="626">
        <v>364.4</v>
      </c>
      <c r="G67" s="626">
        <v>372.2</v>
      </c>
      <c r="H67" s="626">
        <v>381.7</v>
      </c>
      <c r="I67" s="626">
        <v>357.9</v>
      </c>
      <c r="J67" s="626">
        <v>410.2</v>
      </c>
      <c r="K67" s="627"/>
      <c r="L67" s="58"/>
      <c r="M67" s="323"/>
    </row>
    <row r="68" spans="1:13" s="2" customFormat="1">
      <c r="B68" s="225" t="s">
        <v>122</v>
      </c>
      <c r="C68" s="138"/>
      <c r="D68" s="115" t="str">
        <f>IF(ABS(D66-D67)&lt;'RFPR cover'!$F$14,"OK","Error")</f>
        <v>OK</v>
      </c>
      <c r="E68" s="115" t="str">
        <f>IF(ABS(E66-E67)&lt;'RFPR cover'!$F$14,"OK","Error")</f>
        <v>OK</v>
      </c>
      <c r="F68" s="115" t="str">
        <f>IF(ABS(F66-F67)&lt;'RFPR cover'!$F$14,"OK","Error")</f>
        <v>OK</v>
      </c>
      <c r="G68" s="115" t="str">
        <f>IF(ABS(G66-G67)&lt;'RFPR cover'!$F$14,"OK","Error")</f>
        <v>OK</v>
      </c>
      <c r="H68" s="115" t="str">
        <f>IF(ABS(H66-H67)&lt;'RFPR cover'!$F$14,"OK","Error")</f>
        <v>OK</v>
      </c>
      <c r="I68" s="115" t="str">
        <f>IF(ABS(I66-I67)&lt;'RFPR cover'!$F$14,"OK","Error")</f>
        <v>OK</v>
      </c>
      <c r="J68" s="115" t="str">
        <f>IF(ABS(J66-J67)&lt;'RFPR cover'!$F$14,"OK","Error")</f>
        <v>OK</v>
      </c>
      <c r="K68" s="115" t="str">
        <f>IF(ABS(K66-K67)&lt;'RFPR cover'!$F$14,"OK","Error")</f>
        <v>OK</v>
      </c>
      <c r="L68" s="58"/>
    </row>
    <row r="69" spans="1:13" s="2" customFormat="1">
      <c r="B69" s="129"/>
      <c r="C69" s="138"/>
      <c r="D69" s="48"/>
      <c r="E69" s="48"/>
      <c r="F69" s="48"/>
      <c r="G69" s="48"/>
      <c r="H69" s="48"/>
      <c r="I69" s="48"/>
      <c r="J69" s="48"/>
      <c r="K69" s="48"/>
      <c r="L69" s="58"/>
    </row>
    <row r="70" spans="1:13" s="2" customFormat="1">
      <c r="B70" s="129"/>
      <c r="C70" s="136"/>
      <c r="L70" s="54"/>
    </row>
    <row r="71" spans="1:13" s="2" customFormat="1">
      <c r="A71" s="81"/>
      <c r="B71" s="768"/>
      <c r="C71" s="150"/>
      <c r="D71" s="81"/>
      <c r="E71" s="81"/>
      <c r="F71" s="81"/>
      <c r="G71" s="81"/>
      <c r="H71" s="81"/>
      <c r="I71" s="81"/>
      <c r="J71" s="81"/>
      <c r="K71" s="81"/>
      <c r="L71" s="272"/>
    </row>
  </sheetData>
  <conditionalFormatting sqref="D6:K6">
    <cfRule type="expression" dxfId="110" priority="27">
      <formula>AND(D$5="Actuals",E$5="Forecast")</formula>
    </cfRule>
  </conditionalFormatting>
  <conditionalFormatting sqref="D5:K5">
    <cfRule type="expression" dxfId="109" priority="20">
      <formula>AND(D$5="Actuals",E$5="Forecast")</formula>
    </cfRule>
  </conditionalFormatting>
  <conditionalFormatting sqref="D33:H33 D45:I45 D28:H28 D68:K68 D36:H44 K33 D48:I64 K48:K64 K66:K67 K36:K45 D66:I67">
    <cfRule type="expression" dxfId="108" priority="19">
      <formula>D$5="Forecast"</formula>
    </cfRule>
  </conditionalFormatting>
  <conditionalFormatting sqref="I14:I15 I28 I17:I18 I26 K28 K10:K26">
    <cfRule type="expression" dxfId="107" priority="18">
      <formula>I$5="Forecast"</formula>
    </cfRule>
  </conditionalFormatting>
  <conditionalFormatting sqref="H10:H26">
    <cfRule type="expression" dxfId="106" priority="17">
      <formula>H$5="Forecast"</formula>
    </cfRule>
  </conditionalFormatting>
  <conditionalFormatting sqref="G10:G26">
    <cfRule type="expression" dxfId="105" priority="16">
      <formula>G$5="Forecast"</formula>
    </cfRule>
  </conditionalFormatting>
  <conditionalFormatting sqref="I19:I24">
    <cfRule type="expression" dxfId="104" priority="12">
      <formula>I$5="Forecast"</formula>
    </cfRule>
  </conditionalFormatting>
  <conditionalFormatting sqref="J33">
    <cfRule type="expression" dxfId="103" priority="10">
      <formula>J$5="Forecast"</formula>
    </cfRule>
  </conditionalFormatting>
  <conditionalFormatting sqref="J28 J10:J26">
    <cfRule type="expression" dxfId="102" priority="9">
      <formula>J$5="Forecast"</formula>
    </cfRule>
  </conditionalFormatting>
  <conditionalFormatting sqref="I10:I13">
    <cfRule type="expression" dxfId="101" priority="8">
      <formula>I$5="Forecast"</formula>
    </cfRule>
  </conditionalFormatting>
  <conditionalFormatting sqref="I16">
    <cfRule type="expression" dxfId="100" priority="7">
      <formula>I$5="Forecast"</formula>
    </cfRule>
  </conditionalFormatting>
  <conditionalFormatting sqref="I25">
    <cfRule type="expression" dxfId="99" priority="6">
      <formula>I$5="Forecast"</formula>
    </cfRule>
  </conditionalFormatting>
  <conditionalFormatting sqref="I33">
    <cfRule type="expression" dxfId="98" priority="5">
      <formula>I$5="Forecast"</formula>
    </cfRule>
  </conditionalFormatting>
  <conditionalFormatting sqref="J45 J48:J54 J66:J67 J64">
    <cfRule type="expression" dxfId="97" priority="4">
      <formula>J$5="Forecast"</formula>
    </cfRule>
  </conditionalFormatting>
  <conditionalFormatting sqref="J36:J44">
    <cfRule type="expression" dxfId="96" priority="3">
      <formula>J$5="Forecast"</formula>
    </cfRule>
  </conditionalFormatting>
  <conditionalFormatting sqref="I36:I44">
    <cfRule type="expression" dxfId="95" priority="2">
      <formula>I$5="Forecast"</formula>
    </cfRule>
  </conditionalFormatting>
  <conditionalFormatting sqref="J55:J63">
    <cfRule type="expression" dxfId="94" priority="1">
      <formula>J$5="Forecast"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M86"/>
  <sheetViews>
    <sheetView showGridLines="0" zoomScale="60" zoomScaleNormal="60" workbookViewId="0">
      <pane ySplit="6" topLeftCell="A43" activePane="bottomLeft" state="frozen"/>
      <selection activeCell="D85" sqref="D85:N85"/>
      <selection pane="bottomLeft" activeCell="G65" sqref="G65"/>
    </sheetView>
  </sheetViews>
  <sheetFormatPr defaultRowHeight="12.6"/>
  <cols>
    <col min="1" max="1" width="8.36328125" customWidth="1"/>
    <col min="2" max="2" width="74.453125" customWidth="1"/>
    <col min="3" max="3" width="13.36328125" style="136" customWidth="1"/>
    <col min="4" max="11" width="11.08984375" customWidth="1"/>
    <col min="12" max="12" width="5" customWidth="1"/>
  </cols>
  <sheetData>
    <row r="1" spans="1:12" s="31" customFormat="1" ht="21">
      <c r="A1" s="923" t="s">
        <v>310</v>
      </c>
      <c r="B1" s="924"/>
      <c r="C1" s="148"/>
      <c r="D1" s="121"/>
      <c r="E1" s="121"/>
      <c r="F1" s="121"/>
      <c r="G1" s="121"/>
      <c r="H1" s="121"/>
      <c r="I1" s="121"/>
      <c r="J1" s="121"/>
      <c r="K1" s="121"/>
      <c r="L1" s="122"/>
    </row>
    <row r="2" spans="1:12" s="31" customFormat="1" ht="21">
      <c r="A2" s="908" t="str">
        <f>'RFPR cover'!C5</f>
        <v>WPD-SWEST</v>
      </c>
      <c r="B2" s="900"/>
      <c r="C2" s="134"/>
      <c r="D2" s="29"/>
      <c r="E2" s="29"/>
      <c r="F2" s="29"/>
      <c r="G2" s="29"/>
      <c r="H2" s="29"/>
      <c r="I2" s="27"/>
      <c r="J2" s="27"/>
      <c r="K2" s="27"/>
      <c r="L2" s="123"/>
    </row>
    <row r="3" spans="1:12" s="31" customFormat="1" ht="21">
      <c r="A3" s="925">
        <f>'RFPR cover'!C7</f>
        <v>2022</v>
      </c>
      <c r="B3" s="926"/>
      <c r="C3" s="149"/>
      <c r="D3" s="124"/>
      <c r="E3" s="124"/>
      <c r="F3" s="124"/>
      <c r="G3" s="124"/>
      <c r="H3" s="124"/>
      <c r="I3" s="28"/>
      <c r="J3" s="28"/>
      <c r="K3" s="28"/>
      <c r="L3" s="125"/>
    </row>
    <row r="4" spans="1:12" s="2" customFormat="1" ht="12.75" customHeight="1">
      <c r="C4" s="136"/>
    </row>
    <row r="5" spans="1:12" s="2" customFormat="1">
      <c r="B5" s="3"/>
      <c r="C5" s="136"/>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Actuals</v>
      </c>
      <c r="K5" s="391" t="str">
        <f>IF(K6&lt;='RFPR cover'!$C$7,"Actuals","N/A")</f>
        <v>N/A</v>
      </c>
    </row>
    <row r="6" spans="1:12"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C7" s="136"/>
    </row>
    <row r="8" spans="1:12" s="2" customFormat="1">
      <c r="B8" s="51" t="s">
        <v>316</v>
      </c>
      <c r="C8" s="137"/>
      <c r="D8" s="51"/>
      <c r="E8" s="51"/>
      <c r="F8" s="51"/>
      <c r="G8" s="51"/>
      <c r="H8" s="51"/>
      <c r="I8" s="51"/>
      <c r="J8" s="51"/>
      <c r="K8" s="51"/>
      <c r="L8" s="35"/>
    </row>
    <row r="9" spans="1:12" s="2" customFormat="1">
      <c r="B9" s="129" t="s">
        <v>160</v>
      </c>
      <c r="C9" s="152" t="s">
        <v>128</v>
      </c>
      <c r="D9" s="593">
        <v>218.90509999999986</v>
      </c>
      <c r="E9" s="594">
        <v>250.83599999999998</v>
      </c>
      <c r="F9" s="594">
        <v>238.85800000000003</v>
      </c>
      <c r="G9" s="594">
        <v>211.24299999999999</v>
      </c>
      <c r="H9" s="594">
        <v>229.10000000000002</v>
      </c>
      <c r="I9" s="594">
        <v>233.10000000000002</v>
      </c>
      <c r="J9" s="594">
        <v>238.70000000000002</v>
      </c>
      <c r="K9" s="604"/>
    </row>
    <row r="10" spans="1:12" s="2" customFormat="1">
      <c r="B10" s="129" t="s">
        <v>161</v>
      </c>
      <c r="C10" s="152" t="s">
        <v>128</v>
      </c>
      <c r="D10" s="595">
        <v>3.0999999999999996</v>
      </c>
      <c r="E10" s="596">
        <v>2</v>
      </c>
      <c r="F10" s="596">
        <v>8.1999999999999993</v>
      </c>
      <c r="G10" s="596">
        <v>6.2</v>
      </c>
      <c r="H10" s="596">
        <v>6.4</v>
      </c>
      <c r="I10" s="596">
        <v>2.5</v>
      </c>
      <c r="J10" s="596">
        <v>5.4</v>
      </c>
      <c r="K10" s="605"/>
    </row>
    <row r="11" spans="1:12" s="2" customFormat="1" ht="29.25" customHeight="1">
      <c r="B11" s="130" t="s">
        <v>455</v>
      </c>
      <c r="C11" s="152" t="s">
        <v>128</v>
      </c>
      <c r="D11" s="595">
        <v>-2.3889</v>
      </c>
      <c r="E11" s="596">
        <v>0</v>
      </c>
      <c r="F11" s="596">
        <v>0</v>
      </c>
      <c r="G11" s="596">
        <v>0</v>
      </c>
      <c r="H11" s="596">
        <v>0</v>
      </c>
      <c r="I11" s="596">
        <v>0</v>
      </c>
      <c r="J11" s="596">
        <v>0</v>
      </c>
      <c r="K11" s="605"/>
    </row>
    <row r="12" spans="1:12" s="2" customFormat="1">
      <c r="B12" s="129" t="s">
        <v>162</v>
      </c>
      <c r="C12" s="152" t="s">
        <v>128</v>
      </c>
      <c r="D12" s="595">
        <v>-36.664400000000001</v>
      </c>
      <c r="E12" s="596">
        <v>-38.732050890000004</v>
      </c>
      <c r="F12" s="596">
        <v>-37.055998950000003</v>
      </c>
      <c r="G12" s="596">
        <v>-33.293672500000007</v>
      </c>
      <c r="H12" s="596">
        <v>-30.720282109999999</v>
      </c>
      <c r="I12" s="596">
        <v>-31.141755420000003</v>
      </c>
      <c r="J12" s="596">
        <v>-36.239497959999994</v>
      </c>
      <c r="K12" s="605"/>
    </row>
    <row r="13" spans="1:12" s="2" customFormat="1">
      <c r="B13" s="129" t="s">
        <v>163</v>
      </c>
      <c r="C13" s="152" t="s">
        <v>128</v>
      </c>
      <c r="D13" s="595">
        <v>-0.30099999999999999</v>
      </c>
      <c r="E13" s="596">
        <v>0.46400000000000002</v>
      </c>
      <c r="F13" s="596">
        <v>0.64200000000000002</v>
      </c>
      <c r="G13" s="596">
        <v>2.0569999999999999</v>
      </c>
      <c r="H13" s="596">
        <v>0</v>
      </c>
      <c r="I13" s="596">
        <v>0</v>
      </c>
      <c r="J13" s="596">
        <v>0</v>
      </c>
      <c r="K13" s="605"/>
    </row>
    <row r="14" spans="1:12" s="2" customFormat="1">
      <c r="B14" s="129" t="s">
        <v>164</v>
      </c>
      <c r="C14" s="152" t="s">
        <v>128</v>
      </c>
      <c r="D14" s="631">
        <v>0</v>
      </c>
      <c r="E14" s="632">
        <v>0</v>
      </c>
      <c r="F14" s="632">
        <v>0</v>
      </c>
      <c r="G14" s="632">
        <v>0</v>
      </c>
      <c r="H14" s="632">
        <v>0</v>
      </c>
      <c r="I14" s="632">
        <v>0</v>
      </c>
      <c r="J14" s="632">
        <v>0</v>
      </c>
      <c r="K14" s="633"/>
    </row>
    <row r="15" spans="1:12" s="2" customFormat="1">
      <c r="A15" s="3">
        <v>1</v>
      </c>
      <c r="B15" s="868" t="s">
        <v>660</v>
      </c>
      <c r="C15" s="152" t="s">
        <v>128</v>
      </c>
      <c r="D15" s="593">
        <v>0</v>
      </c>
      <c r="E15" s="594">
        <v>0</v>
      </c>
      <c r="F15" s="594">
        <v>0</v>
      </c>
      <c r="G15" s="594">
        <v>0</v>
      </c>
      <c r="H15" s="594">
        <v>0</v>
      </c>
      <c r="I15" s="594">
        <v>0</v>
      </c>
      <c r="J15" s="594">
        <v>-0.1</v>
      </c>
      <c r="K15" s="604"/>
    </row>
    <row r="16" spans="1:12" s="2" customFormat="1">
      <c r="A16" s="3">
        <v>2</v>
      </c>
      <c r="B16" s="868" t="s">
        <v>243</v>
      </c>
      <c r="C16" s="152" t="s">
        <v>128</v>
      </c>
      <c r="D16" s="595">
        <v>0</v>
      </c>
      <c r="E16" s="596">
        <v>0</v>
      </c>
      <c r="F16" s="596">
        <v>0</v>
      </c>
      <c r="G16" s="596">
        <v>0</v>
      </c>
      <c r="H16" s="596">
        <v>0</v>
      </c>
      <c r="I16" s="596">
        <v>0</v>
      </c>
      <c r="J16" s="596">
        <v>0</v>
      </c>
      <c r="K16" s="605"/>
    </row>
    <row r="17" spans="1:11" s="2" customFormat="1">
      <c r="A17" s="3">
        <v>3</v>
      </c>
      <c r="B17" s="868" t="s">
        <v>243</v>
      </c>
      <c r="C17" s="152" t="s">
        <v>128</v>
      </c>
      <c r="D17" s="595">
        <v>0</v>
      </c>
      <c r="E17" s="596">
        <v>0</v>
      </c>
      <c r="F17" s="596">
        <v>0</v>
      </c>
      <c r="G17" s="596">
        <v>0</v>
      </c>
      <c r="H17" s="596">
        <v>0</v>
      </c>
      <c r="I17" s="596">
        <v>0</v>
      </c>
      <c r="J17" s="596">
        <v>0</v>
      </c>
      <c r="K17" s="605"/>
    </row>
    <row r="18" spans="1:11" s="2" customFormat="1">
      <c r="B18" s="12" t="s">
        <v>165</v>
      </c>
      <c r="C18" s="152" t="s">
        <v>128</v>
      </c>
      <c r="D18" s="634">
        <f>SUM(D9:D17)</f>
        <v>182.65079999999986</v>
      </c>
      <c r="E18" s="635">
        <f t="shared" ref="E18:K18" si="1">SUM(E9:E17)</f>
        <v>214.56794910999997</v>
      </c>
      <c r="F18" s="635">
        <f t="shared" si="1"/>
        <v>210.64400105000001</v>
      </c>
      <c r="G18" s="635">
        <f t="shared" si="1"/>
        <v>186.20632749999996</v>
      </c>
      <c r="H18" s="635">
        <f t="shared" si="1"/>
        <v>204.77971789000003</v>
      </c>
      <c r="I18" s="635">
        <f t="shared" ref="I18" si="2">SUM(I9:I17)</f>
        <v>204.45824458000001</v>
      </c>
      <c r="J18" s="635">
        <f t="shared" si="1"/>
        <v>207.76050204000003</v>
      </c>
      <c r="K18" s="636">
        <f t="shared" si="1"/>
        <v>0</v>
      </c>
    </row>
    <row r="19" spans="1:11" s="2" customFormat="1">
      <c r="B19" s="129" t="s">
        <v>166</v>
      </c>
      <c r="C19" s="152" t="s">
        <v>128</v>
      </c>
      <c r="D19" s="637">
        <v>97.7</v>
      </c>
      <c r="E19" s="638">
        <v>88.6</v>
      </c>
      <c r="F19" s="638">
        <v>99.199999999999974</v>
      </c>
      <c r="G19" s="638">
        <v>111.69999999999999</v>
      </c>
      <c r="H19" s="638">
        <v>120.4</v>
      </c>
      <c r="I19" s="638">
        <v>109.59999999999998</v>
      </c>
      <c r="J19" s="638">
        <v>131.59999999999997</v>
      </c>
      <c r="K19" s="639"/>
    </row>
    <row r="20" spans="1:11" s="2" customFormat="1">
      <c r="A20" s="3">
        <v>1</v>
      </c>
      <c r="B20" s="868" t="s">
        <v>243</v>
      </c>
      <c r="C20" s="152" t="s">
        <v>128</v>
      </c>
      <c r="D20" s="593">
        <v>0</v>
      </c>
      <c r="E20" s="594">
        <v>0</v>
      </c>
      <c r="F20" s="594">
        <v>0</v>
      </c>
      <c r="G20" s="594">
        <v>0</v>
      </c>
      <c r="H20" s="594">
        <v>0</v>
      </c>
      <c r="I20" s="594">
        <v>0</v>
      </c>
      <c r="J20" s="594">
        <v>0</v>
      </c>
      <c r="K20" s="604"/>
    </row>
    <row r="21" spans="1:11" s="2" customFormat="1">
      <c r="A21" s="3">
        <v>2</v>
      </c>
      <c r="B21" s="868" t="s">
        <v>243</v>
      </c>
      <c r="C21" s="152" t="s">
        <v>128</v>
      </c>
      <c r="D21" s="595">
        <v>0</v>
      </c>
      <c r="E21" s="596">
        <v>0</v>
      </c>
      <c r="F21" s="596">
        <v>0</v>
      </c>
      <c r="G21" s="596">
        <v>0</v>
      </c>
      <c r="H21" s="596">
        <v>0</v>
      </c>
      <c r="I21" s="596">
        <v>0</v>
      </c>
      <c r="J21" s="596">
        <v>0</v>
      </c>
      <c r="K21" s="605"/>
    </row>
    <row r="22" spans="1:11" s="2" customFormat="1">
      <c r="A22" s="3">
        <v>3</v>
      </c>
      <c r="B22" s="868" t="s">
        <v>243</v>
      </c>
      <c r="C22" s="152" t="s">
        <v>128</v>
      </c>
      <c r="D22" s="595">
        <v>0</v>
      </c>
      <c r="E22" s="596">
        <v>0</v>
      </c>
      <c r="F22" s="596">
        <v>0</v>
      </c>
      <c r="G22" s="596">
        <v>0</v>
      </c>
      <c r="H22" s="596">
        <v>0</v>
      </c>
      <c r="I22" s="596">
        <v>0</v>
      </c>
      <c r="J22" s="596">
        <v>0</v>
      </c>
      <c r="K22" s="605"/>
    </row>
    <row r="23" spans="1:11" s="2" customFormat="1">
      <c r="B23" s="12" t="s">
        <v>167</v>
      </c>
      <c r="C23" s="152" t="s">
        <v>128</v>
      </c>
      <c r="D23" s="609">
        <f>SUM(D18:D22)</f>
        <v>280.35079999999988</v>
      </c>
      <c r="E23" s="610">
        <f t="shared" ref="E23:K23" si="3">SUM(E18:E22)</f>
        <v>303.16794911</v>
      </c>
      <c r="F23" s="610">
        <f t="shared" si="3"/>
        <v>309.84400104999997</v>
      </c>
      <c r="G23" s="610">
        <f t="shared" si="3"/>
        <v>297.90632749999997</v>
      </c>
      <c r="H23" s="610">
        <f t="shared" si="3"/>
        <v>325.17971789000001</v>
      </c>
      <c r="I23" s="610">
        <f t="shared" ref="I23" si="4">SUM(I18:I22)</f>
        <v>314.05824458000001</v>
      </c>
      <c r="J23" s="610">
        <f t="shared" si="3"/>
        <v>339.36050204000003</v>
      </c>
      <c r="K23" s="611">
        <f t="shared" si="3"/>
        <v>0</v>
      </c>
    </row>
    <row r="24" spans="1:11" s="2" customFormat="1">
      <c r="C24" s="136"/>
      <c r="D24" s="52"/>
      <c r="E24" s="52"/>
      <c r="F24" s="52"/>
      <c r="G24" s="52"/>
      <c r="H24" s="52"/>
      <c r="I24" s="52"/>
      <c r="J24" s="52"/>
      <c r="K24" s="52"/>
    </row>
    <row r="25" spans="1:11" s="2" customFormat="1">
      <c r="B25" s="12" t="s">
        <v>445</v>
      </c>
      <c r="C25" s="152" t="s">
        <v>128</v>
      </c>
      <c r="D25" s="54"/>
    </row>
    <row r="26" spans="1:11" s="2" customFormat="1">
      <c r="A26" s="3">
        <v>1</v>
      </c>
      <c r="B26" s="519" t="s">
        <v>594</v>
      </c>
      <c r="C26" s="152" t="s">
        <v>128</v>
      </c>
      <c r="D26" s="593">
        <v>1.2522</v>
      </c>
      <c r="E26" s="594">
        <v>-0.5</v>
      </c>
      <c r="F26" s="594">
        <v>-0.2</v>
      </c>
      <c r="G26" s="594">
        <v>-1</v>
      </c>
      <c r="H26" s="594">
        <v>0</v>
      </c>
      <c r="I26" s="594">
        <v>-0.1</v>
      </c>
      <c r="J26" s="594">
        <v>0</v>
      </c>
      <c r="K26" s="604"/>
    </row>
    <row r="27" spans="1:11" s="2" customFormat="1">
      <c r="A27" s="3">
        <v>2</v>
      </c>
      <c r="B27" s="519" t="s">
        <v>595</v>
      </c>
      <c r="C27" s="152" t="s">
        <v>128</v>
      </c>
      <c r="D27" s="595">
        <v>-8.8451939999999993</v>
      </c>
      <c r="E27" s="596">
        <v>-10.25974302</v>
      </c>
      <c r="F27" s="596">
        <v>-9.6650935399999991</v>
      </c>
      <c r="G27" s="596">
        <v>-10.479960330000001</v>
      </c>
      <c r="H27" s="596">
        <v>-11.66245</v>
      </c>
      <c r="I27" s="596">
        <v>-12.090034630000002</v>
      </c>
      <c r="J27" s="596">
        <v>-12.51144498</v>
      </c>
      <c r="K27" s="605"/>
    </row>
    <row r="28" spans="1:11" s="2" customFormat="1">
      <c r="A28" s="3">
        <v>3</v>
      </c>
      <c r="B28" s="519" t="s">
        <v>596</v>
      </c>
      <c r="C28" s="152" t="s">
        <v>128</v>
      </c>
      <c r="D28" s="595">
        <v>53.238700000000009</v>
      </c>
      <c r="E28" s="596">
        <v>-1.0814236025000028</v>
      </c>
      <c r="F28" s="596">
        <v>2.07898505</v>
      </c>
      <c r="G28" s="596">
        <v>-2.2346138600000001</v>
      </c>
      <c r="H28" s="596">
        <v>-1.66279931</v>
      </c>
      <c r="I28" s="596">
        <v>-2.4910243999999997</v>
      </c>
      <c r="J28" s="596">
        <v>1.5585080699999998</v>
      </c>
      <c r="K28" s="605"/>
    </row>
    <row r="29" spans="1:11" s="2" customFormat="1">
      <c r="A29" s="3">
        <v>4</v>
      </c>
      <c r="B29" s="519" t="s">
        <v>597</v>
      </c>
      <c r="C29" s="152" t="s">
        <v>128</v>
      </c>
      <c r="D29" s="595">
        <v>-0.25964577</v>
      </c>
      <c r="E29" s="596">
        <v>-0.53405100000000005</v>
      </c>
      <c r="F29" s="596">
        <v>-7.650860000000001E-2</v>
      </c>
      <c r="G29" s="596">
        <v>0.41265855000000001</v>
      </c>
      <c r="H29" s="596">
        <v>-0.8791717</v>
      </c>
      <c r="I29" s="596">
        <v>-5.6707480000000005E-2</v>
      </c>
      <c r="J29" s="596">
        <v>-1.31874874</v>
      </c>
      <c r="K29" s="605"/>
    </row>
    <row r="30" spans="1:11" s="2" customFormat="1">
      <c r="A30" s="3">
        <v>5</v>
      </c>
      <c r="B30" s="519" t="s">
        <v>598</v>
      </c>
      <c r="C30" s="152" t="s">
        <v>128</v>
      </c>
      <c r="D30" s="595">
        <v>0.21889239150000006</v>
      </c>
      <c r="E30" s="596">
        <v>-0.61413521749999977</v>
      </c>
      <c r="F30" s="596">
        <v>-0.99404895750000011</v>
      </c>
      <c r="G30" s="596">
        <v>-1.0639627325000003</v>
      </c>
      <c r="H30" s="596">
        <v>-2.9753521624999992</v>
      </c>
      <c r="I30" s="596">
        <v>-0.27980987000000002</v>
      </c>
      <c r="J30" s="596">
        <v>-2.1380149374999999</v>
      </c>
      <c r="K30" s="605"/>
    </row>
    <row r="31" spans="1:11" s="2" customFormat="1">
      <c r="A31" s="3">
        <v>6</v>
      </c>
      <c r="B31" s="519" t="s">
        <v>599</v>
      </c>
      <c r="C31" s="152" t="s">
        <v>128</v>
      </c>
      <c r="D31" s="595">
        <v>-1.9776003519999996</v>
      </c>
      <c r="E31" s="596">
        <v>-2.6860033630000002</v>
      </c>
      <c r="F31" s="596">
        <v>-2.7193234500000001</v>
      </c>
      <c r="G31" s="596">
        <v>-5.7949796899999999</v>
      </c>
      <c r="H31" s="596">
        <v>-3.2436951199899995</v>
      </c>
      <c r="I31" s="596">
        <v>-2.6841138099999995</v>
      </c>
      <c r="J31" s="596">
        <v>-2.0538742300899999</v>
      </c>
      <c r="K31" s="605"/>
    </row>
    <row r="32" spans="1:11" s="2" customFormat="1">
      <c r="A32" s="3">
        <v>7</v>
      </c>
      <c r="B32" s="519" t="s">
        <v>600</v>
      </c>
      <c r="C32" s="152" t="s">
        <v>128</v>
      </c>
      <c r="D32" s="595">
        <v>0.76088299999999998</v>
      </c>
      <c r="E32" s="596">
        <v>0.63873232000999991</v>
      </c>
      <c r="F32" s="596">
        <v>0.49299996000000001</v>
      </c>
      <c r="G32" s="596">
        <v>0.52687464000000006</v>
      </c>
      <c r="H32" s="596">
        <v>0.55494197999999995</v>
      </c>
      <c r="I32" s="596">
        <v>0.59204551999999999</v>
      </c>
      <c r="J32" s="596">
        <v>0.61442536000000003</v>
      </c>
      <c r="K32" s="605"/>
    </row>
    <row r="33" spans="1:13" s="2" customFormat="1">
      <c r="A33" s="3">
        <v>8</v>
      </c>
      <c r="B33" s="519" t="s">
        <v>601</v>
      </c>
      <c r="C33" s="152" t="s">
        <v>128</v>
      </c>
      <c r="D33" s="595">
        <v>-0.55139538509198327</v>
      </c>
      <c r="E33" s="596">
        <v>-0.66415934379722696</v>
      </c>
      <c r="F33" s="596">
        <v>-0.39302118078635234</v>
      </c>
      <c r="G33" s="596">
        <v>-0.26235836656454009</v>
      </c>
      <c r="H33" s="596">
        <v>-0.3206669850722198</v>
      </c>
      <c r="I33" s="596">
        <v>-0.25006385745482929</v>
      </c>
      <c r="J33" s="596">
        <v>-0.69897378596903348</v>
      </c>
      <c r="K33" s="605"/>
    </row>
    <row r="34" spans="1:13" s="2" customFormat="1">
      <c r="A34" s="3">
        <v>9</v>
      </c>
      <c r="B34" s="519" t="s">
        <v>602</v>
      </c>
      <c r="C34" s="152" t="s">
        <v>128</v>
      </c>
      <c r="D34" s="595">
        <v>-6.7569460931915879</v>
      </c>
      <c r="E34" s="596">
        <v>-3.4819500000000003</v>
      </c>
      <c r="F34" s="596">
        <v>3.0999499999999998</v>
      </c>
      <c r="G34" s="596">
        <v>0.62856900000000016</v>
      </c>
      <c r="H34" s="596">
        <v>3.9455264625000002</v>
      </c>
      <c r="I34" s="596">
        <v>-0.40245975499999975</v>
      </c>
      <c r="J34" s="596">
        <v>-0.95482646999999998</v>
      </c>
      <c r="K34" s="605"/>
    </row>
    <row r="35" spans="1:13" s="2" customFormat="1">
      <c r="A35" s="3">
        <v>10</v>
      </c>
      <c r="B35" s="519" t="s">
        <v>603</v>
      </c>
      <c r="C35" s="152" t="s">
        <v>128</v>
      </c>
      <c r="D35" s="595">
        <v>-12.372441754686406</v>
      </c>
      <c r="E35" s="596">
        <v>42.079265697291881</v>
      </c>
      <c r="F35" s="596">
        <v>0.8254999999999999</v>
      </c>
      <c r="G35" s="596">
        <v>42.839547997515787</v>
      </c>
      <c r="H35" s="596">
        <v>42.278607512163866</v>
      </c>
      <c r="I35" s="596">
        <v>39.900227228578373</v>
      </c>
      <c r="J35" s="596">
        <v>-8.7233785420638377</v>
      </c>
      <c r="K35" s="605"/>
    </row>
    <row r="36" spans="1:13" s="2" customFormat="1">
      <c r="A36" s="3">
        <v>11</v>
      </c>
      <c r="B36" s="519" t="s">
        <v>604</v>
      </c>
      <c r="C36" s="152" t="s">
        <v>128</v>
      </c>
      <c r="D36" s="595">
        <v>0</v>
      </c>
      <c r="E36" s="596">
        <v>60.184163468970219</v>
      </c>
      <c r="F36" s="596">
        <v>-16.203195905948611</v>
      </c>
      <c r="G36" s="596">
        <v>-0.58652125016417855</v>
      </c>
      <c r="H36" s="596">
        <v>0</v>
      </c>
      <c r="I36" s="596">
        <v>0</v>
      </c>
      <c r="J36" s="596">
        <v>9.69</v>
      </c>
      <c r="K36" s="605"/>
    </row>
    <row r="37" spans="1:13" s="2" customFormat="1">
      <c r="A37" s="3">
        <v>12</v>
      </c>
      <c r="B37" s="519" t="s">
        <v>605</v>
      </c>
      <c r="C37" s="152" t="s">
        <v>128</v>
      </c>
      <c r="D37" s="595">
        <v>0</v>
      </c>
      <c r="E37" s="596">
        <v>-0.71853896250000004</v>
      </c>
      <c r="F37" s="596">
        <v>-5.9908820016485187</v>
      </c>
      <c r="G37" s="596">
        <v>-5.4153558960123913</v>
      </c>
      <c r="H37" s="596">
        <v>-6.2756608985123847</v>
      </c>
      <c r="I37" s="596">
        <v>-4.9682848386953484</v>
      </c>
      <c r="J37" s="596">
        <v>0</v>
      </c>
      <c r="K37" s="605"/>
    </row>
    <row r="38" spans="1:13" s="2" customFormat="1">
      <c r="A38" s="3">
        <v>13</v>
      </c>
      <c r="B38" s="519" t="s">
        <v>606</v>
      </c>
      <c r="C38" s="152" t="s">
        <v>128</v>
      </c>
      <c r="D38" s="595">
        <v>0</v>
      </c>
      <c r="E38" s="596">
        <v>0</v>
      </c>
      <c r="F38" s="596">
        <v>-0.86984739427790825</v>
      </c>
      <c r="G38" s="596">
        <v>-0.35026929186895583</v>
      </c>
      <c r="H38" s="596">
        <v>-0.40377070603452514</v>
      </c>
      <c r="I38" s="596">
        <v>-0.36960112486244445</v>
      </c>
      <c r="J38" s="596">
        <v>-1.0032716658028598</v>
      </c>
      <c r="K38" s="605"/>
    </row>
    <row r="39" spans="1:13" s="2" customFormat="1">
      <c r="A39" s="3">
        <v>14</v>
      </c>
      <c r="B39" s="519" t="s">
        <v>607</v>
      </c>
      <c r="C39" s="152" t="s">
        <v>128</v>
      </c>
      <c r="D39" s="595">
        <v>-0.9000999999999999</v>
      </c>
      <c r="E39" s="596">
        <v>0</v>
      </c>
      <c r="F39" s="596">
        <v>0</v>
      </c>
      <c r="G39" s="596">
        <v>0</v>
      </c>
      <c r="H39" s="596">
        <v>0</v>
      </c>
      <c r="I39" s="596">
        <v>0</v>
      </c>
      <c r="J39" s="596">
        <v>0</v>
      </c>
      <c r="K39" s="605"/>
    </row>
    <row r="40" spans="1:13" s="2" customFormat="1">
      <c r="A40" s="3">
        <v>15</v>
      </c>
      <c r="B40" s="519" t="s">
        <v>608</v>
      </c>
      <c r="C40" s="152" t="s">
        <v>128</v>
      </c>
      <c r="D40" s="595">
        <v>0.5</v>
      </c>
      <c r="E40" s="596">
        <v>0.35</v>
      </c>
      <c r="F40" s="596">
        <v>2.2000000000000002</v>
      </c>
      <c r="G40" s="596">
        <v>0.18621948519989928</v>
      </c>
      <c r="H40" s="596">
        <v>-7.0746372824750936E-2</v>
      </c>
      <c r="I40" s="596">
        <v>0.67039460755427172</v>
      </c>
      <c r="J40" s="596">
        <v>1.47</v>
      </c>
      <c r="K40" s="605"/>
    </row>
    <row r="41" spans="1:13" s="2" customFormat="1">
      <c r="A41" s="3">
        <v>16</v>
      </c>
      <c r="B41" s="519" t="s">
        <v>609</v>
      </c>
      <c r="C41" s="152" t="s">
        <v>128</v>
      </c>
      <c r="D41" s="595">
        <v>0</v>
      </c>
      <c r="E41" s="596">
        <v>0</v>
      </c>
      <c r="F41" s="596">
        <v>0</v>
      </c>
      <c r="G41" s="596">
        <v>-1.5</v>
      </c>
      <c r="H41" s="596">
        <v>0</v>
      </c>
      <c r="I41" s="596">
        <v>0</v>
      </c>
      <c r="J41" s="596">
        <v>0</v>
      </c>
      <c r="K41" s="605"/>
    </row>
    <row r="42" spans="1:13" s="2" customFormat="1">
      <c r="A42" s="3">
        <v>17</v>
      </c>
      <c r="B42" s="978" t="s">
        <v>653</v>
      </c>
      <c r="C42" s="152" t="s">
        <v>128</v>
      </c>
      <c r="D42" s="595">
        <v>0</v>
      </c>
      <c r="E42" s="596">
        <v>0</v>
      </c>
      <c r="F42" s="596">
        <v>0</v>
      </c>
      <c r="G42" s="596">
        <v>1.0920000000000001</v>
      </c>
      <c r="H42" s="596">
        <v>0.50074658839999997</v>
      </c>
      <c r="I42" s="596">
        <v>1.7309950700000001</v>
      </c>
      <c r="J42" s="596">
        <v>-3.423525267500001</v>
      </c>
      <c r="K42" s="605"/>
    </row>
    <row r="43" spans="1:13" s="2" customFormat="1">
      <c r="A43" s="3">
        <v>18</v>
      </c>
      <c r="B43" s="519" t="s">
        <v>610</v>
      </c>
      <c r="C43" s="152" t="s">
        <v>128</v>
      </c>
      <c r="D43" s="595">
        <v>0</v>
      </c>
      <c r="E43" s="596">
        <v>0</v>
      </c>
      <c r="F43" s="596">
        <v>0</v>
      </c>
      <c r="G43" s="596">
        <v>0</v>
      </c>
      <c r="H43" s="596">
        <v>3.5</v>
      </c>
      <c r="I43" s="596">
        <v>-1.04</v>
      </c>
      <c r="J43" s="596">
        <v>0</v>
      </c>
      <c r="K43" s="605"/>
    </row>
    <row r="44" spans="1:13" s="2" customFormat="1">
      <c r="A44" s="3">
        <v>19</v>
      </c>
      <c r="B44" s="519" t="s">
        <v>611</v>
      </c>
      <c r="C44" s="152" t="s">
        <v>128</v>
      </c>
      <c r="D44" s="595">
        <v>0</v>
      </c>
      <c r="E44" s="596">
        <v>0</v>
      </c>
      <c r="F44" s="596">
        <v>0</v>
      </c>
      <c r="G44" s="596">
        <v>0</v>
      </c>
      <c r="H44" s="596">
        <v>-1.3396177615273075</v>
      </c>
      <c r="I44" s="596">
        <v>0</v>
      </c>
      <c r="J44" s="596">
        <v>0</v>
      </c>
      <c r="K44" s="605"/>
    </row>
    <row r="45" spans="1:13" s="2" customFormat="1">
      <c r="A45" s="3">
        <v>20</v>
      </c>
      <c r="B45" s="519" t="s">
        <v>661</v>
      </c>
      <c r="C45" s="152" t="s">
        <v>128</v>
      </c>
      <c r="D45" s="595">
        <v>0</v>
      </c>
      <c r="E45" s="596">
        <v>0</v>
      </c>
      <c r="F45" s="596">
        <v>0</v>
      </c>
      <c r="G45" s="596">
        <v>0</v>
      </c>
      <c r="H45" s="596">
        <v>0</v>
      </c>
      <c r="I45" s="596">
        <v>0</v>
      </c>
      <c r="J45" s="596">
        <v>0</v>
      </c>
      <c r="K45" s="605"/>
    </row>
    <row r="46" spans="1:13" s="2" customFormat="1">
      <c r="B46" s="12" t="s">
        <v>398</v>
      </c>
      <c r="C46" s="152" t="s">
        <v>128</v>
      </c>
      <c r="D46" s="609">
        <f>SUM(D26:D45)</f>
        <v>24.30735203653003</v>
      </c>
      <c r="E46" s="610">
        <f t="shared" ref="E46:K46" si="5">SUM(E26:E45)</f>
        <v>82.712156976974853</v>
      </c>
      <c r="F46" s="610">
        <f t="shared" si="5"/>
        <v>-28.414486020161391</v>
      </c>
      <c r="G46" s="610">
        <f t="shared" si="5"/>
        <v>16.997848255605618</v>
      </c>
      <c r="H46" s="610">
        <f t="shared" si="5"/>
        <v>21.945891526602676</v>
      </c>
      <c r="I46" s="610">
        <f t="shared" si="5"/>
        <v>18.161562660120023</v>
      </c>
      <c r="J46" s="610">
        <f t="shared" si="5"/>
        <v>-19.493125188925731</v>
      </c>
      <c r="K46" s="611">
        <f t="shared" si="5"/>
        <v>0</v>
      </c>
      <c r="M46" s="323"/>
    </row>
    <row r="47" spans="1:13" s="2" customFormat="1">
      <c r="C47" s="136"/>
      <c r="D47" s="53"/>
      <c r="E47" s="52"/>
      <c r="F47" s="52"/>
      <c r="G47" s="52"/>
      <c r="H47" s="52"/>
      <c r="I47" s="52"/>
      <c r="J47" s="52"/>
      <c r="K47" s="52"/>
    </row>
    <row r="48" spans="1:13" s="2" customFormat="1">
      <c r="B48" s="12" t="s">
        <v>444</v>
      </c>
      <c r="C48" s="152" t="s">
        <v>128</v>
      </c>
      <c r="D48" s="609">
        <f>D46+D23</f>
        <v>304.65815203652988</v>
      </c>
      <c r="E48" s="610">
        <f t="shared" ref="E48:K48" si="6">E46+E23</f>
        <v>385.88010608697482</v>
      </c>
      <c r="F48" s="610">
        <f t="shared" si="6"/>
        <v>281.42951502983857</v>
      </c>
      <c r="G48" s="610">
        <f t="shared" si="6"/>
        <v>314.90417575560559</v>
      </c>
      <c r="H48" s="610">
        <f t="shared" si="6"/>
        <v>347.12560941660269</v>
      </c>
      <c r="I48" s="610">
        <f t="shared" si="6"/>
        <v>332.21980724012002</v>
      </c>
      <c r="J48" s="610">
        <f t="shared" si="6"/>
        <v>319.86737685107431</v>
      </c>
      <c r="K48" s="611">
        <f t="shared" si="6"/>
        <v>0</v>
      </c>
    </row>
    <row r="49" spans="1:13" s="2" customFormat="1">
      <c r="B49" s="2" t="s">
        <v>399</v>
      </c>
      <c r="C49" s="152" t="s">
        <v>128</v>
      </c>
      <c r="D49" s="593">
        <v>304.70509999999996</v>
      </c>
      <c r="E49" s="594">
        <v>385.89349999999996</v>
      </c>
      <c r="F49" s="594">
        <v>281.4083</v>
      </c>
      <c r="G49" s="594">
        <v>314.91627883680007</v>
      </c>
      <c r="H49" s="594">
        <v>347.12954658839993</v>
      </c>
      <c r="I49" s="594">
        <v>332.22417640999998</v>
      </c>
      <c r="J49" s="594">
        <v>319.86108577249996</v>
      </c>
      <c r="K49" s="604"/>
    </row>
    <row r="50" spans="1:13" s="2" customFormat="1">
      <c r="C50" s="136" t="s">
        <v>402</v>
      </c>
      <c r="D50" s="640" t="str">
        <f>IF(D$5="Actuals",IF(ABS(D48-D49)&lt;1,"OK","ERROR"),"N/A")</f>
        <v>OK</v>
      </c>
      <c r="E50" s="641" t="str">
        <f t="shared" ref="E50:K50" si="7">IF(E$5="Actuals",IF(ABS(E48-E49)&lt;1,"OK","ERROR"),"N/A")</f>
        <v>OK</v>
      </c>
      <c r="F50" s="641" t="str">
        <f t="shared" si="7"/>
        <v>OK</v>
      </c>
      <c r="G50" s="641" t="str">
        <f t="shared" si="7"/>
        <v>OK</v>
      </c>
      <c r="H50" s="641" t="str">
        <f t="shared" si="7"/>
        <v>OK</v>
      </c>
      <c r="I50" s="641" t="str">
        <f t="shared" si="7"/>
        <v>OK</v>
      </c>
      <c r="J50" s="641" t="str">
        <f t="shared" si="7"/>
        <v>OK</v>
      </c>
      <c r="K50" s="642" t="str">
        <f t="shared" si="7"/>
        <v>N/A</v>
      </c>
    </row>
    <row r="51" spans="1:13" s="2" customFormat="1">
      <c r="B51" s="2" t="s">
        <v>84</v>
      </c>
      <c r="C51" s="136"/>
      <c r="D51" s="54"/>
    </row>
    <row r="52" spans="1:13" s="2" customFormat="1">
      <c r="B52" s="12" t="s">
        <v>400</v>
      </c>
      <c r="C52" s="152"/>
      <c r="D52" s="54"/>
    </row>
    <row r="53" spans="1:13" s="2" customFormat="1">
      <c r="A53" s="3">
        <v>1</v>
      </c>
      <c r="B53" s="942" t="s">
        <v>612</v>
      </c>
      <c r="C53" s="152" t="s">
        <v>128</v>
      </c>
      <c r="D53" s="593">
        <v>25.5472</v>
      </c>
      <c r="E53" s="594">
        <v>25.741199999999999</v>
      </c>
      <c r="F53" s="594">
        <v>29.0656</v>
      </c>
      <c r="G53" s="594">
        <v>30.707578836799996</v>
      </c>
      <c r="H53" s="594">
        <v>30.939846588399995</v>
      </c>
      <c r="I53" s="594">
        <v>32.966476409999999</v>
      </c>
      <c r="J53" s="594">
        <v>34.064199999999992</v>
      </c>
      <c r="K53" s="604"/>
      <c r="M53" s="323"/>
    </row>
    <row r="54" spans="1:13" s="2" customFormat="1">
      <c r="A54" s="3">
        <v>2</v>
      </c>
      <c r="B54" s="942" t="s">
        <v>613</v>
      </c>
      <c r="C54" s="152" t="s">
        <v>128</v>
      </c>
      <c r="D54" s="595">
        <v>39.034700000000001</v>
      </c>
      <c r="E54" s="596">
        <v>82.324065828947809</v>
      </c>
      <c r="F54" s="596">
        <v>-1.1018280300000001</v>
      </c>
      <c r="G54" s="596">
        <v>41.313564209999996</v>
      </c>
      <c r="H54" s="596">
        <v>41.273544179999995</v>
      </c>
      <c r="I54" s="596">
        <v>42.456242040000006</v>
      </c>
      <c r="J54" s="596">
        <v>9.9803999999999995</v>
      </c>
      <c r="K54" s="605"/>
      <c r="M54" s="323"/>
    </row>
    <row r="55" spans="1:13" s="2" customFormat="1">
      <c r="A55" s="3">
        <v>3</v>
      </c>
      <c r="B55" s="942" t="s">
        <v>614</v>
      </c>
      <c r="C55" s="152" t="s">
        <v>128</v>
      </c>
      <c r="D55" s="595">
        <v>10.561999999999999</v>
      </c>
      <c r="E55" s="596">
        <v>11.092699656368781</v>
      </c>
      <c r="F55" s="596">
        <v>14.251561383044811</v>
      </c>
      <c r="G55" s="596">
        <v>15.35345938257251</v>
      </c>
      <c r="H55" s="596">
        <v>27.808046530003715</v>
      </c>
      <c r="I55" s="596">
        <v>16.000719581970749</v>
      </c>
      <c r="J55" s="596">
        <v>26.229779981002274</v>
      </c>
      <c r="K55" s="605"/>
      <c r="M55" s="323"/>
    </row>
    <row r="56" spans="1:13" s="2" customFormat="1">
      <c r="A56" s="3">
        <v>4</v>
      </c>
      <c r="B56" s="942" t="s">
        <v>615</v>
      </c>
      <c r="C56" s="152" t="s">
        <v>128</v>
      </c>
      <c r="D56" s="595">
        <v>6.4107000000000003</v>
      </c>
      <c r="E56" s="596">
        <v>5.6744999999999992</v>
      </c>
      <c r="F56" s="596">
        <v>5.5887677399999998</v>
      </c>
      <c r="G56" s="596">
        <v>5.4618687109872024</v>
      </c>
      <c r="H56" s="596">
        <v>4.4428696857685068</v>
      </c>
      <c r="I56" s="596">
        <v>4.6127120081612425</v>
      </c>
      <c r="J56" s="596">
        <v>11.209595568806254</v>
      </c>
      <c r="K56" s="605"/>
      <c r="M56" s="323"/>
    </row>
    <row r="57" spans="1:13" s="2" customFormat="1">
      <c r="A57" s="3">
        <v>5</v>
      </c>
      <c r="B57" s="518" t="s">
        <v>243</v>
      </c>
      <c r="C57" s="152" t="s">
        <v>128</v>
      </c>
      <c r="D57" s="595">
        <v>0</v>
      </c>
      <c r="E57" s="596">
        <v>0</v>
      </c>
      <c r="F57" s="596">
        <v>0</v>
      </c>
      <c r="G57" s="596">
        <v>0</v>
      </c>
      <c r="H57" s="596">
        <v>0</v>
      </c>
      <c r="I57" s="596">
        <v>0</v>
      </c>
      <c r="J57" s="596">
        <v>0</v>
      </c>
      <c r="K57" s="605"/>
    </row>
    <row r="58" spans="1:13" s="2" customFormat="1">
      <c r="A58" s="3">
        <v>6</v>
      </c>
      <c r="B58" s="518" t="s">
        <v>243</v>
      </c>
      <c r="C58" s="152" t="s">
        <v>128</v>
      </c>
      <c r="D58" s="595">
        <v>0</v>
      </c>
      <c r="E58" s="596">
        <v>0</v>
      </c>
      <c r="F58" s="596">
        <v>0</v>
      </c>
      <c r="G58" s="596">
        <v>0</v>
      </c>
      <c r="H58" s="596">
        <v>0</v>
      </c>
      <c r="I58" s="596">
        <v>0</v>
      </c>
      <c r="J58" s="596">
        <v>0</v>
      </c>
      <c r="K58" s="605"/>
    </row>
    <row r="59" spans="1:13" s="2" customFormat="1">
      <c r="A59" s="3">
        <v>7</v>
      </c>
      <c r="B59" s="518" t="s">
        <v>243</v>
      </c>
      <c r="C59" s="152" t="s">
        <v>128</v>
      </c>
      <c r="D59" s="595">
        <v>0</v>
      </c>
      <c r="E59" s="596">
        <v>0</v>
      </c>
      <c r="F59" s="596">
        <v>0</v>
      </c>
      <c r="G59" s="596">
        <v>0</v>
      </c>
      <c r="H59" s="596">
        <v>0</v>
      </c>
      <c r="I59" s="596">
        <v>0</v>
      </c>
      <c r="J59" s="596">
        <v>0</v>
      </c>
      <c r="K59" s="605"/>
    </row>
    <row r="60" spans="1:13" s="2" customFormat="1">
      <c r="A60" s="3">
        <v>8</v>
      </c>
      <c r="B60" s="518" t="s">
        <v>243</v>
      </c>
      <c r="C60" s="152" t="s">
        <v>128</v>
      </c>
      <c r="D60" s="595">
        <v>0</v>
      </c>
      <c r="E60" s="596">
        <v>0</v>
      </c>
      <c r="F60" s="596">
        <v>0</v>
      </c>
      <c r="G60" s="596">
        <v>0</v>
      </c>
      <c r="H60" s="596">
        <v>0</v>
      </c>
      <c r="I60" s="596">
        <v>0</v>
      </c>
      <c r="J60" s="596">
        <v>0</v>
      </c>
      <c r="K60" s="605"/>
    </row>
    <row r="61" spans="1:13" s="2" customFormat="1">
      <c r="A61" s="3">
        <v>9</v>
      </c>
      <c r="B61" s="518" t="s">
        <v>243</v>
      </c>
      <c r="C61" s="152" t="s">
        <v>128</v>
      </c>
      <c r="D61" s="595">
        <v>0</v>
      </c>
      <c r="E61" s="596">
        <v>0</v>
      </c>
      <c r="F61" s="596">
        <v>0</v>
      </c>
      <c r="G61" s="596">
        <v>0</v>
      </c>
      <c r="H61" s="596">
        <v>0</v>
      </c>
      <c r="I61" s="596">
        <v>0</v>
      </c>
      <c r="J61" s="596">
        <v>0</v>
      </c>
      <c r="K61" s="605"/>
    </row>
    <row r="62" spans="1:13" s="2" customFormat="1">
      <c r="A62" s="3">
        <v>10</v>
      </c>
      <c r="B62" s="518" t="s">
        <v>243</v>
      </c>
      <c r="C62" s="152" t="s">
        <v>128</v>
      </c>
      <c r="D62" s="595">
        <v>0</v>
      </c>
      <c r="E62" s="596">
        <v>0</v>
      </c>
      <c r="F62" s="596">
        <v>0</v>
      </c>
      <c r="G62" s="596">
        <v>0</v>
      </c>
      <c r="H62" s="596">
        <v>0</v>
      </c>
      <c r="I62" s="596">
        <v>0</v>
      </c>
      <c r="J62" s="596">
        <v>0</v>
      </c>
      <c r="K62" s="605"/>
    </row>
    <row r="63" spans="1:13" s="2" customFormat="1">
      <c r="A63" s="3">
        <v>11</v>
      </c>
      <c r="B63" s="518" t="s">
        <v>243</v>
      </c>
      <c r="C63" s="152" t="s">
        <v>128</v>
      </c>
      <c r="D63" s="595">
        <v>0</v>
      </c>
      <c r="E63" s="596">
        <v>0</v>
      </c>
      <c r="F63" s="596">
        <v>0</v>
      </c>
      <c r="G63" s="596">
        <v>0</v>
      </c>
      <c r="H63" s="596">
        <v>0</v>
      </c>
      <c r="I63" s="596">
        <v>0</v>
      </c>
      <c r="J63" s="596">
        <v>0</v>
      </c>
      <c r="K63" s="605"/>
    </row>
    <row r="64" spans="1:13" s="2" customFormat="1">
      <c r="A64" s="3">
        <v>12</v>
      </c>
      <c r="B64" s="518" t="s">
        <v>243</v>
      </c>
      <c r="C64" s="152" t="s">
        <v>128</v>
      </c>
      <c r="D64" s="595">
        <v>0</v>
      </c>
      <c r="E64" s="596">
        <v>0</v>
      </c>
      <c r="F64" s="596">
        <v>0</v>
      </c>
      <c r="G64" s="596">
        <v>0</v>
      </c>
      <c r="H64" s="596">
        <v>0</v>
      </c>
      <c r="I64" s="596">
        <v>0</v>
      </c>
      <c r="J64" s="596">
        <v>0</v>
      </c>
      <c r="K64" s="605"/>
    </row>
    <row r="65" spans="1:11" s="2" customFormat="1">
      <c r="A65" s="3">
        <v>13</v>
      </c>
      <c r="B65" s="518" t="s">
        <v>243</v>
      </c>
      <c r="C65" s="152" t="s">
        <v>128</v>
      </c>
      <c r="D65" s="595">
        <v>0</v>
      </c>
      <c r="E65" s="596">
        <v>0</v>
      </c>
      <c r="F65" s="596">
        <v>0</v>
      </c>
      <c r="G65" s="596">
        <v>0</v>
      </c>
      <c r="H65" s="596">
        <v>0</v>
      </c>
      <c r="I65" s="596">
        <v>0</v>
      </c>
      <c r="J65" s="596">
        <v>0</v>
      </c>
      <c r="K65" s="605"/>
    </row>
    <row r="66" spans="1:11" s="2" customFormat="1">
      <c r="A66" s="3">
        <v>14</v>
      </c>
      <c r="B66" s="518" t="s">
        <v>243</v>
      </c>
      <c r="C66" s="152" t="s">
        <v>128</v>
      </c>
      <c r="D66" s="595">
        <v>0</v>
      </c>
      <c r="E66" s="596">
        <v>0</v>
      </c>
      <c r="F66" s="596">
        <v>0</v>
      </c>
      <c r="G66" s="596">
        <v>0</v>
      </c>
      <c r="H66" s="596">
        <v>0</v>
      </c>
      <c r="I66" s="596">
        <v>0</v>
      </c>
      <c r="J66" s="596">
        <v>0</v>
      </c>
      <c r="K66" s="605"/>
    </row>
    <row r="67" spans="1:11" s="2" customFormat="1">
      <c r="A67" s="3">
        <v>15</v>
      </c>
      <c r="B67" s="518" t="s">
        <v>243</v>
      </c>
      <c r="C67" s="152" t="s">
        <v>128</v>
      </c>
      <c r="D67" s="595">
        <v>0</v>
      </c>
      <c r="E67" s="596">
        <v>0</v>
      </c>
      <c r="F67" s="596">
        <v>0</v>
      </c>
      <c r="G67" s="596">
        <v>0</v>
      </c>
      <c r="H67" s="596">
        <v>0</v>
      </c>
      <c r="I67" s="596">
        <v>0</v>
      </c>
      <c r="J67" s="596">
        <v>0</v>
      </c>
      <c r="K67" s="605"/>
    </row>
    <row r="68" spans="1:11" s="2" customFormat="1">
      <c r="A68" s="3">
        <v>16</v>
      </c>
      <c r="B68" s="518" t="s">
        <v>243</v>
      </c>
      <c r="C68" s="152" t="s">
        <v>128</v>
      </c>
      <c r="D68" s="595">
        <v>0</v>
      </c>
      <c r="E68" s="596">
        <v>0</v>
      </c>
      <c r="F68" s="596">
        <v>0</v>
      </c>
      <c r="G68" s="596">
        <v>0</v>
      </c>
      <c r="H68" s="596">
        <v>0</v>
      </c>
      <c r="I68" s="596">
        <v>0</v>
      </c>
      <c r="J68" s="596">
        <v>0</v>
      </c>
      <c r="K68" s="605"/>
    </row>
    <row r="69" spans="1:11" s="2" customFormat="1">
      <c r="A69" s="3">
        <v>17</v>
      </c>
      <c r="B69" s="518" t="s">
        <v>243</v>
      </c>
      <c r="C69" s="152" t="s">
        <v>128</v>
      </c>
      <c r="D69" s="595">
        <v>0</v>
      </c>
      <c r="E69" s="596">
        <v>0</v>
      </c>
      <c r="F69" s="596">
        <v>0</v>
      </c>
      <c r="G69" s="596">
        <v>0</v>
      </c>
      <c r="H69" s="596">
        <v>0</v>
      </c>
      <c r="I69" s="596">
        <v>0</v>
      </c>
      <c r="J69" s="596">
        <v>0</v>
      </c>
      <c r="K69" s="605"/>
    </row>
    <row r="70" spans="1:11" s="2" customFormat="1">
      <c r="A70" s="3">
        <v>18</v>
      </c>
      <c r="B70" s="518" t="s">
        <v>243</v>
      </c>
      <c r="C70" s="152" t="s">
        <v>128</v>
      </c>
      <c r="D70" s="595">
        <v>0</v>
      </c>
      <c r="E70" s="596">
        <v>0</v>
      </c>
      <c r="F70" s="596">
        <v>0</v>
      </c>
      <c r="G70" s="596">
        <v>0</v>
      </c>
      <c r="H70" s="596">
        <v>0</v>
      </c>
      <c r="I70" s="596">
        <v>0</v>
      </c>
      <c r="J70" s="596">
        <v>0</v>
      </c>
      <c r="K70" s="605"/>
    </row>
    <row r="71" spans="1:11" s="2" customFormat="1">
      <c r="A71" s="3">
        <v>19</v>
      </c>
      <c r="B71" s="518" t="s">
        <v>243</v>
      </c>
      <c r="C71" s="152" t="s">
        <v>128</v>
      </c>
      <c r="D71" s="595">
        <v>0</v>
      </c>
      <c r="E71" s="596">
        <v>0</v>
      </c>
      <c r="F71" s="596">
        <v>0</v>
      </c>
      <c r="G71" s="596">
        <v>0</v>
      </c>
      <c r="H71" s="596">
        <v>0</v>
      </c>
      <c r="I71" s="596">
        <v>0</v>
      </c>
      <c r="J71" s="596">
        <v>0</v>
      </c>
      <c r="K71" s="605"/>
    </row>
    <row r="72" spans="1:11" s="2" customFormat="1">
      <c r="A72" s="3">
        <v>20</v>
      </c>
      <c r="B72" s="518" t="s">
        <v>243</v>
      </c>
      <c r="C72" s="152" t="s">
        <v>128</v>
      </c>
      <c r="D72" s="595">
        <v>0</v>
      </c>
      <c r="E72" s="596">
        <v>0</v>
      </c>
      <c r="F72" s="596">
        <v>0</v>
      </c>
      <c r="G72" s="596">
        <v>0</v>
      </c>
      <c r="H72" s="596">
        <v>0</v>
      </c>
      <c r="I72" s="596">
        <v>0</v>
      </c>
      <c r="J72" s="596">
        <v>0</v>
      </c>
      <c r="K72" s="605"/>
    </row>
    <row r="73" spans="1:11" s="2" customFormat="1">
      <c r="A73" s="3">
        <v>21</v>
      </c>
      <c r="B73" s="518" t="s">
        <v>243</v>
      </c>
      <c r="C73" s="152" t="s">
        <v>128</v>
      </c>
      <c r="D73" s="595">
        <v>0</v>
      </c>
      <c r="E73" s="596">
        <v>0</v>
      </c>
      <c r="F73" s="596">
        <v>0</v>
      </c>
      <c r="G73" s="596">
        <v>0</v>
      </c>
      <c r="H73" s="596">
        <v>0</v>
      </c>
      <c r="I73" s="596">
        <v>0</v>
      </c>
      <c r="J73" s="596">
        <v>0</v>
      </c>
      <c r="K73" s="605"/>
    </row>
    <row r="74" spans="1:11" s="2" customFormat="1">
      <c r="A74" s="3">
        <v>22</v>
      </c>
      <c r="B74" s="518" t="s">
        <v>243</v>
      </c>
      <c r="C74" s="152" t="s">
        <v>128</v>
      </c>
      <c r="D74" s="595">
        <v>0</v>
      </c>
      <c r="E74" s="596">
        <v>0</v>
      </c>
      <c r="F74" s="596">
        <v>0</v>
      </c>
      <c r="G74" s="596">
        <v>0</v>
      </c>
      <c r="H74" s="596">
        <v>0</v>
      </c>
      <c r="I74" s="596">
        <v>0</v>
      </c>
      <c r="J74" s="596">
        <v>0</v>
      </c>
      <c r="K74" s="605"/>
    </row>
    <row r="75" spans="1:11" s="2" customFormat="1">
      <c r="A75" s="3">
        <v>23</v>
      </c>
      <c r="B75" s="518" t="s">
        <v>243</v>
      </c>
      <c r="C75" s="152" t="s">
        <v>128</v>
      </c>
      <c r="D75" s="595">
        <v>0</v>
      </c>
      <c r="E75" s="596">
        <v>0</v>
      </c>
      <c r="F75" s="596">
        <v>0</v>
      </c>
      <c r="G75" s="596">
        <v>0</v>
      </c>
      <c r="H75" s="596">
        <v>0</v>
      </c>
      <c r="I75" s="596">
        <v>0</v>
      </c>
      <c r="J75" s="596">
        <v>0</v>
      </c>
      <c r="K75" s="605"/>
    </row>
    <row r="76" spans="1:11" s="2" customFormat="1">
      <c r="A76" s="3">
        <v>24</v>
      </c>
      <c r="B76" s="518" t="s">
        <v>243</v>
      </c>
      <c r="C76" s="152" t="s">
        <v>128</v>
      </c>
      <c r="D76" s="595">
        <v>0</v>
      </c>
      <c r="E76" s="596">
        <v>0</v>
      </c>
      <c r="F76" s="596">
        <v>0</v>
      </c>
      <c r="G76" s="596">
        <v>0</v>
      </c>
      <c r="H76" s="596">
        <v>0</v>
      </c>
      <c r="I76" s="596">
        <v>0</v>
      </c>
      <c r="J76" s="596">
        <v>0</v>
      </c>
      <c r="K76" s="605"/>
    </row>
    <row r="77" spans="1:11" s="2" customFormat="1">
      <c r="A77" s="3">
        <v>25</v>
      </c>
      <c r="B77" s="518" t="s">
        <v>243</v>
      </c>
      <c r="C77" s="152" t="s">
        <v>128</v>
      </c>
      <c r="D77" s="631">
        <v>0</v>
      </c>
      <c r="E77" s="632">
        <v>0</v>
      </c>
      <c r="F77" s="632">
        <v>0</v>
      </c>
      <c r="G77" s="632">
        <v>0</v>
      </c>
      <c r="H77" s="632">
        <v>0</v>
      </c>
      <c r="I77" s="632">
        <v>0</v>
      </c>
      <c r="J77" s="596">
        <v>0</v>
      </c>
      <c r="K77" s="633"/>
    </row>
    <row r="78" spans="1:11" s="2" customFormat="1">
      <c r="B78" s="12" t="s">
        <v>171</v>
      </c>
      <c r="C78" s="152" t="s">
        <v>128</v>
      </c>
      <c r="D78" s="609">
        <f>SUM(D53:D77)</f>
        <v>81.554600000000008</v>
      </c>
      <c r="E78" s="610">
        <f t="shared" ref="E78:K78" si="8">SUM(E53:E77)</f>
        <v>124.83246548531659</v>
      </c>
      <c r="F78" s="610">
        <f t="shared" si="8"/>
        <v>47.804101093044814</v>
      </c>
      <c r="G78" s="610">
        <f t="shared" si="8"/>
        <v>92.836471140359706</v>
      </c>
      <c r="H78" s="610">
        <f t="shared" si="8"/>
        <v>104.4643069841722</v>
      </c>
      <c r="I78" s="610">
        <f t="shared" si="8"/>
        <v>96.036150040132</v>
      </c>
      <c r="J78" s="610">
        <f t="shared" si="8"/>
        <v>81.483975549808505</v>
      </c>
      <c r="K78" s="611">
        <f t="shared" si="8"/>
        <v>0</v>
      </c>
    </row>
    <row r="79" spans="1:11" s="2" customFormat="1">
      <c r="C79" s="136"/>
      <c r="D79" s="53"/>
      <c r="E79" s="52"/>
      <c r="F79" s="52"/>
      <c r="G79" s="52"/>
      <c r="H79" s="52"/>
      <c r="I79" s="52"/>
      <c r="J79" s="52"/>
      <c r="K79" s="52"/>
    </row>
    <row r="80" spans="1:11" s="2" customFormat="1">
      <c r="B80" s="12" t="s">
        <v>401</v>
      </c>
      <c r="C80" s="152" t="s">
        <v>128</v>
      </c>
      <c r="D80" s="609">
        <f>D48-D78</f>
        <v>223.10355203652989</v>
      </c>
      <c r="E80" s="610">
        <f t="shared" ref="E80:K80" si="9">E48-E78</f>
        <v>261.04764060165826</v>
      </c>
      <c r="F80" s="610">
        <f t="shared" si="9"/>
        <v>233.62541393679376</v>
      </c>
      <c r="G80" s="610">
        <f t="shared" si="9"/>
        <v>222.06770461524587</v>
      </c>
      <c r="H80" s="610">
        <f t="shared" si="9"/>
        <v>242.66130243243049</v>
      </c>
      <c r="I80" s="610">
        <f t="shared" si="9"/>
        <v>236.18365719998803</v>
      </c>
      <c r="J80" s="610">
        <f t="shared" si="9"/>
        <v>238.38340130126579</v>
      </c>
      <c r="K80" s="611">
        <f t="shared" si="9"/>
        <v>0</v>
      </c>
    </row>
    <row r="81" spans="2:11" s="2" customFormat="1">
      <c r="B81" s="12" t="s">
        <v>489</v>
      </c>
      <c r="C81" s="152" t="s">
        <v>128</v>
      </c>
      <c r="D81" s="643">
        <f>'R4 - Totex'!D90+'R4 - Totex'!D118</f>
        <v>223.14820000000003</v>
      </c>
      <c r="E81" s="644">
        <f>'R4 - Totex'!E90+'R4 - Totex'!E118</f>
        <v>261.06150000000002</v>
      </c>
      <c r="F81" s="644">
        <f>'R4 - Totex'!F90+'R4 - Totex'!F118</f>
        <v>233.60579999999996</v>
      </c>
      <c r="G81" s="644">
        <f>'R4 - Totex'!G90+'R4 - Totex'!G118</f>
        <v>222.07969999999992</v>
      </c>
      <c r="H81" s="644">
        <f>'R4 - Totex'!H90+'R4 - Totex'!H118</f>
        <v>242.66581793423148</v>
      </c>
      <c r="I81" s="644">
        <f>'R4 - Totex'!I90+'R4 - Totex'!I118</f>
        <v>236.18711318183878</v>
      </c>
      <c r="J81" s="644">
        <f>'R4 - Totex'!J90+'R4 - Totex'!J118</f>
        <v>238.37711022269144</v>
      </c>
      <c r="K81" s="644">
        <f>'R4 - Totex'!K90+'R4 - Totex'!K118</f>
        <v>329.03350692462101</v>
      </c>
    </row>
    <row r="82" spans="2:11" s="2" customFormat="1">
      <c r="C82" s="136" t="s">
        <v>402</v>
      </c>
      <c r="D82" s="571" t="str">
        <f>IF(D$5="Actuals",IF(ABS(D80-('R4 - Totex'!D90+'R4 - Totex'!D118))&lt;'RFPR cover'!$F$14,"OK","Error"),"N/A")</f>
        <v>OK</v>
      </c>
      <c r="E82" s="571" t="str">
        <f>IF(E$5="Actuals",IF(ABS(E80-('R4 - Totex'!E90+'R4 - Totex'!E118))&lt;'RFPR cover'!$F$14,"OK","Error"),"N/A")</f>
        <v>OK</v>
      </c>
      <c r="F82" s="571" t="str">
        <f>IF(F$5="Actuals",IF(ABS(F80-('R4 - Totex'!F90+'R4 - Totex'!F118))&lt;'RFPR cover'!$F$14,"OK","Error"),"N/A")</f>
        <v>OK</v>
      </c>
      <c r="G82" s="571" t="str">
        <f>IF(G$5="Actuals",IF(ABS(G80-('R4 - Totex'!G90+'R4 - Totex'!G118))&lt;'RFPR cover'!$F$14,"OK","Error"),"N/A")</f>
        <v>OK</v>
      </c>
      <c r="H82" s="571" t="str">
        <f>IF(H$5="Actuals",IF(ABS(H80-('R4 - Totex'!H90+'R4 - Totex'!H118))&lt;'RFPR cover'!$F$14,"OK","Error"),"N/A")</f>
        <v>OK</v>
      </c>
      <c r="I82" s="571" t="str">
        <f>IF(I$5="Actuals",IF(ABS(I80-('R4 - Totex'!I90+'R4 - Totex'!I118))&lt;'RFPR cover'!$F$14,"OK","Error"),"N/A")</f>
        <v>OK</v>
      </c>
      <c r="J82" s="571" t="str">
        <f>IF(J$5="Actuals",IF(ABS(J80-('R4 - Totex'!J90+'R4 - Totex'!J118))&lt;'RFPR cover'!$F$14,"OK","Error"),"N/A")</f>
        <v>OK</v>
      </c>
      <c r="K82" s="571" t="str">
        <f>IF(K$5="Actuals",IF(ABS(K80-('R4 - Totex'!K90+'R4 - Totex'!K118))&lt;'RFPR cover'!$F$14,"OK","Error"),"N/A")</f>
        <v>N/A</v>
      </c>
    </row>
    <row r="83" spans="2:11" s="2" customFormat="1">
      <c r="C83" s="136"/>
    </row>
    <row r="84" spans="2:11">
      <c r="D84" s="215"/>
      <c r="E84" s="215"/>
      <c r="F84" s="215"/>
      <c r="G84" s="215"/>
      <c r="H84" s="215"/>
      <c r="I84" s="215"/>
      <c r="J84" s="215"/>
      <c r="K84" s="215"/>
    </row>
    <row r="85" spans="2:11">
      <c r="D85" s="215"/>
      <c r="E85" s="215"/>
      <c r="F85" s="215"/>
      <c r="G85" s="215"/>
      <c r="H85" s="215"/>
      <c r="I85" s="215"/>
      <c r="J85" s="215"/>
      <c r="K85" s="215"/>
    </row>
    <row r="86" spans="2:11">
      <c r="D86" s="215"/>
      <c r="E86" s="215"/>
      <c r="F86" s="215"/>
      <c r="G86" s="215"/>
      <c r="H86" s="215"/>
      <c r="I86" s="215"/>
      <c r="J86" s="215"/>
      <c r="K86" s="215"/>
    </row>
  </sheetData>
  <conditionalFormatting sqref="D6:J6">
    <cfRule type="expression" dxfId="93" priority="37">
      <formula>AND(D$5="Actuals",E$5="N/A")</formula>
    </cfRule>
  </conditionalFormatting>
  <conditionalFormatting sqref="D5:K5">
    <cfRule type="expression" dxfId="92" priority="28">
      <formula>AND(D$5="Actuals",E$5="N/A")</formula>
    </cfRule>
  </conditionalFormatting>
  <conditionalFormatting sqref="D9:H14 D46:K46 D48:K48 D78:K78 D80:K80 D82:K82 D18:H19 D23:H23 D50:K50 K49 D53:H77 K53:K77 J23:K23 K18:K19 D26:H45 K26:K45 K9:K14">
    <cfRule type="expression" dxfId="91" priority="23">
      <formula>D$5="N/A"</formula>
    </cfRule>
  </conditionalFormatting>
  <conditionalFormatting sqref="D15:H17 K15:K17">
    <cfRule type="expression" dxfId="90" priority="22">
      <formula>D$5="N/A"</formula>
    </cfRule>
  </conditionalFormatting>
  <conditionalFormatting sqref="D20:H22 K20:K22">
    <cfRule type="expression" dxfId="89" priority="21">
      <formula>D$5="N/A"</formula>
    </cfRule>
  </conditionalFormatting>
  <conditionalFormatting sqref="I57:I77">
    <cfRule type="expression" dxfId="88" priority="19">
      <formula>I$5="N/A"</formula>
    </cfRule>
  </conditionalFormatting>
  <conditionalFormatting sqref="J57:J77">
    <cfRule type="expression" dxfId="87" priority="11">
      <formula>J$5="N/A"</formula>
    </cfRule>
  </conditionalFormatting>
  <conditionalFormatting sqref="J53:J56">
    <cfRule type="expression" dxfId="86" priority="10">
      <formula>J$5="N/A"</formula>
    </cfRule>
  </conditionalFormatting>
  <conditionalFormatting sqref="J9:J14 J18:J19">
    <cfRule type="expression" dxfId="85" priority="9">
      <formula>J$5="N/A"</formula>
    </cfRule>
  </conditionalFormatting>
  <conditionalFormatting sqref="J15:J17">
    <cfRule type="expression" dxfId="84" priority="8">
      <formula>J$5="N/A"</formula>
    </cfRule>
  </conditionalFormatting>
  <conditionalFormatting sqref="J20:J22">
    <cfRule type="expression" dxfId="83" priority="7">
      <formula>J$5="N/A"</formula>
    </cfRule>
  </conditionalFormatting>
  <conditionalFormatting sqref="D49:J49">
    <cfRule type="expression" dxfId="82" priority="6">
      <formula>D$5="N/A"</formula>
    </cfRule>
  </conditionalFormatting>
  <conditionalFormatting sqref="J26:J45">
    <cfRule type="expression" dxfId="81" priority="5">
      <formula>J$5="N/A"</formula>
    </cfRule>
  </conditionalFormatting>
  <conditionalFormatting sqref="I9:I14 I18:I19 I23 I26:I45">
    <cfRule type="expression" dxfId="80" priority="4">
      <formula>I$5="N/A"</formula>
    </cfRule>
  </conditionalFormatting>
  <conditionalFormatting sqref="I15:I17">
    <cfRule type="expression" dxfId="79" priority="3">
      <formula>I$5="N/A"</formula>
    </cfRule>
  </conditionalFormatting>
  <conditionalFormatting sqref="I20:I22">
    <cfRule type="expression" dxfId="78" priority="2">
      <formula>I$5="N/A"</formula>
    </cfRule>
  </conditionalFormatting>
  <conditionalFormatting sqref="I53:I56">
    <cfRule type="expression" dxfId="77" priority="1">
      <formula>I$5="N/A"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Y154"/>
  <sheetViews>
    <sheetView showGridLines="0" zoomScale="60" zoomScaleNormal="60" workbookViewId="0">
      <pane ySplit="6" topLeftCell="A7" activePane="bottomLeft" state="frozen"/>
      <selection activeCell="D85" sqref="D85:N85"/>
      <selection pane="bottomLeft" activeCell="A27" sqref="A27"/>
    </sheetView>
  </sheetViews>
  <sheetFormatPr defaultColWidth="9.08984375" defaultRowHeight="12.6"/>
  <cols>
    <col min="1" max="1" width="8.36328125" style="2" customWidth="1"/>
    <col min="2" max="2" width="75.453125" style="129" customWidth="1"/>
    <col min="3" max="3" width="13.36328125" style="136" customWidth="1"/>
    <col min="4" max="11" width="11.08984375" style="2" customWidth="1"/>
    <col min="12" max="13" width="12.90625" style="2" customWidth="1"/>
    <col min="14" max="14" width="25.453125" style="2" customWidth="1"/>
    <col min="15" max="16384" width="9.08984375" style="2"/>
  </cols>
  <sheetData>
    <row r="1" spans="1:25" s="31" customFormat="1" ht="21">
      <c r="A1" s="905" t="s">
        <v>99</v>
      </c>
      <c r="B1" s="927"/>
      <c r="C1" s="278"/>
      <c r="D1" s="256"/>
      <c r="E1" s="256"/>
      <c r="F1" s="256"/>
      <c r="G1" s="256"/>
      <c r="H1" s="256"/>
      <c r="I1" s="257"/>
      <c r="J1" s="257"/>
      <c r="K1" s="258"/>
      <c r="L1" s="258"/>
      <c r="M1" s="258"/>
      <c r="N1" s="258"/>
      <c r="O1" s="363"/>
    </row>
    <row r="2" spans="1:25" s="31" customFormat="1" ht="21">
      <c r="A2" s="908" t="str">
        <f>'RFPR cover'!C5</f>
        <v>WPD-SWEST</v>
      </c>
      <c r="B2" s="921"/>
      <c r="C2" s="134"/>
      <c r="D2" s="29"/>
      <c r="E2" s="29"/>
      <c r="F2" s="29"/>
      <c r="G2" s="29"/>
      <c r="H2" s="29"/>
      <c r="I2" s="27"/>
      <c r="J2" s="27"/>
      <c r="K2" s="27"/>
      <c r="L2" s="27"/>
      <c r="M2" s="27"/>
      <c r="N2" s="27"/>
      <c r="O2" s="123"/>
    </row>
    <row r="3" spans="1:25" s="31" customFormat="1" ht="21">
      <c r="A3" s="911">
        <f>'RFPR cover'!C7</f>
        <v>2022</v>
      </c>
      <c r="B3" s="922"/>
      <c r="C3" s="277"/>
      <c r="D3" s="260"/>
      <c r="E3" s="260"/>
      <c r="F3" s="260"/>
      <c r="G3" s="260"/>
      <c r="H3" s="260"/>
      <c r="I3" s="255"/>
      <c r="J3" s="255"/>
      <c r="K3" s="255"/>
      <c r="L3" s="255"/>
      <c r="M3" s="255"/>
      <c r="N3" s="255"/>
      <c r="O3" s="261"/>
    </row>
    <row r="4" spans="1:25" ht="12.75" customHeight="1"/>
    <row r="5" spans="1:25" ht="12.75" customHeight="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row>
    <row r="6" spans="1:25" ht="27.75" customHeight="1">
      <c r="B6" s="769"/>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2022</v>
      </c>
      <c r="M6" s="119" t="s">
        <v>109</v>
      </c>
      <c r="N6" s="119" t="s">
        <v>311</v>
      </c>
    </row>
    <row r="7" spans="1:25" s="35" customFormat="1">
      <c r="B7" s="770"/>
      <c r="C7" s="158"/>
      <c r="D7" s="58"/>
      <c r="E7" s="58"/>
      <c r="F7" s="58"/>
      <c r="G7" s="58"/>
      <c r="H7" s="58"/>
      <c r="I7" s="58"/>
      <c r="J7" s="58"/>
      <c r="K7" s="58"/>
      <c r="L7" s="58"/>
      <c r="M7" s="58"/>
      <c r="N7" s="58"/>
    </row>
    <row r="8" spans="1:25" s="35" customFormat="1">
      <c r="B8" s="771" t="s">
        <v>389</v>
      </c>
      <c r="C8" s="291"/>
      <c r="D8" s="321"/>
      <c r="E8" s="321"/>
      <c r="F8" s="321"/>
      <c r="G8" s="321"/>
      <c r="H8" s="321"/>
      <c r="I8" s="321"/>
      <c r="J8" s="321"/>
      <c r="K8" s="321"/>
      <c r="L8" s="321"/>
      <c r="M8" s="321"/>
      <c r="N8" s="321"/>
    </row>
    <row r="9" spans="1:25" s="35" customFormat="1">
      <c r="B9" s="770"/>
      <c r="C9" s="158"/>
      <c r="D9" s="58"/>
      <c r="E9" s="58"/>
      <c r="F9" s="58"/>
      <c r="G9" s="58"/>
      <c r="H9" s="58"/>
      <c r="I9" s="58"/>
      <c r="J9" s="58"/>
      <c r="K9" s="58"/>
      <c r="L9" s="58"/>
      <c r="M9" s="58"/>
      <c r="N9" s="58"/>
    </row>
    <row r="10" spans="1:25">
      <c r="A10" s="35"/>
      <c r="B10" s="772" t="str">
        <f>Data!B48</f>
        <v>Totex</v>
      </c>
      <c r="C10" s="150"/>
      <c r="D10" s="82"/>
      <c r="E10" s="82"/>
      <c r="F10" s="82"/>
      <c r="G10" s="82"/>
      <c r="H10" s="82"/>
      <c r="I10" s="82"/>
      <c r="J10" s="82"/>
      <c r="K10" s="82"/>
      <c r="L10" s="82"/>
      <c r="M10" s="82"/>
      <c r="N10" s="82"/>
      <c r="P10"/>
      <c r="Q10"/>
      <c r="R10"/>
      <c r="S10"/>
      <c r="T10"/>
    </row>
    <row r="11" spans="1:25" s="35" customFormat="1">
      <c r="B11" s="773"/>
      <c r="C11" s="138"/>
      <c r="D11" s="977"/>
      <c r="E11" s="977"/>
      <c r="F11" s="977"/>
      <c r="G11" s="977"/>
      <c r="H11" s="977"/>
      <c r="I11" s="977"/>
      <c r="J11" s="977"/>
      <c r="K11" s="977"/>
      <c r="L11" s="320"/>
      <c r="M11" s="320"/>
      <c r="N11" s="320"/>
      <c r="P11"/>
      <c r="Q11"/>
      <c r="R11"/>
      <c r="S11"/>
      <c r="T11"/>
      <c r="U11" s="2"/>
      <c r="V11" s="2"/>
      <c r="W11" s="2"/>
      <c r="X11" s="2"/>
      <c r="Y11" s="2"/>
    </row>
    <row r="12" spans="1:25">
      <c r="A12" s="35"/>
      <c r="B12" s="305" t="s">
        <v>34</v>
      </c>
      <c r="C12" s="155" t="str">
        <f>'RFPR cover'!$C$14</f>
        <v>£m 12/13</v>
      </c>
      <c r="D12" s="482">
        <v>210.45428235806551</v>
      </c>
      <c r="E12" s="976">
        <v>241.04585237478867</v>
      </c>
      <c r="F12" s="976">
        <v>207.9150083482474</v>
      </c>
      <c r="G12" s="976">
        <v>191.79603328356413</v>
      </c>
      <c r="H12" s="976">
        <v>204.286575935543</v>
      </c>
      <c r="I12" s="976">
        <v>196.44991422479887</v>
      </c>
      <c r="J12" s="976">
        <v>187.44470476008019</v>
      </c>
      <c r="K12" s="976">
        <v>238.90228044038199</v>
      </c>
      <c r="L12" s="107">
        <f>SUM(D12:INDEX(D12:K12,0,MATCH('RFPR cover'!$C$7,$D$6:$K$6,0)))</f>
        <v>1439.3923712850878</v>
      </c>
      <c r="M12" s="108">
        <f>SUM(D12:K12)</f>
        <v>1678.2946517254697</v>
      </c>
      <c r="N12" s="63"/>
      <c r="O12" s="63"/>
      <c r="P12" s="323"/>
      <c r="Q12"/>
      <c r="R12"/>
      <c r="S12"/>
      <c r="T12"/>
    </row>
    <row r="13" spans="1:25" ht="25.2">
      <c r="A13" s="35"/>
      <c r="B13" s="774" t="s">
        <v>501</v>
      </c>
      <c r="C13" s="155" t="str">
        <f>'RFPR cover'!$C$14</f>
        <v>£m 12/13</v>
      </c>
      <c r="D13" s="483">
        <v>214.67063708067678</v>
      </c>
      <c r="E13" s="484">
        <v>215.30321808555482</v>
      </c>
      <c r="F13" s="484">
        <v>211.3236296511833</v>
      </c>
      <c r="G13" s="484">
        <v>214.30205202796381</v>
      </c>
      <c r="H13" s="484">
        <v>210.1397298929393</v>
      </c>
      <c r="I13" s="484">
        <v>209.68827957093623</v>
      </c>
      <c r="J13" s="484">
        <v>209.8131760264047</v>
      </c>
      <c r="K13" s="484">
        <v>219.71952298508899</v>
      </c>
      <c r="L13" s="105">
        <f>SUM(D13:INDEX(D13:K13,0,MATCH('RFPR cover'!$C$7,$D$6:$K$6,0)))</f>
        <v>1485.240722335659</v>
      </c>
      <c r="M13" s="106">
        <f>SUM(D13:K13)</f>
        <v>1704.9602453207481</v>
      </c>
      <c r="N13" s="63"/>
      <c r="O13" s="63"/>
      <c r="P13"/>
      <c r="Q13"/>
      <c r="R13"/>
      <c r="S13"/>
      <c r="T13"/>
    </row>
    <row r="14" spans="1:25">
      <c r="A14" s="35"/>
      <c r="B14" s="775" t="s">
        <v>195</v>
      </c>
      <c r="C14" s="155" t="str">
        <f>'RFPR cover'!$C$14</f>
        <v>£m 12/13</v>
      </c>
      <c r="D14" s="102">
        <f>D13-D12</f>
        <v>4.2163547226112712</v>
      </c>
      <c r="E14" s="103">
        <f t="shared" ref="E14:M14" si="1">E13-E12</f>
        <v>-25.742634289233848</v>
      </c>
      <c r="F14" s="103">
        <f t="shared" si="1"/>
        <v>3.4086213029358987</v>
      </c>
      <c r="G14" s="103">
        <f t="shared" si="1"/>
        <v>22.506018744399682</v>
      </c>
      <c r="H14" s="103">
        <f t="shared" si="1"/>
        <v>5.8531539573963016</v>
      </c>
      <c r="I14" s="103">
        <f t="shared" si="1"/>
        <v>13.238365346137357</v>
      </c>
      <c r="J14" s="103">
        <f t="shared" si="1"/>
        <v>22.368471266324519</v>
      </c>
      <c r="K14" s="103">
        <f t="shared" si="1"/>
        <v>-19.182757455293</v>
      </c>
      <c r="L14" s="102">
        <f t="shared" si="1"/>
        <v>45.848351050571182</v>
      </c>
      <c r="M14" s="104">
        <f t="shared" si="1"/>
        <v>26.665593595278324</v>
      </c>
      <c r="N14" s="63"/>
      <c r="P14"/>
      <c r="Q14"/>
      <c r="R14"/>
      <c r="S14"/>
      <c r="T14"/>
    </row>
    <row r="15" spans="1:25">
      <c r="A15" s="35"/>
      <c r="B15" s="775"/>
      <c r="C15" s="155"/>
      <c r="D15" s="59"/>
      <c r="E15" s="59"/>
      <c r="F15" s="59"/>
      <c r="G15" s="59"/>
      <c r="H15" s="59"/>
      <c r="I15" s="59"/>
      <c r="J15" s="59"/>
      <c r="K15" s="59"/>
      <c r="L15" s="59"/>
      <c r="M15" s="59"/>
      <c r="P15"/>
      <c r="Q15"/>
      <c r="R15"/>
      <c r="S15"/>
      <c r="T15"/>
    </row>
    <row r="16" spans="1:25">
      <c r="A16" s="35"/>
      <c r="B16" s="769" t="s">
        <v>178</v>
      </c>
      <c r="C16" s="136" t="s">
        <v>7</v>
      </c>
      <c r="D16" s="109">
        <f>1-INDEX(Data!$D$73:$D$100,MATCH('RFPR cover'!$C$5,Data!$B$73:$B$100,0),0)</f>
        <v>0.30000000000000004</v>
      </c>
      <c r="E16" s="110">
        <f>1-INDEX(Data!$D$73:$D$100,MATCH('RFPR cover'!$C$5,Data!$B$73:$B$100,0),0)</f>
        <v>0.30000000000000004</v>
      </c>
      <c r="F16" s="110">
        <f>1-INDEX(Data!$D$73:$D$100,MATCH('RFPR cover'!$C$5,Data!$B$73:$B$100,0),0)</f>
        <v>0.30000000000000004</v>
      </c>
      <c r="G16" s="110">
        <f>1-INDEX(Data!$D$73:$D$100,MATCH('RFPR cover'!$C$5,Data!$B$73:$B$100,0),0)</f>
        <v>0.30000000000000004</v>
      </c>
      <c r="H16" s="110">
        <f>1-INDEX(Data!$D$73:$D$100,MATCH('RFPR cover'!$C$5,Data!$B$73:$B$100,0),0)</f>
        <v>0.30000000000000004</v>
      </c>
      <c r="I16" s="110">
        <f>1-INDEX(Data!$D$73:$D$100,MATCH('RFPR cover'!$C$5,Data!$B$73:$B$100,0),0)</f>
        <v>0.30000000000000004</v>
      </c>
      <c r="J16" s="110">
        <f>1-INDEX(Data!$D$73:$D$100,MATCH('RFPR cover'!$C$5,Data!$B$73:$B$100,0),0)</f>
        <v>0.30000000000000004</v>
      </c>
      <c r="K16" s="111">
        <f>1-INDEX(Data!$D$73:$D$100,MATCH('RFPR cover'!$C$5,Data!$B$73:$B$100,0),0)</f>
        <v>0.30000000000000004</v>
      </c>
      <c r="L16" s="62"/>
      <c r="M16" s="62"/>
      <c r="P16"/>
      <c r="Q16"/>
      <c r="R16"/>
      <c r="S16"/>
      <c r="T16"/>
    </row>
    <row r="17" spans="1:20">
      <c r="A17" s="35"/>
      <c r="B17" s="769"/>
      <c r="P17"/>
      <c r="Q17"/>
      <c r="R17"/>
      <c r="S17"/>
      <c r="T17"/>
    </row>
    <row r="18" spans="1:20">
      <c r="A18" s="35"/>
      <c r="B18" s="776" t="s">
        <v>183</v>
      </c>
      <c r="C18" s="159" t="str">
        <f>'RFPR cover'!$C$14</f>
        <v>£m 12/13</v>
      </c>
      <c r="D18" s="95">
        <f>D14*D16</f>
        <v>1.2649064167833814</v>
      </c>
      <c r="E18" s="96">
        <f t="shared" ref="E18:K18" si="2">E14*E16</f>
        <v>-7.7227902867701559</v>
      </c>
      <c r="F18" s="96">
        <f t="shared" si="2"/>
        <v>1.0225863908807697</v>
      </c>
      <c r="G18" s="96">
        <f t="shared" si="2"/>
        <v>6.751805623319906</v>
      </c>
      <c r="H18" s="96">
        <f t="shared" si="2"/>
        <v>1.7559461872188908</v>
      </c>
      <c r="I18" s="96">
        <f t="shared" si="2"/>
        <v>3.9715096038412079</v>
      </c>
      <c r="J18" s="96">
        <f t="shared" si="2"/>
        <v>6.7105413798973572</v>
      </c>
      <c r="K18" s="96">
        <f t="shared" si="2"/>
        <v>-5.754827236587901</v>
      </c>
      <c r="L18" s="95">
        <f>SUM(D18:INDEX(D18:K18,0,MATCH('RFPR cover'!$C$7,$D$6:$K$6,0)))</f>
        <v>13.754505315171357</v>
      </c>
      <c r="M18" s="97">
        <f>SUM(D18:K18)</f>
        <v>7.9996780785834565</v>
      </c>
      <c r="P18"/>
      <c r="Q18"/>
      <c r="R18"/>
      <c r="S18"/>
      <c r="T18"/>
    </row>
    <row r="19" spans="1:20">
      <c r="A19" s="35"/>
      <c r="B19" s="776" t="s">
        <v>280</v>
      </c>
      <c r="C19" s="159" t="str">
        <f>'RFPR cover'!$C$14</f>
        <v>£m 12/13</v>
      </c>
      <c r="D19" s="92">
        <f>D14*(1-D16)</f>
        <v>2.9514483058278898</v>
      </c>
      <c r="E19" s="93">
        <f t="shared" ref="E19:K19" si="3">E14*(1-E16)</f>
        <v>-18.019844002463692</v>
      </c>
      <c r="F19" s="93">
        <f t="shared" si="3"/>
        <v>2.3860349120551287</v>
      </c>
      <c r="G19" s="93">
        <f t="shared" si="3"/>
        <v>15.754213121079777</v>
      </c>
      <c r="H19" s="93">
        <f t="shared" si="3"/>
        <v>4.0972077701774108</v>
      </c>
      <c r="I19" s="93">
        <f t="shared" si="3"/>
        <v>9.2668557422961495</v>
      </c>
      <c r="J19" s="93">
        <f t="shared" si="3"/>
        <v>15.657929886427162</v>
      </c>
      <c r="K19" s="93">
        <f t="shared" si="3"/>
        <v>-13.4279302187051</v>
      </c>
      <c r="L19" s="92">
        <f>SUM(D19:INDEX(D19:K19,0,MATCH('RFPR cover'!$C$7,$D$6:$K$6,0)))</f>
        <v>32.093845735399825</v>
      </c>
      <c r="M19" s="94">
        <f>SUM(D19:K19)</f>
        <v>18.665915516694724</v>
      </c>
      <c r="P19"/>
      <c r="Q19"/>
      <c r="R19"/>
      <c r="S19"/>
      <c r="T19"/>
    </row>
    <row r="20" spans="1:20">
      <c r="A20" s="35"/>
      <c r="B20" s="769"/>
      <c r="P20"/>
      <c r="Q20"/>
      <c r="R20"/>
      <c r="S20"/>
      <c r="T20"/>
    </row>
    <row r="21" spans="1:20">
      <c r="A21" s="35"/>
      <c r="B21" s="777" t="s">
        <v>182</v>
      </c>
      <c r="N21" s="63"/>
      <c r="P21"/>
      <c r="Q21"/>
      <c r="R21"/>
      <c r="S21"/>
      <c r="T21"/>
    </row>
    <row r="22" spans="1:20">
      <c r="A22" s="269" t="s">
        <v>151</v>
      </c>
      <c r="B22" s="767" t="s">
        <v>616</v>
      </c>
      <c r="C22" s="155" t="str">
        <f>'RFPR cover'!$C$14</f>
        <v>£m 12/13</v>
      </c>
      <c r="D22" s="581">
        <v>0</v>
      </c>
      <c r="E22" s="582">
        <v>14.716242447047392</v>
      </c>
      <c r="F22" s="582">
        <v>-13.702979070466785</v>
      </c>
      <c r="G22" s="582">
        <v>-0.46814049805900287</v>
      </c>
      <c r="H22" s="582">
        <v>0</v>
      </c>
      <c r="I22" s="582">
        <v>0</v>
      </c>
      <c r="J22" s="582">
        <v>0</v>
      </c>
      <c r="K22" s="582">
        <v>0</v>
      </c>
      <c r="L22" s="583">
        <f>SUM(D22:INDEX(D22:K22,0,MATCH('RFPR cover'!$C$7,$D$6:$K$6,0)))</f>
        <v>0.54512287852160402</v>
      </c>
      <c r="M22" s="584">
        <f t="shared" ref="M22:M27" si="4">SUM(D22:K22)</f>
        <v>0.54512287852160402</v>
      </c>
      <c r="N22" s="572" t="s">
        <v>619</v>
      </c>
      <c r="P22"/>
      <c r="Q22"/>
      <c r="R22"/>
      <c r="S22"/>
      <c r="T22"/>
    </row>
    <row r="23" spans="1:20">
      <c r="A23" s="269" t="s">
        <v>152</v>
      </c>
      <c r="B23" s="767" t="s">
        <v>617</v>
      </c>
      <c r="C23" s="155" t="str">
        <f>'RFPR cover'!$C$14</f>
        <v>£m 12/13</v>
      </c>
      <c r="D23" s="585">
        <v>0</v>
      </c>
      <c r="E23" s="586">
        <v>0</v>
      </c>
      <c r="F23" s="586">
        <v>-8.7508843455148817</v>
      </c>
      <c r="G23" s="586">
        <v>3.2316541631445479</v>
      </c>
      <c r="H23" s="586">
        <v>3.2316541631445479</v>
      </c>
      <c r="I23" s="586">
        <v>3.0799999999999996</v>
      </c>
      <c r="J23" s="586">
        <v>2.2931761401242232</v>
      </c>
      <c r="K23" s="586">
        <v>-3.0856001208984365</v>
      </c>
      <c r="L23" s="587">
        <f>SUM(D23:INDEX(D23:K23,0,MATCH('RFPR cover'!$C$7,$D$6:$K$6,0)))</f>
        <v>3.0856001208984365</v>
      </c>
      <c r="M23" s="588">
        <f t="shared" si="4"/>
        <v>0</v>
      </c>
      <c r="N23" s="573" t="s">
        <v>619</v>
      </c>
      <c r="O23"/>
      <c r="P23"/>
      <c r="Q23"/>
      <c r="R23"/>
      <c r="S23"/>
      <c r="T23"/>
    </row>
    <row r="24" spans="1:20">
      <c r="A24" s="269" t="s">
        <v>153</v>
      </c>
      <c r="B24" s="767" t="s">
        <v>618</v>
      </c>
      <c r="C24" s="155" t="str">
        <f>'RFPR cover'!$C$14</f>
        <v>£m 12/13</v>
      </c>
      <c r="D24" s="585">
        <v>0</v>
      </c>
      <c r="E24" s="586">
        <v>0</v>
      </c>
      <c r="F24" s="586">
        <v>0</v>
      </c>
      <c r="G24" s="586">
        <v>0</v>
      </c>
      <c r="H24" s="586">
        <v>0</v>
      </c>
      <c r="I24" s="586">
        <v>0</v>
      </c>
      <c r="J24" s="586">
        <v>0.83466252914596439</v>
      </c>
      <c r="K24" s="586">
        <v>2.2484838724320571</v>
      </c>
      <c r="L24" s="587">
        <f>SUM(D24:INDEX(D24:K24,0,MATCH('RFPR cover'!$C$7,$D$6:$K$6,0)))</f>
        <v>0.83466252914596439</v>
      </c>
      <c r="M24" s="588">
        <f t="shared" si="4"/>
        <v>3.0831464015780217</v>
      </c>
      <c r="N24" s="573" t="s">
        <v>619</v>
      </c>
      <c r="O24"/>
      <c r="P24" s="323"/>
      <c r="Q24"/>
      <c r="R24"/>
      <c r="S24"/>
      <c r="T24"/>
    </row>
    <row r="25" spans="1:20">
      <c r="A25" s="269" t="s">
        <v>168</v>
      </c>
      <c r="B25" s="767" t="s">
        <v>648</v>
      </c>
      <c r="C25" s="155" t="str">
        <f>'RFPR cover'!$C$14</f>
        <v>£m 12/13</v>
      </c>
      <c r="D25" s="585">
        <v>0</v>
      </c>
      <c r="E25" s="586">
        <v>0</v>
      </c>
      <c r="F25" s="586">
        <v>0</v>
      </c>
      <c r="G25" s="586">
        <v>0</v>
      </c>
      <c r="H25" s="586">
        <v>0</v>
      </c>
      <c r="I25" s="586">
        <v>0</v>
      </c>
      <c r="J25" s="586">
        <v>0</v>
      </c>
      <c r="K25" s="586">
        <v>0</v>
      </c>
      <c r="L25" s="587">
        <f>SUM(D25:INDEX(D25:K25,0,MATCH('RFPR cover'!$C$7,$D$6:$K$6,0)))</f>
        <v>0</v>
      </c>
      <c r="M25" s="588">
        <f t="shared" si="4"/>
        <v>0</v>
      </c>
      <c r="N25" s="573" t="s">
        <v>619</v>
      </c>
      <c r="O25"/>
      <c r="P25" s="323"/>
      <c r="Q25"/>
      <c r="R25"/>
      <c r="S25"/>
      <c r="T25"/>
    </row>
    <row r="26" spans="1:20">
      <c r="A26" s="269" t="s">
        <v>169</v>
      </c>
      <c r="B26" s="767" t="s">
        <v>242</v>
      </c>
      <c r="C26" s="155" t="str">
        <f>'RFPR cover'!$C$14</f>
        <v>£m 12/13</v>
      </c>
      <c r="D26" s="585">
        <v>0</v>
      </c>
      <c r="E26" s="586">
        <v>0</v>
      </c>
      <c r="F26" s="586">
        <v>0</v>
      </c>
      <c r="G26" s="586">
        <v>0</v>
      </c>
      <c r="H26" s="586">
        <v>0</v>
      </c>
      <c r="I26" s="586">
        <v>0</v>
      </c>
      <c r="J26" s="586">
        <v>0</v>
      </c>
      <c r="K26" s="586">
        <v>0</v>
      </c>
      <c r="L26" s="587">
        <f>SUM(D26:INDEX(D26:K26,0,MATCH('RFPR cover'!$C$7,$D$6:$K$6,0)))</f>
        <v>0</v>
      </c>
      <c r="M26" s="588">
        <f t="shared" si="4"/>
        <v>0</v>
      </c>
      <c r="N26" s="573"/>
      <c r="O26"/>
      <c r="P26"/>
      <c r="Q26"/>
      <c r="R26"/>
      <c r="S26"/>
      <c r="T26"/>
    </row>
    <row r="27" spans="1:20">
      <c r="A27" s="269" t="s">
        <v>170</v>
      </c>
      <c r="B27" s="767" t="s">
        <v>242</v>
      </c>
      <c r="C27" s="155" t="str">
        <f>'RFPR cover'!$C$14</f>
        <v>£m 12/13</v>
      </c>
      <c r="D27" s="589">
        <v>0</v>
      </c>
      <c r="E27" s="590">
        <v>0</v>
      </c>
      <c r="F27" s="590">
        <v>0</v>
      </c>
      <c r="G27" s="590">
        <v>0</v>
      </c>
      <c r="H27" s="590">
        <v>0</v>
      </c>
      <c r="I27" s="590">
        <v>0</v>
      </c>
      <c r="J27" s="590">
        <v>0</v>
      </c>
      <c r="K27" s="590">
        <v>0</v>
      </c>
      <c r="L27" s="591">
        <f>SUM(D27:INDEX(D27:K27,0,MATCH('RFPR cover'!$C$7,$D$6:$K$6,0)))</f>
        <v>0</v>
      </c>
      <c r="M27" s="592">
        <f t="shared" si="4"/>
        <v>0</v>
      </c>
      <c r="N27" s="574"/>
      <c r="O27"/>
      <c r="P27"/>
      <c r="Q27"/>
      <c r="R27"/>
      <c r="S27"/>
      <c r="T27"/>
    </row>
    <row r="28" spans="1:20">
      <c r="A28" s="35"/>
      <c r="B28" s="777" t="s">
        <v>190</v>
      </c>
      <c r="C28" s="155" t="str">
        <f>'RFPR cover'!$C$14</f>
        <v>£m 12/13</v>
      </c>
      <c r="D28" s="102">
        <f>SUM(D22:D27)</f>
        <v>0</v>
      </c>
      <c r="E28" s="103">
        <f t="shared" ref="E28:K28" si="5">SUM(E22:E27)</f>
        <v>14.716242447047392</v>
      </c>
      <c r="F28" s="103">
        <f t="shared" si="5"/>
        <v>-22.453863415981665</v>
      </c>
      <c r="G28" s="103">
        <f t="shared" si="5"/>
        <v>2.763513665085545</v>
      </c>
      <c r="H28" s="103">
        <f t="shared" si="5"/>
        <v>3.2316541631445479</v>
      </c>
      <c r="I28" s="103">
        <f t="shared" si="5"/>
        <v>3.0799999999999996</v>
      </c>
      <c r="J28" s="103">
        <f t="shared" si="5"/>
        <v>3.1278386692701874</v>
      </c>
      <c r="K28" s="103">
        <f t="shared" si="5"/>
        <v>-0.83711624846637944</v>
      </c>
      <c r="L28" s="102">
        <f>SUM(D28:INDEX(D28:K28,0,MATCH('RFPR cover'!$C$7,$D$6:$K$6,0)))</f>
        <v>4.4653855285660073</v>
      </c>
      <c r="M28" s="104">
        <f>SUM(D28:K28)</f>
        <v>3.6282692800996279</v>
      </c>
      <c r="N28" s="63"/>
    </row>
    <row r="29" spans="1:20">
      <c r="A29" s="35"/>
      <c r="B29" s="769"/>
    </row>
    <row r="30" spans="1:20">
      <c r="A30" s="35"/>
      <c r="B30" s="776" t="s">
        <v>198</v>
      </c>
      <c r="C30" s="159" t="str">
        <f>'RFPR cover'!$C$14</f>
        <v>£m 12/13</v>
      </c>
      <c r="D30" s="95">
        <f t="shared" ref="D30:K30" si="6">D28*D16</f>
        <v>0</v>
      </c>
      <c r="E30" s="96">
        <f t="shared" si="6"/>
        <v>4.4148727341142182</v>
      </c>
      <c r="F30" s="96">
        <f t="shared" si="6"/>
        <v>-6.7361590247945005</v>
      </c>
      <c r="G30" s="96">
        <f t="shared" si="6"/>
        <v>0.82905409952566367</v>
      </c>
      <c r="H30" s="96">
        <f t="shared" si="6"/>
        <v>0.9694962489433645</v>
      </c>
      <c r="I30" s="96">
        <f t="shared" si="6"/>
        <v>0.92400000000000004</v>
      </c>
      <c r="J30" s="96">
        <f t="shared" si="6"/>
        <v>0.93835160078105639</v>
      </c>
      <c r="K30" s="96">
        <f t="shared" si="6"/>
        <v>-0.25113487453991384</v>
      </c>
      <c r="L30" s="95">
        <f>SUM(D30:INDEX(D30:K30,0,MATCH('RFPR cover'!$C$7,$D$6:$K$6,0)))</f>
        <v>1.3396156585698025</v>
      </c>
      <c r="M30" s="97">
        <f>SUM(D30:K30)</f>
        <v>1.0884807840298887</v>
      </c>
    </row>
    <row r="31" spans="1:20">
      <c r="A31" s="35"/>
      <c r="B31" s="776" t="s">
        <v>309</v>
      </c>
      <c r="C31" s="159" t="str">
        <f>'RFPR cover'!$C$14</f>
        <v>£m 12/13</v>
      </c>
      <c r="D31" s="92">
        <f t="shared" ref="D31:K31" si="7">D28*(1-D16)</f>
        <v>0</v>
      </c>
      <c r="E31" s="93">
        <f t="shared" si="7"/>
        <v>10.301369712933173</v>
      </c>
      <c r="F31" s="93">
        <f t="shared" si="7"/>
        <v>-15.717704391187164</v>
      </c>
      <c r="G31" s="93">
        <f t="shared" si="7"/>
        <v>1.9344595655598813</v>
      </c>
      <c r="H31" s="93">
        <f t="shared" si="7"/>
        <v>2.2621579142011834</v>
      </c>
      <c r="I31" s="93">
        <f t="shared" si="7"/>
        <v>2.1559999999999997</v>
      </c>
      <c r="J31" s="93">
        <f t="shared" si="7"/>
        <v>2.189487068489131</v>
      </c>
      <c r="K31" s="93">
        <f t="shared" si="7"/>
        <v>-0.58598137392646554</v>
      </c>
      <c r="L31" s="92">
        <f>SUM(D31:INDEX(D31:K31,0,MATCH('RFPR cover'!$C$7,$D$6:$K$6,0)))</f>
        <v>3.1257698699962044</v>
      </c>
      <c r="M31" s="94">
        <f>SUM(D31:K31)</f>
        <v>2.5397884960697388</v>
      </c>
    </row>
    <row r="32" spans="1:20">
      <c r="A32" s="35"/>
      <c r="B32" s="769"/>
    </row>
    <row r="33" spans="1:20">
      <c r="A33" s="35"/>
      <c r="B33" s="777" t="s">
        <v>181</v>
      </c>
    </row>
    <row r="34" spans="1:20">
      <c r="A34" s="35"/>
      <c r="B34" s="769" t="s">
        <v>180</v>
      </c>
      <c r="C34" s="155" t="str">
        <f>'RFPR cover'!$C$14</f>
        <v>£m 12/13</v>
      </c>
      <c r="D34" s="95">
        <f>D18+D30</f>
        <v>1.2649064167833814</v>
      </c>
      <c r="E34" s="96">
        <f t="shared" ref="E34:K34" si="8">E18+E30</f>
        <v>-3.3079175526559377</v>
      </c>
      <c r="F34" s="96">
        <f t="shared" si="8"/>
        <v>-5.7135726339137305</v>
      </c>
      <c r="G34" s="96">
        <f t="shared" si="8"/>
        <v>7.5808597228455694</v>
      </c>
      <c r="H34" s="96">
        <f t="shared" si="8"/>
        <v>2.7254424361622553</v>
      </c>
      <c r="I34" s="96">
        <f t="shared" si="8"/>
        <v>4.8955096038412078</v>
      </c>
      <c r="J34" s="96">
        <f t="shared" si="8"/>
        <v>7.6488929806784132</v>
      </c>
      <c r="K34" s="96">
        <f t="shared" si="8"/>
        <v>-6.0059621111278148</v>
      </c>
      <c r="L34" s="95">
        <f>SUM(D34:INDEX(D34:K34,0,MATCH('RFPR cover'!$C$7,$D$6:$K$6,0)))</f>
        <v>15.094120973741159</v>
      </c>
      <c r="M34" s="97">
        <f>SUM(D34:K34)</f>
        <v>9.0881588626133443</v>
      </c>
    </row>
    <row r="35" spans="1:20">
      <c r="A35" s="35"/>
      <c r="B35" s="769" t="s">
        <v>280</v>
      </c>
      <c r="C35" s="155" t="str">
        <f>'RFPR cover'!$C$14</f>
        <v>£m 12/13</v>
      </c>
      <c r="D35" s="98">
        <f>D19+D31</f>
        <v>2.9514483058278898</v>
      </c>
      <c r="E35" s="99">
        <f t="shared" ref="E35:K35" si="9">E19+E31</f>
        <v>-7.7184742895305192</v>
      </c>
      <c r="F35" s="99">
        <f t="shared" si="9"/>
        <v>-13.331669479132035</v>
      </c>
      <c r="G35" s="99">
        <f t="shared" si="9"/>
        <v>17.688672686639659</v>
      </c>
      <c r="H35" s="99">
        <f t="shared" si="9"/>
        <v>6.3593656843785942</v>
      </c>
      <c r="I35" s="99">
        <f t="shared" si="9"/>
        <v>11.42285574229615</v>
      </c>
      <c r="J35" s="99">
        <f t="shared" si="9"/>
        <v>17.847416954916294</v>
      </c>
      <c r="K35" s="99">
        <f t="shared" si="9"/>
        <v>-14.013911592631565</v>
      </c>
      <c r="L35" s="98">
        <f>SUM(D35:INDEX(D35:K35,0,MATCH('RFPR cover'!$C$7,$D$6:$K$6,0)))</f>
        <v>35.219615605396037</v>
      </c>
      <c r="M35" s="100">
        <f>SUM(D35:K35)</f>
        <v>21.205704012764471</v>
      </c>
    </row>
    <row r="36" spans="1:20">
      <c r="A36" s="35"/>
      <c r="B36" s="777" t="s">
        <v>11</v>
      </c>
      <c r="C36" s="156" t="str">
        <f>'RFPR cover'!$C$14</f>
        <v>£m 12/13</v>
      </c>
      <c r="D36" s="139">
        <f>SUM(D34:D35)</f>
        <v>4.2163547226112712</v>
      </c>
      <c r="E36" s="140">
        <f t="shared" ref="E36:K36" si="10">SUM(E34:E35)</f>
        <v>-11.026391842186456</v>
      </c>
      <c r="F36" s="140">
        <f t="shared" si="10"/>
        <v>-19.045242113045767</v>
      </c>
      <c r="G36" s="140">
        <f t="shared" si="10"/>
        <v>25.26953240948523</v>
      </c>
      <c r="H36" s="140">
        <f t="shared" si="10"/>
        <v>9.0848081205408491</v>
      </c>
      <c r="I36" s="140">
        <f t="shared" si="10"/>
        <v>16.318365346137359</v>
      </c>
      <c r="J36" s="140">
        <f t="shared" si="10"/>
        <v>25.496309935594709</v>
      </c>
      <c r="K36" s="140">
        <f t="shared" si="10"/>
        <v>-20.01987370375938</v>
      </c>
      <c r="L36" s="139">
        <f>SUM(D36:INDEX(D36:K36,0,MATCH('RFPR cover'!$C$7,$D$6:$K$6,0)))</f>
        <v>50.313736579137199</v>
      </c>
      <c r="M36" s="141">
        <f>SUM(D36:K36)</f>
        <v>30.293862875377819</v>
      </c>
    </row>
    <row r="37" spans="1:20">
      <c r="A37" s="35"/>
      <c r="B37" s="769"/>
    </row>
    <row r="38" spans="1:20">
      <c r="A38" s="35"/>
      <c r="B38" s="772" t="str">
        <f>Data!B51</f>
        <v>n/a</v>
      </c>
      <c r="C38" s="150"/>
      <c r="D38" s="82"/>
      <c r="E38" s="82"/>
      <c r="F38" s="82"/>
      <c r="G38" s="82"/>
      <c r="H38" s="82"/>
      <c r="I38" s="82"/>
      <c r="J38" s="82"/>
      <c r="K38" s="82"/>
      <c r="L38" s="82"/>
      <c r="M38" s="82"/>
      <c r="N38" s="82"/>
    </row>
    <row r="39" spans="1:20" s="35" customFormat="1">
      <c r="B39" s="770"/>
      <c r="C39" s="138"/>
      <c r="D39" s="320"/>
      <c r="E39" s="320"/>
      <c r="F39" s="320"/>
      <c r="G39" s="320"/>
      <c r="H39" s="320"/>
      <c r="I39" s="320"/>
      <c r="J39" s="320"/>
      <c r="K39" s="320"/>
      <c r="L39" s="320"/>
      <c r="M39" s="320"/>
      <c r="N39" s="320"/>
    </row>
    <row r="40" spans="1:20">
      <c r="A40" s="35"/>
      <c r="B40" s="305" t="s">
        <v>34</v>
      </c>
      <c r="C40" s="155" t="str">
        <f>'RFPR cover'!$C$14</f>
        <v>£m 12/13</v>
      </c>
      <c r="D40" s="648"/>
      <c r="E40" s="649"/>
      <c r="F40" s="649"/>
      <c r="G40" s="649"/>
      <c r="H40" s="649"/>
      <c r="I40" s="649"/>
      <c r="J40" s="649"/>
      <c r="K40" s="649"/>
      <c r="L40" s="650">
        <f>SUM(D40:INDEX(D40:K40,0,MATCH('RFPR cover'!$C$7,$D$6:$K$6,0)))</f>
        <v>0</v>
      </c>
      <c r="M40" s="651">
        <f>SUM(D40:K40)</f>
        <v>0</v>
      </c>
      <c r="N40" s="352"/>
      <c r="O40" s="63"/>
    </row>
    <row r="41" spans="1:20" ht="25.2">
      <c r="A41" s="35"/>
      <c r="B41" s="774" t="s">
        <v>501</v>
      </c>
      <c r="C41" s="155" t="str">
        <f>'RFPR cover'!$C$14</f>
        <v>£m 12/13</v>
      </c>
      <c r="D41" s="652"/>
      <c r="E41" s="653"/>
      <c r="F41" s="653"/>
      <c r="G41" s="653"/>
      <c r="H41" s="653"/>
      <c r="I41" s="653"/>
      <c r="J41" s="653"/>
      <c r="K41" s="653"/>
      <c r="L41" s="654">
        <f>SUM(D41:INDEX(D41:K41,0,MATCH('RFPR cover'!$C$7,$D$6:$K$6,0)))</f>
        <v>0</v>
      </c>
      <c r="M41" s="655">
        <f>SUM(D41:K41)</f>
        <v>0</v>
      </c>
      <c r="N41" s="352"/>
      <c r="O41" s="63"/>
    </row>
    <row r="42" spans="1:20">
      <c r="A42" s="35"/>
      <c r="B42" s="775" t="s">
        <v>195</v>
      </c>
      <c r="C42" s="155" t="str">
        <f>'RFPR cover'!$C$14</f>
        <v>£m 12/13</v>
      </c>
      <c r="D42" s="102">
        <f>D41-D40</f>
        <v>0</v>
      </c>
      <c r="E42" s="103">
        <f t="shared" ref="E42:M42" si="11">E41-E40</f>
        <v>0</v>
      </c>
      <c r="F42" s="103">
        <f t="shared" si="11"/>
        <v>0</v>
      </c>
      <c r="G42" s="103">
        <f t="shared" si="11"/>
        <v>0</v>
      </c>
      <c r="H42" s="103">
        <f t="shared" si="11"/>
        <v>0</v>
      </c>
      <c r="I42" s="103">
        <f t="shared" si="11"/>
        <v>0</v>
      </c>
      <c r="J42" s="103">
        <f t="shared" si="11"/>
        <v>0</v>
      </c>
      <c r="K42" s="103">
        <f t="shared" si="11"/>
        <v>0</v>
      </c>
      <c r="L42" s="355">
        <f t="shared" si="11"/>
        <v>0</v>
      </c>
      <c r="M42" s="356">
        <f t="shared" si="11"/>
        <v>0</v>
      </c>
      <c r="N42" s="353"/>
      <c r="O42" s="1027"/>
      <c r="P42" s="1027"/>
      <c r="Q42" s="1027"/>
      <c r="R42"/>
      <c r="S42"/>
      <c r="T42"/>
    </row>
    <row r="43" spans="1:20" ht="13.2">
      <c r="A43" s="35"/>
      <c r="B43" s="775"/>
      <c r="C43" s="155"/>
      <c r="D43" s="59"/>
      <c r="E43" s="59"/>
      <c r="F43" s="59"/>
      <c r="G43" s="59"/>
      <c r="H43" s="59"/>
      <c r="I43" s="59"/>
      <c r="J43" s="59"/>
      <c r="K43" s="59"/>
      <c r="L43" s="59"/>
      <c r="M43" s="59"/>
      <c r="N43" s="349"/>
      <c r="O43" s="64"/>
      <c r="P43" s="64"/>
      <c r="Q43" s="64"/>
      <c r="R43"/>
      <c r="S43"/>
      <c r="T43"/>
    </row>
    <row r="44" spans="1:20">
      <c r="A44" s="35"/>
      <c r="B44" s="769" t="s">
        <v>178</v>
      </c>
      <c r="C44" s="136" t="s">
        <v>7</v>
      </c>
      <c r="D44" s="109">
        <f>1-INDEX(Data!$D$73:$D$100,MATCH('RFPR cover'!$C$5,Data!$B$73:$B$100,0),0)</f>
        <v>0.30000000000000004</v>
      </c>
      <c r="E44" s="110">
        <f>1-INDEX(Data!$D$73:$D$100,MATCH('RFPR cover'!$C$5,Data!$B$73:$B$100,0),0)</f>
        <v>0.30000000000000004</v>
      </c>
      <c r="F44" s="110">
        <f>1-INDEX(Data!$D$73:$D$100,MATCH('RFPR cover'!$C$5,Data!$B$73:$B$100,0),0)</f>
        <v>0.30000000000000004</v>
      </c>
      <c r="G44" s="110">
        <f>1-INDEX(Data!$D$73:$D$100,MATCH('RFPR cover'!$C$5,Data!$B$73:$B$100,0),0)</f>
        <v>0.30000000000000004</v>
      </c>
      <c r="H44" s="110">
        <f>1-INDEX(Data!$D$73:$D$100,MATCH('RFPR cover'!$C$5,Data!$B$73:$B$100,0),0)</f>
        <v>0.30000000000000004</v>
      </c>
      <c r="I44" s="110">
        <f>1-INDEX(Data!$D$73:$D$100,MATCH('RFPR cover'!$C$5,Data!$B$73:$B$100,0),0)</f>
        <v>0.30000000000000004</v>
      </c>
      <c r="J44" s="110">
        <f>1-INDEX(Data!$D$73:$D$100,MATCH('RFPR cover'!$C$5,Data!$B$73:$B$100,0),0)</f>
        <v>0.30000000000000004</v>
      </c>
      <c r="K44" s="111">
        <f>1-INDEX(Data!$D$73:$D$100,MATCH('RFPR cover'!$C$5,Data!$B$73:$B$100,0),0)</f>
        <v>0.30000000000000004</v>
      </c>
      <c r="L44" s="62"/>
      <c r="M44" s="62"/>
      <c r="N44" s="350"/>
      <c r="O44"/>
      <c r="P44"/>
      <c r="Q44"/>
      <c r="R44"/>
      <c r="S44"/>
      <c r="T44"/>
    </row>
    <row r="45" spans="1:20">
      <c r="A45" s="35"/>
      <c r="B45" s="769"/>
      <c r="N45" s="351"/>
      <c r="O45"/>
      <c r="P45"/>
      <c r="Q45"/>
      <c r="R45"/>
      <c r="S45"/>
      <c r="T45"/>
    </row>
    <row r="46" spans="1:20">
      <c r="A46" s="35"/>
      <c r="B46" s="776" t="s">
        <v>183</v>
      </c>
      <c r="C46" s="159" t="str">
        <f>'RFPR cover'!$C$14</f>
        <v>£m 12/13</v>
      </c>
      <c r="D46" s="95">
        <f>D42*D44</f>
        <v>0</v>
      </c>
      <c r="E46" s="96">
        <f t="shared" ref="E46:K46" si="12">E42*E44</f>
        <v>0</v>
      </c>
      <c r="F46" s="96">
        <f t="shared" si="12"/>
        <v>0</v>
      </c>
      <c r="G46" s="96">
        <f t="shared" si="12"/>
        <v>0</v>
      </c>
      <c r="H46" s="96">
        <f t="shared" si="12"/>
        <v>0</v>
      </c>
      <c r="I46" s="96">
        <f t="shared" si="12"/>
        <v>0</v>
      </c>
      <c r="J46" s="96">
        <f t="shared" si="12"/>
        <v>0</v>
      </c>
      <c r="K46" s="96">
        <f t="shared" si="12"/>
        <v>0</v>
      </c>
      <c r="L46" s="357">
        <f>SUM(D46:INDEX(D46:K46,0,MATCH('RFPR cover'!$C$7,$D$6:$K$6,0)))</f>
        <v>0</v>
      </c>
      <c r="M46" s="575">
        <f>SUM(D46:K46)</f>
        <v>0</v>
      </c>
      <c r="N46" s="353"/>
      <c r="O46"/>
      <c r="P46"/>
      <c r="Q46"/>
      <c r="R46"/>
      <c r="S46"/>
      <c r="T46"/>
    </row>
    <row r="47" spans="1:20">
      <c r="A47" s="35"/>
      <c r="B47" s="776" t="s">
        <v>280</v>
      </c>
      <c r="C47" s="159" t="str">
        <f>'RFPR cover'!$C$14</f>
        <v>£m 12/13</v>
      </c>
      <c r="D47" s="577">
        <f>D42*(1-D44)</f>
        <v>0</v>
      </c>
      <c r="E47" s="578">
        <f t="shared" ref="E47:K47" si="13">E42*(1-E44)</f>
        <v>0</v>
      </c>
      <c r="F47" s="578">
        <f t="shared" si="13"/>
        <v>0</v>
      </c>
      <c r="G47" s="578">
        <f t="shared" si="13"/>
        <v>0</v>
      </c>
      <c r="H47" s="578">
        <f t="shared" si="13"/>
        <v>0</v>
      </c>
      <c r="I47" s="578">
        <f t="shared" si="13"/>
        <v>0</v>
      </c>
      <c r="J47" s="578">
        <f t="shared" si="13"/>
        <v>0</v>
      </c>
      <c r="K47" s="578">
        <f t="shared" si="13"/>
        <v>0</v>
      </c>
      <c r="L47" s="579">
        <f>SUM(D47:INDEX(D47:K47,0,MATCH('RFPR cover'!$C$7,$D$6:$K$6,0)))</f>
        <v>0</v>
      </c>
      <c r="M47" s="580">
        <f>SUM(D47:K47)</f>
        <v>0</v>
      </c>
      <c r="N47" s="353"/>
      <c r="O47"/>
      <c r="P47"/>
      <c r="Q47"/>
      <c r="R47"/>
      <c r="S47"/>
      <c r="T47"/>
    </row>
    <row r="48" spans="1:20">
      <c r="A48" s="35"/>
      <c r="B48" s="769"/>
      <c r="N48" s="351"/>
      <c r="O48"/>
      <c r="P48"/>
      <c r="Q48"/>
      <c r="R48"/>
      <c r="S48"/>
      <c r="T48"/>
    </row>
    <row r="49" spans="1:20">
      <c r="A49" s="35"/>
      <c r="B49" s="777" t="s">
        <v>182</v>
      </c>
      <c r="N49" s="351"/>
      <c r="O49"/>
      <c r="P49"/>
      <c r="Q49"/>
      <c r="R49"/>
      <c r="S49"/>
      <c r="T49"/>
    </row>
    <row r="50" spans="1:20">
      <c r="A50" s="269" t="s">
        <v>151</v>
      </c>
      <c r="B50" s="767" t="s">
        <v>242</v>
      </c>
      <c r="C50" s="155" t="str">
        <f>'RFPR cover'!$C$14</f>
        <v>£m 12/13</v>
      </c>
      <c r="D50" s="581"/>
      <c r="E50" s="582"/>
      <c r="F50" s="582"/>
      <c r="G50" s="582"/>
      <c r="H50" s="582"/>
      <c r="I50" s="582"/>
      <c r="J50" s="582"/>
      <c r="K50" s="582"/>
      <c r="L50" s="656">
        <f>SUM(D50:INDEX(D50:K50,0,MATCH('RFPR cover'!$C$7,$D$6:$K$6,0)))</f>
        <v>0</v>
      </c>
      <c r="M50" s="657">
        <f t="shared" ref="M50:M56" si="14">SUM(D50:K50)</f>
        <v>0</v>
      </c>
      <c r="N50" s="572"/>
      <c r="O50"/>
      <c r="P50"/>
      <c r="Q50"/>
      <c r="R50"/>
      <c r="S50"/>
      <c r="T50"/>
    </row>
    <row r="51" spans="1:20">
      <c r="A51" s="269" t="s">
        <v>152</v>
      </c>
      <c r="B51" s="767" t="s">
        <v>242</v>
      </c>
      <c r="C51" s="155" t="str">
        <f>'RFPR cover'!$C$14</f>
        <v>£m 12/13</v>
      </c>
      <c r="D51" s="585"/>
      <c r="E51" s="586"/>
      <c r="F51" s="586"/>
      <c r="G51" s="586"/>
      <c r="H51" s="586"/>
      <c r="I51" s="586"/>
      <c r="J51" s="586"/>
      <c r="K51" s="586"/>
      <c r="L51" s="658">
        <f>SUM(D51:INDEX(D51:K51,0,MATCH('RFPR cover'!$C$7,$D$6:$K$6,0)))</f>
        <v>0</v>
      </c>
      <c r="M51" s="659">
        <f t="shared" si="14"/>
        <v>0</v>
      </c>
      <c r="N51" s="573"/>
      <c r="O51"/>
      <c r="P51"/>
      <c r="Q51"/>
      <c r="R51"/>
      <c r="S51"/>
      <c r="T51"/>
    </row>
    <row r="52" spans="1:20">
      <c r="A52" s="269" t="s">
        <v>153</v>
      </c>
      <c r="B52" s="767" t="s">
        <v>242</v>
      </c>
      <c r="C52" s="155" t="str">
        <f>'RFPR cover'!$C$14</f>
        <v>£m 12/13</v>
      </c>
      <c r="D52" s="585"/>
      <c r="E52" s="586"/>
      <c r="F52" s="586"/>
      <c r="G52" s="586"/>
      <c r="H52" s="586"/>
      <c r="I52" s="586"/>
      <c r="J52" s="586"/>
      <c r="K52" s="586"/>
      <c r="L52" s="658">
        <f>SUM(D52:INDEX(D52:K52,0,MATCH('RFPR cover'!$C$7,$D$6:$K$6,0)))</f>
        <v>0</v>
      </c>
      <c r="M52" s="659">
        <f t="shared" si="14"/>
        <v>0</v>
      </c>
      <c r="N52" s="573"/>
      <c r="O52"/>
      <c r="P52"/>
      <c r="Q52"/>
      <c r="R52"/>
      <c r="S52" s="65"/>
      <c r="T52"/>
    </row>
    <row r="53" spans="1:20">
      <c r="A53" s="269" t="s">
        <v>168</v>
      </c>
      <c r="B53" s="767" t="s">
        <v>242</v>
      </c>
      <c r="C53" s="155" t="str">
        <f>'RFPR cover'!$C$14</f>
        <v>£m 12/13</v>
      </c>
      <c r="D53" s="585"/>
      <c r="E53" s="586"/>
      <c r="F53" s="586"/>
      <c r="G53" s="586"/>
      <c r="H53" s="586"/>
      <c r="I53" s="586"/>
      <c r="J53" s="586"/>
      <c r="K53" s="586"/>
      <c r="L53" s="658">
        <f>SUM(D53:INDEX(D53:K53,0,MATCH('RFPR cover'!$C$7,$D$6:$K$6,0)))</f>
        <v>0</v>
      </c>
      <c r="M53" s="659">
        <f t="shared" si="14"/>
        <v>0</v>
      </c>
      <c r="N53" s="573"/>
      <c r="O53"/>
      <c r="P53"/>
      <c r="Q53"/>
      <c r="R53"/>
      <c r="S53"/>
      <c r="T53"/>
    </row>
    <row r="54" spans="1:20">
      <c r="A54" s="269" t="s">
        <v>169</v>
      </c>
      <c r="B54" s="767" t="s">
        <v>242</v>
      </c>
      <c r="C54" s="155" t="str">
        <f>'RFPR cover'!$C$14</f>
        <v>£m 12/13</v>
      </c>
      <c r="D54" s="585"/>
      <c r="E54" s="586"/>
      <c r="F54" s="586"/>
      <c r="G54" s="586"/>
      <c r="H54" s="586"/>
      <c r="I54" s="586"/>
      <c r="J54" s="586"/>
      <c r="K54" s="586"/>
      <c r="L54" s="658">
        <f>SUM(D54:INDEX(D54:K54,0,MATCH('RFPR cover'!$C$7,$D$6:$K$6,0)))</f>
        <v>0</v>
      </c>
      <c r="M54" s="659">
        <f t="shared" si="14"/>
        <v>0</v>
      </c>
      <c r="N54" s="573"/>
      <c r="O54"/>
      <c r="P54"/>
      <c r="Q54"/>
      <c r="R54"/>
      <c r="S54"/>
      <c r="T54"/>
    </row>
    <row r="55" spans="1:20">
      <c r="A55" s="269" t="s">
        <v>170</v>
      </c>
      <c r="B55" s="767" t="s">
        <v>242</v>
      </c>
      <c r="C55" s="155" t="str">
        <f>'RFPR cover'!$C$14</f>
        <v>£m 12/13</v>
      </c>
      <c r="D55" s="589"/>
      <c r="E55" s="590"/>
      <c r="F55" s="590"/>
      <c r="G55" s="590"/>
      <c r="H55" s="590"/>
      <c r="I55" s="590"/>
      <c r="J55" s="590"/>
      <c r="K55" s="590"/>
      <c r="L55" s="660">
        <f>SUM(D55:INDEX(D55:K55,0,MATCH('RFPR cover'!$C$7,$D$6:$K$6,0)))</f>
        <v>0</v>
      </c>
      <c r="M55" s="661">
        <f t="shared" si="14"/>
        <v>0</v>
      </c>
      <c r="N55" s="574"/>
      <c r="O55"/>
      <c r="P55"/>
      <c r="Q55"/>
      <c r="R55"/>
      <c r="S55"/>
      <c r="T55"/>
    </row>
    <row r="56" spans="1:20">
      <c r="A56" s="35"/>
      <c r="B56" s="777" t="s">
        <v>190</v>
      </c>
      <c r="C56" s="155" t="str">
        <f>'RFPR cover'!$C$14</f>
        <v>£m 12/13</v>
      </c>
      <c r="D56" s="102">
        <f>SUM(D50:D55)</f>
        <v>0</v>
      </c>
      <c r="E56" s="103">
        <f t="shared" ref="E56:K56" si="15">SUM(E50:E55)</f>
        <v>0</v>
      </c>
      <c r="F56" s="103">
        <f t="shared" si="15"/>
        <v>0</v>
      </c>
      <c r="G56" s="103">
        <f t="shared" si="15"/>
        <v>0</v>
      </c>
      <c r="H56" s="103">
        <f t="shared" si="15"/>
        <v>0</v>
      </c>
      <c r="I56" s="103">
        <f t="shared" si="15"/>
        <v>0</v>
      </c>
      <c r="J56" s="103">
        <f t="shared" si="15"/>
        <v>0</v>
      </c>
      <c r="K56" s="103">
        <f t="shared" si="15"/>
        <v>0</v>
      </c>
      <c r="L56" s="355">
        <f>SUM(D56:INDEX(D56:K56,0,MATCH('RFPR cover'!$C$7,$D$6:$K$6,0)))</f>
        <v>0</v>
      </c>
      <c r="M56" s="356">
        <f t="shared" si="14"/>
        <v>0</v>
      </c>
      <c r="N56" s="353"/>
    </row>
    <row r="57" spans="1:20">
      <c r="A57" s="35"/>
      <c r="B57" s="769"/>
      <c r="N57" s="351"/>
    </row>
    <row r="58" spans="1:20">
      <c r="A58" s="35"/>
      <c r="B58" s="776" t="s">
        <v>198</v>
      </c>
      <c r="C58" s="159" t="str">
        <f>'RFPR cover'!$C$14</f>
        <v>£m 12/13</v>
      </c>
      <c r="D58" s="95">
        <f t="shared" ref="D58:K58" si="16">D56*D44</f>
        <v>0</v>
      </c>
      <c r="E58" s="96">
        <f t="shared" si="16"/>
        <v>0</v>
      </c>
      <c r="F58" s="96">
        <f t="shared" si="16"/>
        <v>0</v>
      </c>
      <c r="G58" s="96">
        <f t="shared" si="16"/>
        <v>0</v>
      </c>
      <c r="H58" s="96">
        <f t="shared" si="16"/>
        <v>0</v>
      </c>
      <c r="I58" s="96">
        <f t="shared" si="16"/>
        <v>0</v>
      </c>
      <c r="J58" s="96">
        <f t="shared" si="16"/>
        <v>0</v>
      </c>
      <c r="K58" s="96">
        <f t="shared" si="16"/>
        <v>0</v>
      </c>
      <c r="L58" s="357">
        <f>SUM(D58:INDEX(D58:K58,0,MATCH('RFPR cover'!$C$7,$D$6:$K$6,0)))</f>
        <v>0</v>
      </c>
      <c r="M58" s="575">
        <f>SUM(D58:K58)</f>
        <v>0</v>
      </c>
      <c r="N58" s="353"/>
    </row>
    <row r="59" spans="1:20">
      <c r="A59" s="35"/>
      <c r="B59" s="776" t="s">
        <v>309</v>
      </c>
      <c r="C59" s="159" t="str">
        <f>'RFPR cover'!$C$14</f>
        <v>£m 12/13</v>
      </c>
      <c r="D59" s="92">
        <f t="shared" ref="D59:K59" si="17">D56*(1-D44)</f>
        <v>0</v>
      </c>
      <c r="E59" s="93">
        <f t="shared" si="17"/>
        <v>0</v>
      </c>
      <c r="F59" s="93">
        <f t="shared" si="17"/>
        <v>0</v>
      </c>
      <c r="G59" s="93">
        <f t="shared" si="17"/>
        <v>0</v>
      </c>
      <c r="H59" s="93">
        <f t="shared" si="17"/>
        <v>0</v>
      </c>
      <c r="I59" s="93">
        <f t="shared" si="17"/>
        <v>0</v>
      </c>
      <c r="J59" s="93">
        <f t="shared" si="17"/>
        <v>0</v>
      </c>
      <c r="K59" s="93">
        <f t="shared" si="17"/>
        <v>0</v>
      </c>
      <c r="L59" s="358">
        <f>SUM(D59:INDEX(D59:K59,0,MATCH('RFPR cover'!$C$7,$D$6:$K$6,0)))</f>
        <v>0</v>
      </c>
      <c r="M59" s="576">
        <f>SUM(D59:K59)</f>
        <v>0</v>
      </c>
      <c r="N59" s="353"/>
    </row>
    <row r="60" spans="1:20">
      <c r="A60" s="35"/>
      <c r="B60" s="769"/>
      <c r="N60" s="351"/>
    </row>
    <row r="61" spans="1:20">
      <c r="A61" s="35"/>
      <c r="B61" s="777" t="s">
        <v>181</v>
      </c>
      <c r="N61" s="351"/>
    </row>
    <row r="62" spans="1:20">
      <c r="A62" s="35"/>
      <c r="B62" s="769" t="s">
        <v>180</v>
      </c>
      <c r="C62" s="155" t="str">
        <f>'RFPR cover'!$C$14</f>
        <v>£m 12/13</v>
      </c>
      <c r="D62" s="95">
        <f>D46+D58</f>
        <v>0</v>
      </c>
      <c r="E62" s="96">
        <f t="shared" ref="E62:K62" si="18">E46+E58</f>
        <v>0</v>
      </c>
      <c r="F62" s="96">
        <f t="shared" si="18"/>
        <v>0</v>
      </c>
      <c r="G62" s="96">
        <f t="shared" si="18"/>
        <v>0</v>
      </c>
      <c r="H62" s="96">
        <f t="shared" si="18"/>
        <v>0</v>
      </c>
      <c r="I62" s="96">
        <f t="shared" si="18"/>
        <v>0</v>
      </c>
      <c r="J62" s="96">
        <f t="shared" si="18"/>
        <v>0</v>
      </c>
      <c r="K62" s="96">
        <f t="shared" si="18"/>
        <v>0</v>
      </c>
      <c r="L62" s="357">
        <f>SUM(D62:INDEX(D62:K62,0,MATCH('RFPR cover'!$C$7,$D$6:$K$6,0)))</f>
        <v>0</v>
      </c>
      <c r="M62" s="575">
        <f>SUM(D62:K62)</f>
        <v>0</v>
      </c>
      <c r="N62" s="353"/>
    </row>
    <row r="63" spans="1:20">
      <c r="A63" s="35"/>
      <c r="B63" s="769" t="s">
        <v>280</v>
      </c>
      <c r="C63" s="155" t="str">
        <f>'RFPR cover'!$C$14</f>
        <v>£m 12/13</v>
      </c>
      <c r="D63" s="98">
        <f>D47+D59</f>
        <v>0</v>
      </c>
      <c r="E63" s="99">
        <f t="shared" ref="E63:K63" si="19">E47+E59</f>
        <v>0</v>
      </c>
      <c r="F63" s="99">
        <f t="shared" si="19"/>
        <v>0</v>
      </c>
      <c r="G63" s="99">
        <f t="shared" si="19"/>
        <v>0</v>
      </c>
      <c r="H63" s="99">
        <f t="shared" si="19"/>
        <v>0</v>
      </c>
      <c r="I63" s="99">
        <f t="shared" si="19"/>
        <v>0</v>
      </c>
      <c r="J63" s="99">
        <f t="shared" si="19"/>
        <v>0</v>
      </c>
      <c r="K63" s="99">
        <f t="shared" si="19"/>
        <v>0</v>
      </c>
      <c r="L63" s="359">
        <f>SUM(D63:INDEX(D63:K63,0,MATCH('RFPR cover'!$C$7,$D$6:$K$6,0)))</f>
        <v>0</v>
      </c>
      <c r="M63" s="576">
        <f>SUM(D63:K63)</f>
        <v>0</v>
      </c>
      <c r="N63" s="353"/>
    </row>
    <row r="64" spans="1:20">
      <c r="A64" s="35"/>
      <c r="B64" s="777" t="s">
        <v>11</v>
      </c>
      <c r="C64" s="156" t="str">
        <f>'RFPR cover'!$C$14</f>
        <v>£m 12/13</v>
      </c>
      <c r="D64" s="139">
        <f>SUM(D62:D63)</f>
        <v>0</v>
      </c>
      <c r="E64" s="140">
        <f t="shared" ref="E64:K64" si="20">SUM(E62:E63)</f>
        <v>0</v>
      </c>
      <c r="F64" s="140">
        <f t="shared" si="20"/>
        <v>0</v>
      </c>
      <c r="G64" s="140">
        <f t="shared" si="20"/>
        <v>0</v>
      </c>
      <c r="H64" s="140">
        <f t="shared" si="20"/>
        <v>0</v>
      </c>
      <c r="I64" s="140">
        <f t="shared" si="20"/>
        <v>0</v>
      </c>
      <c r="J64" s="140">
        <f t="shared" si="20"/>
        <v>0</v>
      </c>
      <c r="K64" s="140">
        <f t="shared" si="20"/>
        <v>0</v>
      </c>
      <c r="L64" s="360">
        <f>SUM(D64:INDEX(D64:K64,0,MATCH('RFPR cover'!$C$7,$D$6:$K$6,0)))</f>
        <v>0</v>
      </c>
      <c r="M64" s="361">
        <f>SUM(D64:K64)</f>
        <v>0</v>
      </c>
      <c r="N64" s="354"/>
    </row>
    <row r="65" spans="1:20">
      <c r="A65" s="35"/>
      <c r="B65" s="777"/>
      <c r="C65" s="156"/>
      <c r="D65" s="156"/>
      <c r="E65" s="156"/>
      <c r="F65" s="156"/>
      <c r="G65" s="156"/>
      <c r="H65" s="156"/>
      <c r="I65" s="156"/>
      <c r="J65" s="156"/>
      <c r="K65" s="156"/>
      <c r="L65" s="156"/>
      <c r="M65" s="156"/>
    </row>
    <row r="66" spans="1:20">
      <c r="A66" s="35"/>
      <c r="B66" s="772" t="s">
        <v>257</v>
      </c>
      <c r="C66" s="150"/>
      <c r="D66" s="82"/>
      <c r="E66" s="82"/>
      <c r="F66" s="82"/>
      <c r="G66" s="82"/>
      <c r="H66" s="82"/>
      <c r="I66" s="82"/>
      <c r="J66" s="82"/>
      <c r="K66" s="82"/>
      <c r="L66" s="82"/>
      <c r="M66" s="82"/>
      <c r="N66" s="82"/>
    </row>
    <row r="67" spans="1:20">
      <c r="A67" s="35"/>
      <c r="B67" s="769"/>
      <c r="O67"/>
      <c r="P67"/>
      <c r="Q67"/>
      <c r="R67"/>
      <c r="S67"/>
      <c r="T67"/>
    </row>
    <row r="68" spans="1:20">
      <c r="A68" s="35"/>
      <c r="B68" s="777" t="s">
        <v>181</v>
      </c>
    </row>
    <row r="69" spans="1:20">
      <c r="A69" s="35"/>
      <c r="B69" s="769" t="s">
        <v>180</v>
      </c>
      <c r="C69" s="155" t="str">
        <f>'RFPR cover'!$C$14</f>
        <v>£m 12/13</v>
      </c>
      <c r="D69" s="95">
        <f>D34+D62</f>
        <v>1.2649064167833814</v>
      </c>
      <c r="E69" s="96">
        <f t="shared" ref="E69:K69" si="21">E34+E62</f>
        <v>-3.3079175526559377</v>
      </c>
      <c r="F69" s="96">
        <f t="shared" si="21"/>
        <v>-5.7135726339137305</v>
      </c>
      <c r="G69" s="96">
        <f t="shared" si="21"/>
        <v>7.5808597228455694</v>
      </c>
      <c r="H69" s="96">
        <f t="shared" si="21"/>
        <v>2.7254424361622553</v>
      </c>
      <c r="I69" s="96">
        <f t="shared" si="21"/>
        <v>4.8955096038412078</v>
      </c>
      <c r="J69" s="96">
        <f t="shared" si="21"/>
        <v>7.6488929806784132</v>
      </c>
      <c r="K69" s="96">
        <f t="shared" si="21"/>
        <v>-6.0059621111278148</v>
      </c>
      <c r="L69" s="95">
        <f>SUM(D69:INDEX(D69:K69,0,MATCH('RFPR cover'!$C$7,$D$6:$K$6,0)))</f>
        <v>15.094120973741159</v>
      </c>
      <c r="M69" s="97">
        <f>SUM(D69:K69)</f>
        <v>9.0881588626133443</v>
      </c>
    </row>
    <row r="70" spans="1:20">
      <c r="A70" s="35"/>
      <c r="B70" s="769" t="s">
        <v>280</v>
      </c>
      <c r="C70" s="155" t="str">
        <f>'RFPR cover'!$C$14</f>
        <v>£m 12/13</v>
      </c>
      <c r="D70" s="520">
        <f t="shared" ref="D70:K70" si="22">D35+D63</f>
        <v>2.9514483058278898</v>
      </c>
      <c r="E70" s="521">
        <f t="shared" si="22"/>
        <v>-7.7184742895305192</v>
      </c>
      <c r="F70" s="521">
        <f t="shared" si="22"/>
        <v>-13.331669479132035</v>
      </c>
      <c r="G70" s="521">
        <f t="shared" si="22"/>
        <v>17.688672686639659</v>
      </c>
      <c r="H70" s="521">
        <f t="shared" si="22"/>
        <v>6.3593656843785942</v>
      </c>
      <c r="I70" s="521">
        <f t="shared" si="22"/>
        <v>11.42285574229615</v>
      </c>
      <c r="J70" s="521">
        <f t="shared" si="22"/>
        <v>17.847416954916294</v>
      </c>
      <c r="K70" s="521">
        <f t="shared" si="22"/>
        <v>-14.013911592631565</v>
      </c>
      <c r="L70" s="520">
        <f>SUM(D70:INDEX(D70:K70,0,MATCH('RFPR cover'!$C$7,$D$6:$K$6,0)))</f>
        <v>35.219615605396037</v>
      </c>
      <c r="M70" s="522">
        <f>SUM(D70:K70)</f>
        <v>21.205704012764471</v>
      </c>
    </row>
    <row r="71" spans="1:20">
      <c r="A71" s="35"/>
      <c r="B71" s="777" t="s">
        <v>11</v>
      </c>
      <c r="C71" s="156" t="str">
        <f>'RFPR cover'!$C$14</f>
        <v>£m 12/13</v>
      </c>
      <c r="D71" s="145">
        <f>SUM(D69:D70)</f>
        <v>4.2163547226112712</v>
      </c>
      <c r="E71" s="146">
        <f t="shared" ref="E71:K71" si="23">SUM(E69:E70)</f>
        <v>-11.026391842186456</v>
      </c>
      <c r="F71" s="146">
        <f t="shared" si="23"/>
        <v>-19.045242113045767</v>
      </c>
      <c r="G71" s="146">
        <f t="shared" si="23"/>
        <v>25.26953240948523</v>
      </c>
      <c r="H71" s="146">
        <f t="shared" si="23"/>
        <v>9.0848081205408491</v>
      </c>
      <c r="I71" s="146">
        <f t="shared" si="23"/>
        <v>16.318365346137359</v>
      </c>
      <c r="J71" s="146">
        <f t="shared" si="23"/>
        <v>25.496309935594709</v>
      </c>
      <c r="K71" s="146">
        <f t="shared" si="23"/>
        <v>-20.01987370375938</v>
      </c>
      <c r="L71" s="145">
        <f>SUM(D71:INDEX(D71:K71,0,MATCH('RFPR cover'!$C$7,$D$6:$K$6,0)))</f>
        <v>50.313736579137199</v>
      </c>
      <c r="M71" s="147">
        <f>SUM(D71:K71)</f>
        <v>30.293862875377819</v>
      </c>
    </row>
    <row r="72" spans="1:20">
      <c r="A72" s="35"/>
      <c r="B72" s="777"/>
      <c r="C72" s="156"/>
      <c r="D72" s="156"/>
      <c r="E72" s="156"/>
      <c r="F72" s="156"/>
      <c r="G72" s="156"/>
      <c r="H72" s="156"/>
      <c r="I72" s="156"/>
      <c r="J72" s="156"/>
      <c r="K72" s="156"/>
      <c r="L72" s="156"/>
      <c r="M72" s="156"/>
    </row>
    <row r="73" spans="1:20">
      <c r="A73" s="35"/>
      <c r="B73" s="769"/>
    </row>
    <row r="74" spans="1:20">
      <c r="A74" s="35"/>
      <c r="B74" s="772" t="s">
        <v>214</v>
      </c>
      <c r="C74" s="150"/>
      <c r="D74" s="81"/>
      <c r="E74" s="81"/>
      <c r="F74" s="81"/>
      <c r="G74" s="81"/>
      <c r="H74" s="81"/>
      <c r="I74" s="81"/>
      <c r="J74" s="81"/>
      <c r="K74" s="81"/>
      <c r="L74" s="81"/>
      <c r="M74" s="81"/>
      <c r="N74" s="81"/>
    </row>
    <row r="75" spans="1:20">
      <c r="A75" s="35"/>
      <c r="B75" s="368" t="s">
        <v>213</v>
      </c>
      <c r="C75" s="367"/>
      <c r="D75" s="367"/>
      <c r="E75" s="367"/>
      <c r="F75" s="367"/>
      <c r="G75" s="367"/>
      <c r="H75" s="367"/>
      <c r="I75" s="367"/>
      <c r="J75" s="367"/>
      <c r="K75" s="367"/>
      <c r="L75" s="367"/>
      <c r="M75" s="367"/>
      <c r="N75" s="367"/>
    </row>
    <row r="76" spans="1:20" s="35" customFormat="1">
      <c r="B76" s="428"/>
      <c r="C76" s="372"/>
      <c r="D76" s="372"/>
      <c r="E76" s="372"/>
      <c r="F76" s="372"/>
      <c r="G76" s="372"/>
      <c r="H76" s="372"/>
      <c r="I76" s="372"/>
      <c r="J76" s="372"/>
      <c r="K76" s="372"/>
      <c r="L76" s="372"/>
      <c r="M76" s="372"/>
      <c r="N76" s="372"/>
    </row>
    <row r="77" spans="1:20">
      <c r="A77" s="35"/>
      <c r="B77" s="776" t="s">
        <v>217</v>
      </c>
      <c r="C77" s="155" t="str">
        <f>'RFPR cover'!$C$14</f>
        <v>£m 12/13</v>
      </c>
      <c r="D77" s="662">
        <f>INDEX(Data!$C$119:$L$146,MATCH('RFPR cover'!$C$5,Data!$B$119:$B$146,0),MATCH('R4 - Totex'!D$6,Data!$C$118:$L$118,0))</f>
        <v>5.3762701961708466</v>
      </c>
      <c r="E77" s="663">
        <f>INDEX(Data!$C$119:$L$146,MATCH('RFPR cover'!$C$5,Data!$B$119:$B$146,0),MATCH('R4 - Totex'!E$6,Data!$C$118:$L$118,0))</f>
        <v>5.3775969760840585</v>
      </c>
      <c r="F77" s="663">
        <f>INDEX(Data!$C$119:$L$146,MATCH('RFPR cover'!$C$5,Data!$B$119:$B$146,0),MATCH('R4 - Totex'!F$6,Data!$C$118:$L$118,0))</f>
        <v>5.2618102801807671</v>
      </c>
      <c r="G77" s="663">
        <f>INDEX(Data!$C$119:$L$146,MATCH('RFPR cover'!$C$5,Data!$B$119:$B$146,0),MATCH('R4 - Totex'!G$6,Data!$C$118:$L$118,0))</f>
        <v>5.360849180672294</v>
      </c>
      <c r="H77" s="663">
        <f>INDEX(Data!$C$119:$L$146,MATCH('RFPR cover'!$C$5,Data!$B$119:$B$146,0),MATCH('R4 - Totex'!H$6,Data!$C$118:$L$118,0))</f>
        <v>5.2665238228731912</v>
      </c>
      <c r="I77" s="663">
        <f>INDEX(Data!$C$119:$L$146,MATCH('RFPR cover'!$C$5,Data!$B$119:$B$146,0),MATCH('R4 - Totex'!I$6,Data!$C$118:$L$118,0))</f>
        <v>5.3271179030285305</v>
      </c>
      <c r="J77" s="663">
        <f>INDEX(Data!$C$119:$L$146,MATCH('RFPR cover'!$C$5,Data!$B$119:$B$146,0),MATCH('R4 - Totex'!J$6,Data!$C$118:$L$118,0))</f>
        <v>5.3223294006601192</v>
      </c>
      <c r="K77" s="664">
        <f>INDEX(Data!$C$119:$L$146,MATCH('RFPR cover'!$C$5,Data!$B$119:$B$146,0),MATCH('R4 - Totex'!K$6,Data!$C$118:$L$118,0))</f>
        <v>5.5699880746272257</v>
      </c>
      <c r="L77" s="98">
        <f>SUM(D77:INDEX(D77:K77,0,MATCH('RFPR cover'!$C$7,$D$6:$K$6,0)))</f>
        <v>37.2924977596698</v>
      </c>
      <c r="M77" s="100">
        <f>SUM(D77:K77)</f>
        <v>42.862485834297026</v>
      </c>
    </row>
    <row r="78" spans="1:20">
      <c r="A78" s="35"/>
      <c r="B78" s="225" t="s">
        <v>201</v>
      </c>
      <c r="C78" s="155" t="s">
        <v>7</v>
      </c>
      <c r="D78" s="882">
        <f>IF(INDEX(Data!$J$73:$J$100,MATCH('RFPR cover'!$C$5,Data!$B$73:$B$100,0),0)="Pre",INDEX(Data!$G$18:$G$27,MATCH('R4 - Totex'!D$6,Data!$C$18:$C$27,0),0),"n/a")</f>
        <v>0.2</v>
      </c>
      <c r="E78" s="882">
        <f>IF(INDEX(Data!$J$73:$J$100,MATCH('RFPR cover'!$C$5,Data!$B$73:$B$100,0),0)="Pre",INDEX(Data!$G$18:$G$27,MATCH('R4 - Totex'!E$6,Data!$C$18:$C$27,0),0),"n/a")</f>
        <v>0.2</v>
      </c>
      <c r="F78" s="882">
        <f>IF(INDEX(Data!$J$73:$J$100,MATCH('RFPR cover'!$C$5,Data!$B$73:$B$100,0),0)="Pre",INDEX(Data!$G$18:$G$27,MATCH('R4 - Totex'!F$6,Data!$C$18:$C$27,0),0),"n/a")</f>
        <v>0.19</v>
      </c>
      <c r="G78" s="882">
        <f>IF(INDEX(Data!$J$73:$J$100,MATCH('RFPR cover'!$C$5,Data!$B$73:$B$100,0),0)="Pre",INDEX(Data!$G$18:$G$27,MATCH('R4 - Totex'!G$6,Data!$C$18:$C$27,0),0),"n/a")</f>
        <v>0.19</v>
      </c>
      <c r="H78" s="882">
        <f>IF(INDEX(Data!$J$73:$J$100,MATCH('RFPR cover'!$C$5,Data!$B$73:$B$100,0),0)="Pre",INDEX(Data!$G$18:$G$27,MATCH('R4 - Totex'!H$6,Data!$C$18:$C$27,0),0),"n/a")</f>
        <v>0.19</v>
      </c>
      <c r="I78" s="882">
        <f>IF(INDEX(Data!$J$73:$J$100,MATCH('RFPR cover'!$C$5,Data!$B$73:$B$100,0),0)="Pre",INDEX(Data!$G$18:$G$27,MATCH('R4 - Totex'!I$6,Data!$C$18:$C$27,0),0),"n/a")</f>
        <v>0.19</v>
      </c>
      <c r="J78" s="882">
        <f>IF(INDEX(Data!$J$73:$J$100,MATCH('RFPR cover'!$C$5,Data!$B$73:$B$100,0),0)="Pre",INDEX(Data!$G$18:$G$27,MATCH('R4 - Totex'!J$6,Data!$C$18:$C$27,0),0),"n/a")</f>
        <v>0.19</v>
      </c>
      <c r="K78" s="882">
        <f>IF(INDEX(Data!$J$73:$J$100,MATCH('RFPR cover'!$C$5,Data!$B$73:$B$100,0),0)="Pre",INDEX(Data!$G$18:$G$27,MATCH('R4 - Totex'!K$6,Data!$C$18:$C$27,0),0),"n/a")</f>
        <v>0.19</v>
      </c>
      <c r="L78" s="880"/>
      <c r="M78" s="881"/>
    </row>
    <row r="79" spans="1:20">
      <c r="A79" s="35"/>
      <c r="B79" s="225" t="s">
        <v>210</v>
      </c>
      <c r="C79" s="155" t="str">
        <f>'RFPR cover'!$C$14</f>
        <v>£m 12/13</v>
      </c>
      <c r="D79" s="609">
        <f>IF(ISNUMBER(D78),D77*(1-D78),D77)</f>
        <v>4.3010161569366776</v>
      </c>
      <c r="E79" s="610">
        <f t="shared" ref="E79:K79" si="24">IF(ISNUMBER(E78),E77*(1-E78),E77)</f>
        <v>4.3020775808672473</v>
      </c>
      <c r="F79" s="610">
        <f t="shared" si="24"/>
        <v>4.2620663269464218</v>
      </c>
      <c r="G79" s="610">
        <f t="shared" si="24"/>
        <v>4.3422878363445587</v>
      </c>
      <c r="H79" s="610">
        <f t="shared" si="24"/>
        <v>4.2658842965272852</v>
      </c>
      <c r="I79" s="610">
        <f t="shared" si="24"/>
        <v>4.3149655014531101</v>
      </c>
      <c r="J79" s="610">
        <f t="shared" si="24"/>
        <v>4.311086814534697</v>
      </c>
      <c r="K79" s="611">
        <f t="shared" si="24"/>
        <v>4.5116903404480535</v>
      </c>
      <c r="L79" s="668">
        <f>SUM(D79:INDEX(D79:K79,0,MATCH('RFPR cover'!$C$7,$D$6:$K$6,0)))</f>
        <v>30.099384513609994</v>
      </c>
      <c r="M79" s="669">
        <f>SUM(D79:K79)</f>
        <v>34.611074854058046</v>
      </c>
    </row>
    <row r="80" spans="1:20">
      <c r="A80" s="35"/>
      <c r="B80" s="225"/>
      <c r="C80" s="66"/>
      <c r="D80" s="282"/>
      <c r="E80" s="282"/>
      <c r="F80" s="282"/>
      <c r="G80" s="282"/>
      <c r="H80" s="282"/>
      <c r="I80" s="282"/>
      <c r="J80" s="282"/>
      <c r="K80" s="282"/>
      <c r="L80" s="283"/>
      <c r="M80" s="283"/>
    </row>
    <row r="81" spans="1:20">
      <c r="A81" s="35"/>
      <c r="B81" s="225"/>
      <c r="C81" s="66"/>
      <c r="D81" s="282"/>
      <c r="E81" s="282"/>
      <c r="F81" s="282"/>
      <c r="G81" s="282"/>
      <c r="H81" s="282"/>
      <c r="I81" s="282"/>
      <c r="J81" s="282"/>
      <c r="K81" s="282"/>
      <c r="L81" s="283"/>
      <c r="M81" s="283"/>
    </row>
    <row r="82" spans="1:20">
      <c r="A82" s="35"/>
      <c r="B82" s="225"/>
      <c r="C82" s="66"/>
      <c r="D82" s="282"/>
      <c r="E82" s="282"/>
      <c r="F82" s="282"/>
      <c r="G82" s="282"/>
      <c r="H82" s="282"/>
      <c r="I82" s="282"/>
      <c r="J82" s="282"/>
      <c r="K82" s="282"/>
      <c r="L82" s="283"/>
      <c r="M82" s="283"/>
    </row>
    <row r="83" spans="1:20">
      <c r="A83" s="35"/>
      <c r="B83" s="769"/>
    </row>
    <row r="84" spans="1:20">
      <c r="A84" s="35"/>
      <c r="B84" s="771" t="s">
        <v>187</v>
      </c>
      <c r="C84" s="291"/>
      <c r="D84" s="293"/>
      <c r="E84" s="293"/>
      <c r="F84" s="293"/>
      <c r="G84" s="293"/>
      <c r="H84" s="293"/>
      <c r="I84" s="293"/>
      <c r="J84" s="293"/>
      <c r="K84" s="293"/>
      <c r="L84" s="293"/>
      <c r="M84" s="293"/>
      <c r="N84" s="293"/>
    </row>
    <row r="85" spans="1:20">
      <c r="A85" s="35"/>
      <c r="B85" s="777"/>
    </row>
    <row r="86" spans="1:20">
      <c r="A86" s="35"/>
      <c r="B86" s="776" t="str">
        <f>Data!B34</f>
        <v>Financial Year Average RPI (RPIt)</v>
      </c>
      <c r="C86" s="136" t="s">
        <v>127</v>
      </c>
      <c r="D86" s="112">
        <f>Data!C$34</f>
        <v>1.0603167467048125</v>
      </c>
      <c r="E86" s="113">
        <f>Data!D$34</f>
        <v>1.0830366813119445</v>
      </c>
      <c r="F86" s="113">
        <f>Data!E$34</f>
        <v>1.1235639113109226</v>
      </c>
      <c r="G86" s="113">
        <f>Data!F$34</f>
        <v>1.1578951670583426</v>
      </c>
      <c r="H86" s="113">
        <f>Data!G$34</f>
        <v>1.1878696229692449</v>
      </c>
      <c r="I86" s="113">
        <f>Data!H$34</f>
        <v>1.2022764892203943</v>
      </c>
      <c r="J86" s="113">
        <f>Data!I$34</f>
        <v>1.2717196280780627</v>
      </c>
      <c r="K86" s="114">
        <f>Data!J$34</f>
        <v>1.3772723572085417</v>
      </c>
    </row>
    <row r="87" spans="1:20">
      <c r="A87" s="35"/>
      <c r="B87" s="776"/>
      <c r="D87" s="136"/>
      <c r="E87" s="136"/>
      <c r="F87" s="136"/>
      <c r="G87" s="136"/>
      <c r="H87" s="136"/>
      <c r="I87" s="136"/>
      <c r="J87" s="136"/>
      <c r="K87" s="136"/>
    </row>
    <row r="88" spans="1:20">
      <c r="A88" s="35"/>
      <c r="B88" s="772" t="str">
        <f>B10</f>
        <v>Totex</v>
      </c>
      <c r="C88" s="150"/>
      <c r="D88" s="82"/>
      <c r="E88" s="82"/>
      <c r="F88" s="82"/>
      <c r="G88" s="82"/>
      <c r="H88" s="82"/>
      <c r="I88" s="82"/>
      <c r="J88" s="82"/>
      <c r="K88" s="82"/>
      <c r="L88" s="82"/>
      <c r="M88" s="82"/>
      <c r="N88" s="82"/>
    </row>
    <row r="89" spans="1:20" s="35" customFormat="1">
      <c r="B89" s="773"/>
      <c r="C89" s="138"/>
      <c r="D89" s="320"/>
      <c r="E89" s="320"/>
      <c r="F89" s="320"/>
      <c r="G89" s="320"/>
      <c r="H89" s="320"/>
      <c r="I89" s="320"/>
      <c r="J89" s="320"/>
      <c r="K89" s="320"/>
      <c r="L89" s="320"/>
      <c r="M89" s="320"/>
      <c r="N89" s="320"/>
    </row>
    <row r="90" spans="1:20">
      <c r="A90" s="35"/>
      <c r="B90" s="305" t="s">
        <v>34</v>
      </c>
      <c r="C90" s="155" t="s">
        <v>128</v>
      </c>
      <c r="D90" s="671">
        <f t="shared" ref="D90:K91" si="25">D12*D$86</f>
        <v>223.14820000000003</v>
      </c>
      <c r="E90" s="671">
        <f t="shared" si="25"/>
        <v>261.06150000000002</v>
      </c>
      <c r="F90" s="671">
        <f t="shared" si="25"/>
        <v>233.60579999999996</v>
      </c>
      <c r="G90" s="671">
        <f t="shared" si="25"/>
        <v>222.07969999999992</v>
      </c>
      <c r="H90" s="671">
        <f t="shared" si="25"/>
        <v>242.66581793423148</v>
      </c>
      <c r="I90" s="671">
        <f t="shared" si="25"/>
        <v>236.18711318183878</v>
      </c>
      <c r="J90" s="671">
        <f t="shared" si="25"/>
        <v>238.37711022269144</v>
      </c>
      <c r="K90" s="671">
        <f t="shared" si="25"/>
        <v>329.03350692462101</v>
      </c>
      <c r="L90" s="670">
        <f>SUM(D90:INDEX(D90:K90,0,MATCH('RFPR cover'!$C$7,$D$6:$K$6,0)))</f>
        <v>1657.1252413387617</v>
      </c>
      <c r="M90" s="671">
        <f>SUM(D90:K90)</f>
        <v>1986.1587482633827</v>
      </c>
      <c r="N90" s="63"/>
      <c r="O90" s="63"/>
    </row>
    <row r="91" spans="1:20" ht="25.2">
      <c r="A91" s="35"/>
      <c r="B91" s="774" t="s">
        <v>197</v>
      </c>
      <c r="C91" s="155" t="s">
        <v>128</v>
      </c>
      <c r="D91" s="671">
        <f t="shared" si="25"/>
        <v>227.6188715224327</v>
      </c>
      <c r="E91" s="671">
        <f t="shared" si="25"/>
        <v>233.18128279116112</v>
      </c>
      <c r="F91" s="671">
        <f t="shared" si="25"/>
        <v>237.43560388330437</v>
      </c>
      <c r="G91" s="671">
        <f t="shared" si="25"/>
        <v>248.13931033386478</v>
      </c>
      <c r="H91" s="671">
        <f t="shared" si="25"/>
        <v>249.61860171878476</v>
      </c>
      <c r="I91" s="671">
        <f t="shared" si="25"/>
        <v>252.10328859320975</v>
      </c>
      <c r="J91" s="671">
        <f t="shared" si="25"/>
        <v>266.8235341821765</v>
      </c>
      <c r="K91" s="671">
        <f t="shared" si="25"/>
        <v>302.61362534640989</v>
      </c>
      <c r="L91" s="672">
        <f>SUM(D91:INDEX(D91:K91,0,MATCH('RFPR cover'!$C$7,$D$6:$K$6,0)))</f>
        <v>1714.9204930249339</v>
      </c>
      <c r="M91" s="673">
        <f>SUM(D91:K91)</f>
        <v>2017.5341183713438</v>
      </c>
      <c r="N91" s="63"/>
      <c r="O91" s="63"/>
    </row>
    <row r="92" spans="1:20">
      <c r="A92" s="35"/>
      <c r="B92" s="775" t="s">
        <v>195</v>
      </c>
      <c r="C92" s="155" t="s">
        <v>128</v>
      </c>
      <c r="D92" s="102">
        <f>D91-D90</f>
        <v>4.4706715224326672</v>
      </c>
      <c r="E92" s="103">
        <f t="shared" ref="E92:M92" si="26">E91-E90</f>
        <v>-27.8802172088389</v>
      </c>
      <c r="F92" s="103">
        <f t="shared" si="26"/>
        <v>3.8298038833044075</v>
      </c>
      <c r="G92" s="103">
        <f t="shared" si="26"/>
        <v>26.059610333864867</v>
      </c>
      <c r="H92" s="103">
        <f t="shared" si="26"/>
        <v>6.9527837845532758</v>
      </c>
      <c r="I92" s="103">
        <f t="shared" si="26"/>
        <v>15.916175411370972</v>
      </c>
      <c r="J92" s="103">
        <f t="shared" si="26"/>
        <v>28.44642395948506</v>
      </c>
      <c r="K92" s="104">
        <f t="shared" si="26"/>
        <v>-26.419881578211118</v>
      </c>
      <c r="L92" s="102">
        <f t="shared" si="26"/>
        <v>57.795251686172151</v>
      </c>
      <c r="M92" s="104">
        <f t="shared" si="26"/>
        <v>31.375370107961089</v>
      </c>
      <c r="N92" s="63"/>
      <c r="O92" s="1027"/>
      <c r="P92" s="1027"/>
      <c r="Q92" s="1027"/>
      <c r="R92"/>
      <c r="S92"/>
      <c r="T92"/>
    </row>
    <row r="93" spans="1:20" ht="13.2">
      <c r="A93" s="35"/>
      <c r="B93" s="775"/>
      <c r="C93" s="155"/>
      <c r="D93" s="59"/>
      <c r="E93" s="59"/>
      <c r="F93" s="59"/>
      <c r="G93" s="59"/>
      <c r="H93" s="59"/>
      <c r="I93" s="59"/>
      <c r="J93" s="59"/>
      <c r="K93" s="59"/>
      <c r="L93" s="59"/>
      <c r="M93" s="59"/>
      <c r="O93" s="64"/>
      <c r="P93" s="64"/>
      <c r="Q93" s="64"/>
      <c r="R93"/>
      <c r="S93"/>
      <c r="T93"/>
    </row>
    <row r="94" spans="1:20">
      <c r="A94" s="35"/>
      <c r="B94" s="769" t="s">
        <v>178</v>
      </c>
      <c r="C94" s="136" t="s">
        <v>7</v>
      </c>
      <c r="D94" s="109">
        <f>1-INDEX(Data!$D$73:$D$100,MATCH('RFPR cover'!$C$5,Data!$B$73:$B$100,0),0)</f>
        <v>0.30000000000000004</v>
      </c>
      <c r="E94" s="110">
        <f>1-INDEX(Data!$D$73:$D$100,MATCH('RFPR cover'!$C$5,Data!$B$73:$B$100,0),0)</f>
        <v>0.30000000000000004</v>
      </c>
      <c r="F94" s="110">
        <f>1-INDEX(Data!$D$73:$D$100,MATCH('RFPR cover'!$C$5,Data!$B$73:$B$100,0),0)</f>
        <v>0.30000000000000004</v>
      </c>
      <c r="G94" s="110">
        <f>1-INDEX(Data!$D$73:$D$100,MATCH('RFPR cover'!$C$5,Data!$B$73:$B$100,0),0)</f>
        <v>0.30000000000000004</v>
      </c>
      <c r="H94" s="110">
        <f>1-INDEX(Data!$D$73:$D$100,MATCH('RFPR cover'!$C$5,Data!$B$73:$B$100,0),0)</f>
        <v>0.30000000000000004</v>
      </c>
      <c r="I94" s="110">
        <f>1-INDEX(Data!$D$73:$D$100,MATCH('RFPR cover'!$C$5,Data!$B$73:$B$100,0),0)</f>
        <v>0.30000000000000004</v>
      </c>
      <c r="J94" s="110">
        <f>1-INDEX(Data!$D$73:$D$100,MATCH('RFPR cover'!$C$5,Data!$B$73:$B$100,0),0)</f>
        <v>0.30000000000000004</v>
      </c>
      <c r="K94" s="111">
        <f>1-INDEX(Data!$D$73:$D$100,MATCH('RFPR cover'!$C$5,Data!$B$73:$B$100,0),0)</f>
        <v>0.30000000000000004</v>
      </c>
      <c r="L94" s="62"/>
      <c r="M94" s="62"/>
      <c r="O94"/>
      <c r="P94"/>
      <c r="Q94"/>
      <c r="R94"/>
      <c r="S94"/>
      <c r="T94"/>
    </row>
    <row r="95" spans="1:20">
      <c r="A95" s="35"/>
      <c r="B95" s="769"/>
      <c r="O95"/>
      <c r="P95"/>
      <c r="Q95"/>
      <c r="R95"/>
      <c r="S95"/>
      <c r="T95"/>
    </row>
    <row r="96" spans="1:20">
      <c r="A96" s="35"/>
      <c r="B96" s="776" t="s">
        <v>183</v>
      </c>
      <c r="C96" s="155" t="s">
        <v>128</v>
      </c>
      <c r="D96" s="95">
        <f>D92*D94</f>
        <v>1.3412014567298003</v>
      </c>
      <c r="E96" s="96">
        <f t="shared" ref="E96:K96" si="27">E92*E94</f>
        <v>-8.3640651626516718</v>
      </c>
      <c r="F96" s="96">
        <f t="shared" si="27"/>
        <v>1.1489411649913224</v>
      </c>
      <c r="G96" s="96">
        <f t="shared" si="27"/>
        <v>7.8178831001594613</v>
      </c>
      <c r="H96" s="96">
        <f t="shared" si="27"/>
        <v>2.0858351353659832</v>
      </c>
      <c r="I96" s="96">
        <f t="shared" si="27"/>
        <v>4.7748526234112925</v>
      </c>
      <c r="J96" s="96">
        <f t="shared" si="27"/>
        <v>8.533927187845519</v>
      </c>
      <c r="K96" s="96">
        <f t="shared" si="27"/>
        <v>-7.9259644734633365</v>
      </c>
      <c r="L96" s="95">
        <f>SUM(D96:INDEX(D96:K96,0,MATCH('RFPR cover'!$C$7,$D$6:$K$6,0)))</f>
        <v>17.338575505851708</v>
      </c>
      <c r="M96" s="97">
        <f>SUM(D96:K96)</f>
        <v>9.4126110323883712</v>
      </c>
      <c r="O96"/>
      <c r="P96"/>
      <c r="Q96"/>
      <c r="R96"/>
      <c r="S96"/>
      <c r="T96"/>
    </row>
    <row r="97" spans="1:20">
      <c r="A97" s="35"/>
      <c r="B97" s="776" t="s">
        <v>280</v>
      </c>
      <c r="C97" s="155" t="s">
        <v>128</v>
      </c>
      <c r="D97" s="92">
        <f>D92*(1-D94)</f>
        <v>3.1294700657028667</v>
      </c>
      <c r="E97" s="93">
        <f t="shared" ref="E97:K97" si="28">E92*(1-E94)</f>
        <v>-19.51615204618723</v>
      </c>
      <c r="F97" s="93">
        <f t="shared" si="28"/>
        <v>2.6808627183130849</v>
      </c>
      <c r="G97" s="93">
        <f t="shared" si="28"/>
        <v>18.241727233705404</v>
      </c>
      <c r="H97" s="93">
        <f t="shared" si="28"/>
        <v>4.8669486491872931</v>
      </c>
      <c r="I97" s="93">
        <f t="shared" si="28"/>
        <v>11.14132278795968</v>
      </c>
      <c r="J97" s="93">
        <f t="shared" si="28"/>
        <v>19.912496771639539</v>
      </c>
      <c r="K97" s="93">
        <f t="shared" si="28"/>
        <v>-18.49391710474778</v>
      </c>
      <c r="L97" s="92">
        <f>SUM(D97:INDEX(D97:K97,0,MATCH('RFPR cover'!$C$7,$D$6:$K$6,0)))</f>
        <v>40.456676180320642</v>
      </c>
      <c r="M97" s="94">
        <f>SUM(D97:K97)</f>
        <v>21.962759075572862</v>
      </c>
      <c r="O97"/>
      <c r="P97"/>
      <c r="Q97"/>
      <c r="R97"/>
      <c r="S97"/>
      <c r="T97"/>
    </row>
    <row r="98" spans="1:20">
      <c r="A98" s="35"/>
      <c r="B98" s="769"/>
      <c r="O98"/>
      <c r="P98"/>
      <c r="Q98"/>
      <c r="R98"/>
      <c r="S98"/>
      <c r="T98"/>
    </row>
    <row r="99" spans="1:20">
      <c r="A99" s="35"/>
      <c r="B99" s="777" t="s">
        <v>182</v>
      </c>
      <c r="N99" s="63"/>
      <c r="O99"/>
      <c r="P99"/>
      <c r="Q99"/>
      <c r="R99"/>
      <c r="S99"/>
      <c r="T99"/>
    </row>
    <row r="100" spans="1:20">
      <c r="A100" s="269" t="s">
        <v>151</v>
      </c>
      <c r="B100" s="225" t="str">
        <f t="shared" ref="B100:B105" si="29">B22</f>
        <v>Pensions prepayment (See Appendices within RFPR commentary documentation)</v>
      </c>
      <c r="C100" s="155" t="s">
        <v>128</v>
      </c>
      <c r="D100" s="591">
        <f t="shared" ref="D100:K105" si="30">D22*D$86</f>
        <v>0</v>
      </c>
      <c r="E100" s="591">
        <f t="shared" si="30"/>
        <v>15.938230381232177</v>
      </c>
      <c r="F100" s="591">
        <f t="shared" si="30"/>
        <v>-15.396172761025372</v>
      </c>
      <c r="G100" s="591">
        <f t="shared" si="30"/>
        <v>-0.54205762020680481</v>
      </c>
      <c r="H100" s="591">
        <f t="shared" si="30"/>
        <v>0</v>
      </c>
      <c r="I100" s="591">
        <f t="shared" si="30"/>
        <v>0</v>
      </c>
      <c r="J100" s="591">
        <f t="shared" si="30"/>
        <v>0</v>
      </c>
      <c r="K100" s="591">
        <f t="shared" si="30"/>
        <v>0</v>
      </c>
      <c r="L100" s="583">
        <f>SUM(D100:INDEX(D100:K100,0,MATCH('RFPR cover'!$C$7,$D$6:$K$6,0)))</f>
        <v>0</v>
      </c>
      <c r="M100" s="584">
        <f t="shared" ref="M100:M106" si="31">SUM(D100:K100)</f>
        <v>0</v>
      </c>
      <c r="N100" s="63"/>
      <c r="O100"/>
      <c r="P100"/>
      <c r="Q100"/>
      <c r="R100"/>
      <c r="S100"/>
      <c r="T100"/>
    </row>
    <row r="101" spans="1:20">
      <c r="A101" s="269" t="s">
        <v>152</v>
      </c>
      <c r="B101" s="225" t="str">
        <f t="shared" si="29"/>
        <v>Rail Electrification (See Appendices within RFRS commentary documentation)</v>
      </c>
      <c r="C101" s="155" t="s">
        <v>128</v>
      </c>
      <c r="D101" s="591">
        <f t="shared" si="30"/>
        <v>0</v>
      </c>
      <c r="E101" s="591">
        <f t="shared" si="30"/>
        <v>0</v>
      </c>
      <c r="F101" s="591">
        <f t="shared" si="30"/>
        <v>-9.8321778426762236</v>
      </c>
      <c r="G101" s="591">
        <f t="shared" si="30"/>
        <v>3.7419167371090447</v>
      </c>
      <c r="H101" s="591">
        <f t="shared" si="30"/>
        <v>3.838783812341505</v>
      </c>
      <c r="I101" s="591">
        <f t="shared" si="30"/>
        <v>3.703011586798814</v>
      </c>
      <c r="J101" s="591">
        <f t="shared" si="30"/>
        <v>2.9162771080362644</v>
      </c>
      <c r="K101" s="591">
        <f t="shared" si="30"/>
        <v>-4.2497117519127512</v>
      </c>
      <c r="L101" s="587">
        <f>SUM(D101:INDEX(D101:K101,0,MATCH('RFPR cover'!$C$7,$D$6:$K$6,0)))</f>
        <v>4.367811401609405</v>
      </c>
      <c r="M101" s="588">
        <f t="shared" si="31"/>
        <v>0.11809964969665376</v>
      </c>
      <c r="N101" s="63"/>
      <c r="O101"/>
      <c r="P101"/>
      <c r="Q101"/>
      <c r="R101"/>
      <c r="S101"/>
      <c r="T101"/>
    </row>
    <row r="102" spans="1:20">
      <c r="A102" s="269" t="s">
        <v>153</v>
      </c>
      <c r="B102" s="225" t="str">
        <f t="shared" si="29"/>
        <v>TIM neutral and Smart meter adjustments to Totex allowance</v>
      </c>
      <c r="C102" s="155" t="s">
        <v>128</v>
      </c>
      <c r="D102" s="591">
        <f t="shared" si="30"/>
        <v>0</v>
      </c>
      <c r="E102" s="591">
        <f t="shared" si="30"/>
        <v>0</v>
      </c>
      <c r="F102" s="591">
        <f t="shared" si="30"/>
        <v>0</v>
      </c>
      <c r="G102" s="591">
        <f t="shared" si="30"/>
        <v>0</v>
      </c>
      <c r="H102" s="591">
        <f t="shared" si="30"/>
        <v>0</v>
      </c>
      <c r="I102" s="591">
        <f t="shared" si="30"/>
        <v>0</v>
      </c>
      <c r="J102" s="591">
        <f t="shared" si="30"/>
        <v>1.0614567211362009</v>
      </c>
      <c r="K102" s="591">
        <f t="shared" si="30"/>
        <v>3.096774683129889</v>
      </c>
      <c r="L102" s="587">
        <f>SUM(D102:INDEX(D102:K102,0,MATCH('RFPR cover'!$C$7,$D$6:$K$6,0)))</f>
        <v>1.0614567211362009</v>
      </c>
      <c r="M102" s="588">
        <f t="shared" si="31"/>
        <v>4.1582314042660897</v>
      </c>
      <c r="N102" s="63"/>
      <c r="O102"/>
      <c r="P102"/>
      <c r="Q102"/>
      <c r="R102"/>
      <c r="S102" s="65"/>
      <c r="T102"/>
    </row>
    <row r="103" spans="1:20">
      <c r="A103" s="269" t="s">
        <v>168</v>
      </c>
      <c r="B103" s="225" t="str">
        <f t="shared" si="29"/>
        <v>TIM neutral Green recovery adjustment to Totex allowance</v>
      </c>
      <c r="C103" s="155" t="s">
        <v>128</v>
      </c>
      <c r="D103" s="591">
        <f t="shared" si="30"/>
        <v>0</v>
      </c>
      <c r="E103" s="591">
        <f t="shared" si="30"/>
        <v>0</v>
      </c>
      <c r="F103" s="591">
        <f t="shared" si="30"/>
        <v>0</v>
      </c>
      <c r="G103" s="591">
        <f t="shared" si="30"/>
        <v>0</v>
      </c>
      <c r="H103" s="591">
        <f t="shared" si="30"/>
        <v>0</v>
      </c>
      <c r="I103" s="591">
        <f t="shared" si="30"/>
        <v>0</v>
      </c>
      <c r="J103" s="591">
        <f t="shared" si="30"/>
        <v>0</v>
      </c>
      <c r="K103" s="591">
        <f t="shared" si="30"/>
        <v>0</v>
      </c>
      <c r="L103" s="587">
        <f>SUM(D103:INDEX(D103:K103,0,MATCH('RFPR cover'!$C$7,$D$6:$K$6,0)))</f>
        <v>0</v>
      </c>
      <c r="M103" s="588">
        <f t="shared" si="31"/>
        <v>0</v>
      </c>
      <c r="N103" s="63"/>
      <c r="O103"/>
      <c r="P103"/>
      <c r="Q103"/>
      <c r="R103"/>
      <c r="S103"/>
      <c r="T103"/>
    </row>
    <row r="104" spans="1:20">
      <c r="A104" s="269" t="s">
        <v>169</v>
      </c>
      <c r="B104" s="225" t="str">
        <f t="shared" si="29"/>
        <v>[Enduring Value adjustment]</v>
      </c>
      <c r="C104" s="155" t="s">
        <v>128</v>
      </c>
      <c r="D104" s="591">
        <f t="shared" si="30"/>
        <v>0</v>
      </c>
      <c r="E104" s="591">
        <f t="shared" si="30"/>
        <v>0</v>
      </c>
      <c r="F104" s="591">
        <f t="shared" si="30"/>
        <v>0</v>
      </c>
      <c r="G104" s="591">
        <f t="shared" si="30"/>
        <v>0</v>
      </c>
      <c r="H104" s="591">
        <f t="shared" si="30"/>
        <v>0</v>
      </c>
      <c r="I104" s="591">
        <f t="shared" si="30"/>
        <v>0</v>
      </c>
      <c r="J104" s="591">
        <f t="shared" si="30"/>
        <v>0</v>
      </c>
      <c r="K104" s="591">
        <f t="shared" si="30"/>
        <v>0</v>
      </c>
      <c r="L104" s="587">
        <f>SUM(D104:INDEX(D104:K104,0,MATCH('RFPR cover'!$C$7,$D$6:$K$6,0)))</f>
        <v>0</v>
      </c>
      <c r="M104" s="588">
        <f t="shared" si="31"/>
        <v>0</v>
      </c>
      <c r="N104" s="63"/>
      <c r="O104"/>
      <c r="P104"/>
      <c r="Q104"/>
      <c r="R104"/>
      <c r="S104"/>
      <c r="T104"/>
    </row>
    <row r="105" spans="1:20">
      <c r="A105" s="269" t="s">
        <v>170</v>
      </c>
      <c r="B105" s="225" t="str">
        <f t="shared" si="29"/>
        <v>[Enduring Value adjustment]</v>
      </c>
      <c r="C105" s="155" t="s">
        <v>128</v>
      </c>
      <c r="D105" s="591">
        <f t="shared" si="30"/>
        <v>0</v>
      </c>
      <c r="E105" s="591">
        <f t="shared" si="30"/>
        <v>0</v>
      </c>
      <c r="F105" s="591">
        <f t="shared" si="30"/>
        <v>0</v>
      </c>
      <c r="G105" s="591">
        <f t="shared" si="30"/>
        <v>0</v>
      </c>
      <c r="H105" s="591">
        <f t="shared" si="30"/>
        <v>0</v>
      </c>
      <c r="I105" s="591">
        <f t="shared" si="30"/>
        <v>0</v>
      </c>
      <c r="J105" s="591">
        <f t="shared" si="30"/>
        <v>0</v>
      </c>
      <c r="K105" s="591">
        <f t="shared" si="30"/>
        <v>0</v>
      </c>
      <c r="L105" s="591">
        <f>SUM(D105:INDEX(D105:K105,0,MATCH('RFPR cover'!$C$7,$D$6:$K$6,0)))</f>
        <v>0</v>
      </c>
      <c r="M105" s="592">
        <f t="shared" si="31"/>
        <v>0</v>
      </c>
      <c r="N105" s="63"/>
      <c r="O105"/>
      <c r="P105"/>
      <c r="Q105"/>
      <c r="R105"/>
      <c r="S105"/>
      <c r="T105"/>
    </row>
    <row r="106" spans="1:20">
      <c r="A106" s="35"/>
      <c r="B106" s="777" t="s">
        <v>190</v>
      </c>
      <c r="C106" s="155" t="s">
        <v>128</v>
      </c>
      <c r="D106" s="102">
        <f>SUM(D100:D105)</f>
        <v>0</v>
      </c>
      <c r="E106" s="103">
        <f t="shared" ref="E106:K106" si="32">SUM(E100:E105)</f>
        <v>15.938230381232177</v>
      </c>
      <c r="F106" s="103">
        <f t="shared" si="32"/>
        <v>-25.228350603701596</v>
      </c>
      <c r="G106" s="103">
        <f t="shared" si="32"/>
        <v>3.1998591169022399</v>
      </c>
      <c r="H106" s="103">
        <f t="shared" si="32"/>
        <v>3.838783812341505</v>
      </c>
      <c r="I106" s="103">
        <f t="shared" si="32"/>
        <v>3.703011586798814</v>
      </c>
      <c r="J106" s="103">
        <f t="shared" si="32"/>
        <v>3.9777338291724655</v>
      </c>
      <c r="K106" s="104">
        <f t="shared" si="32"/>
        <v>-1.1529370687828622</v>
      </c>
      <c r="L106" s="102">
        <f>SUM(D106:INDEX(D106:K106,0,MATCH('RFPR cover'!$C$7,$D$6:$K$6,0)))</f>
        <v>5.4292681227456061</v>
      </c>
      <c r="M106" s="104">
        <f t="shared" si="31"/>
        <v>4.2763310539627444</v>
      </c>
      <c r="N106" s="63"/>
    </row>
    <row r="107" spans="1:20">
      <c r="A107" s="35"/>
      <c r="B107" s="769"/>
    </row>
    <row r="108" spans="1:20">
      <c r="A108" s="35"/>
      <c r="B108" s="776" t="s">
        <v>198</v>
      </c>
      <c r="C108" s="155" t="s">
        <v>128</v>
      </c>
      <c r="D108" s="95">
        <f t="shared" ref="D108:K108" si="33">D106*D94</f>
        <v>0</v>
      </c>
      <c r="E108" s="96">
        <f t="shared" si="33"/>
        <v>4.7814691143696537</v>
      </c>
      <c r="F108" s="96">
        <f t="shared" si="33"/>
        <v>-7.5685051811104795</v>
      </c>
      <c r="G108" s="96">
        <f t="shared" si="33"/>
        <v>0.95995773507067206</v>
      </c>
      <c r="H108" s="96">
        <f t="shared" si="33"/>
        <v>1.1516351437024517</v>
      </c>
      <c r="I108" s="96">
        <f t="shared" si="33"/>
        <v>1.1109034760396443</v>
      </c>
      <c r="J108" s="96">
        <f t="shared" si="33"/>
        <v>1.1933201487517398</v>
      </c>
      <c r="K108" s="96">
        <f t="shared" si="33"/>
        <v>-0.34588112063485871</v>
      </c>
      <c r="L108" s="95">
        <f>SUM(D108:INDEX(D108:K108,0,MATCH('RFPR cover'!$C$7,$D$6:$K$6,0)))</f>
        <v>1.628780436823682</v>
      </c>
      <c r="M108" s="97">
        <f>SUM(D108:K108)</f>
        <v>1.2828993161888234</v>
      </c>
    </row>
    <row r="109" spans="1:20">
      <c r="A109" s="35"/>
      <c r="B109" s="776" t="s">
        <v>309</v>
      </c>
      <c r="C109" s="155" t="s">
        <v>128</v>
      </c>
      <c r="D109" s="92">
        <f t="shared" ref="D109:K109" si="34">D106*(1-D94)</f>
        <v>0</v>
      </c>
      <c r="E109" s="93">
        <f t="shared" si="34"/>
        <v>11.156761266862523</v>
      </c>
      <c r="F109" s="93">
        <f t="shared" si="34"/>
        <v>-17.659845422591115</v>
      </c>
      <c r="G109" s="93">
        <f t="shared" si="34"/>
        <v>2.2399013818315678</v>
      </c>
      <c r="H109" s="93">
        <f t="shared" si="34"/>
        <v>2.6871486686390536</v>
      </c>
      <c r="I109" s="93">
        <f t="shared" si="34"/>
        <v>2.5921081107591695</v>
      </c>
      <c r="J109" s="93">
        <f t="shared" si="34"/>
        <v>2.7844136804207258</v>
      </c>
      <c r="K109" s="93">
        <f t="shared" si="34"/>
        <v>-0.80705594814800352</v>
      </c>
      <c r="L109" s="92">
        <f>SUM(D109:INDEX(D109:K109,0,MATCH('RFPR cover'!$C$7,$D$6:$K$6,0)))</f>
        <v>3.8004876859219245</v>
      </c>
      <c r="M109" s="94">
        <f>SUM(D109:K109)</f>
        <v>2.9934317377739212</v>
      </c>
    </row>
    <row r="110" spans="1:20">
      <c r="A110" s="35"/>
      <c r="B110" s="769"/>
    </row>
    <row r="111" spans="1:20">
      <c r="A111" s="35"/>
      <c r="B111" s="777" t="s">
        <v>181</v>
      </c>
    </row>
    <row r="112" spans="1:20">
      <c r="A112" s="35"/>
      <c r="B112" s="769" t="s">
        <v>180</v>
      </c>
      <c r="C112" s="155" t="s">
        <v>128</v>
      </c>
      <c r="D112" s="95">
        <f>D96+D108</f>
        <v>1.3412014567298003</v>
      </c>
      <c r="E112" s="96">
        <f t="shared" ref="E112:K112" si="35">E96+E108</f>
        <v>-3.5825960482820181</v>
      </c>
      <c r="F112" s="96">
        <f t="shared" si="35"/>
        <v>-6.4195640161191569</v>
      </c>
      <c r="G112" s="96">
        <f t="shared" si="35"/>
        <v>8.7778408352301334</v>
      </c>
      <c r="H112" s="96">
        <f t="shared" si="35"/>
        <v>3.2374702790684351</v>
      </c>
      <c r="I112" s="96">
        <f t="shared" si="35"/>
        <v>5.885756099450937</v>
      </c>
      <c r="J112" s="96">
        <f t="shared" si="35"/>
        <v>9.7272473365972587</v>
      </c>
      <c r="K112" s="96">
        <f t="shared" si="35"/>
        <v>-8.2718455940981954</v>
      </c>
      <c r="L112" s="95">
        <f>SUM(D112:INDEX(D112:K112,0,MATCH('RFPR cover'!$C$7,$D$6:$K$6,0)))</f>
        <v>18.96735594267539</v>
      </c>
      <c r="M112" s="97">
        <f>SUM(D112:K112)</f>
        <v>10.695510348577194</v>
      </c>
    </row>
    <row r="113" spans="1:20">
      <c r="A113" s="35"/>
      <c r="B113" s="769" t="s">
        <v>280</v>
      </c>
      <c r="C113" s="155" t="s">
        <v>128</v>
      </c>
      <c r="D113" s="520">
        <f>D97+D109</f>
        <v>3.1294700657028667</v>
      </c>
      <c r="E113" s="521">
        <f t="shared" ref="E113:K113" si="36">E97+E109</f>
        <v>-8.3593907793247073</v>
      </c>
      <c r="F113" s="521">
        <f t="shared" si="36"/>
        <v>-14.97898270427803</v>
      </c>
      <c r="G113" s="521">
        <f t="shared" si="36"/>
        <v>20.481628615536973</v>
      </c>
      <c r="H113" s="521">
        <f t="shared" si="36"/>
        <v>7.5540973178263471</v>
      </c>
      <c r="I113" s="521">
        <f t="shared" si="36"/>
        <v>13.733430898718851</v>
      </c>
      <c r="J113" s="521">
        <f t="shared" si="36"/>
        <v>22.696910452060266</v>
      </c>
      <c r="K113" s="521">
        <f t="shared" si="36"/>
        <v>-19.300973052895785</v>
      </c>
      <c r="L113" s="520">
        <f>SUM(D113:INDEX(D113:K113,0,MATCH('RFPR cover'!$C$7,$D$6:$K$6,0)))</f>
        <v>44.257163866242564</v>
      </c>
      <c r="M113" s="522">
        <f>SUM(D113:K113)</f>
        <v>24.95619081334678</v>
      </c>
    </row>
    <row r="114" spans="1:20">
      <c r="A114" s="35"/>
      <c r="B114" s="777" t="s">
        <v>11</v>
      </c>
      <c r="C114" s="156" t="s">
        <v>128</v>
      </c>
      <c r="D114" s="145">
        <f>SUM(D112:D113)</f>
        <v>4.4706715224326672</v>
      </c>
      <c r="E114" s="146">
        <f t="shared" ref="E114:K114" si="37">SUM(E112:E113)</f>
        <v>-11.941986827606726</v>
      </c>
      <c r="F114" s="146">
        <f t="shared" si="37"/>
        <v>-21.398546720397185</v>
      </c>
      <c r="G114" s="146">
        <f t="shared" si="37"/>
        <v>29.259469450767106</v>
      </c>
      <c r="H114" s="146">
        <f t="shared" si="37"/>
        <v>10.791567596894783</v>
      </c>
      <c r="I114" s="146">
        <f t="shared" si="37"/>
        <v>19.619186998169788</v>
      </c>
      <c r="J114" s="146">
        <f t="shared" si="37"/>
        <v>32.424157788657524</v>
      </c>
      <c r="K114" s="146">
        <f t="shared" si="37"/>
        <v>-27.57281864699398</v>
      </c>
      <c r="L114" s="145">
        <f>SUM(D114:INDEX(D114:K114,0,MATCH('RFPR cover'!$C$7,$D$6:$K$6,0)))</f>
        <v>63.224519808917961</v>
      </c>
      <c r="M114" s="147">
        <f>SUM(D114:K114)</f>
        <v>35.651701161923981</v>
      </c>
    </row>
    <row r="115" spans="1:20">
      <c r="A115" s="35"/>
      <c r="B115" s="769"/>
    </row>
    <row r="116" spans="1:20">
      <c r="A116" s="35"/>
      <c r="B116" s="772" t="str">
        <f>B38</f>
        <v>n/a</v>
      </c>
      <c r="C116" s="150"/>
      <c r="D116" s="82"/>
      <c r="E116" s="82"/>
      <c r="F116" s="82"/>
      <c r="G116" s="82"/>
      <c r="H116" s="82"/>
      <c r="I116" s="82"/>
      <c r="J116" s="82"/>
      <c r="K116" s="82"/>
      <c r="L116" s="82"/>
      <c r="M116" s="82"/>
      <c r="N116" s="82"/>
    </row>
    <row r="117" spans="1:20" s="35" customFormat="1">
      <c r="B117" s="770"/>
      <c r="C117" s="138"/>
      <c r="D117" s="320"/>
      <c r="E117" s="320"/>
      <c r="F117" s="320"/>
      <c r="G117" s="320"/>
      <c r="H117" s="320"/>
      <c r="I117" s="320"/>
      <c r="J117" s="320"/>
      <c r="K117" s="320"/>
      <c r="L117" s="320"/>
      <c r="M117" s="320"/>
      <c r="N117" s="320"/>
    </row>
    <row r="118" spans="1:20">
      <c r="A118" s="35"/>
      <c r="B118" s="305" t="s">
        <v>34</v>
      </c>
      <c r="C118" s="155" t="s">
        <v>128</v>
      </c>
      <c r="D118" s="670">
        <f t="shared" ref="D118:K119" si="38">D40*D$86</f>
        <v>0</v>
      </c>
      <c r="E118" s="670">
        <f t="shared" si="38"/>
        <v>0</v>
      </c>
      <c r="F118" s="670">
        <f t="shared" si="38"/>
        <v>0</v>
      </c>
      <c r="G118" s="670">
        <f t="shared" si="38"/>
        <v>0</v>
      </c>
      <c r="H118" s="670">
        <f t="shared" si="38"/>
        <v>0</v>
      </c>
      <c r="I118" s="670">
        <f t="shared" si="38"/>
        <v>0</v>
      </c>
      <c r="J118" s="670">
        <f t="shared" si="38"/>
        <v>0</v>
      </c>
      <c r="K118" s="670">
        <f t="shared" si="38"/>
        <v>0</v>
      </c>
      <c r="L118" s="670">
        <f>SUM(D118:INDEX(D118:K118,0,MATCH('RFPR cover'!$C$7,$D$6:$K$6,0)))</f>
        <v>0</v>
      </c>
      <c r="M118" s="671">
        <f>SUM(D118:K118)</f>
        <v>0</v>
      </c>
      <c r="N118" s="63"/>
      <c r="O118" s="63"/>
    </row>
    <row r="119" spans="1:20" ht="25.2">
      <c r="A119" s="35"/>
      <c r="B119" s="774" t="s">
        <v>197</v>
      </c>
      <c r="C119" s="155" t="s">
        <v>128</v>
      </c>
      <c r="D119" s="670">
        <f t="shared" si="38"/>
        <v>0</v>
      </c>
      <c r="E119" s="670">
        <f t="shared" si="38"/>
        <v>0</v>
      </c>
      <c r="F119" s="670">
        <f t="shared" si="38"/>
        <v>0</v>
      </c>
      <c r="G119" s="670">
        <f t="shared" si="38"/>
        <v>0</v>
      </c>
      <c r="H119" s="670">
        <f t="shared" si="38"/>
        <v>0</v>
      </c>
      <c r="I119" s="670">
        <f t="shared" si="38"/>
        <v>0</v>
      </c>
      <c r="J119" s="670">
        <f t="shared" si="38"/>
        <v>0</v>
      </c>
      <c r="K119" s="670">
        <f t="shared" si="38"/>
        <v>0</v>
      </c>
      <c r="L119" s="672">
        <f>SUM(D119:INDEX(D119:K119,0,MATCH('RFPR cover'!$C$7,$D$6:$K$6,0)))</f>
        <v>0</v>
      </c>
      <c r="M119" s="673">
        <f>SUM(D119:K119)</f>
        <v>0</v>
      </c>
      <c r="N119" s="63"/>
      <c r="O119" s="63"/>
    </row>
    <row r="120" spans="1:20">
      <c r="A120" s="35"/>
      <c r="B120" s="775" t="s">
        <v>195</v>
      </c>
      <c r="C120" s="155" t="s">
        <v>128</v>
      </c>
      <c r="D120" s="102">
        <f>D119-D118</f>
        <v>0</v>
      </c>
      <c r="E120" s="103">
        <f t="shared" ref="E120:M120" si="39">E119-E118</f>
        <v>0</v>
      </c>
      <c r="F120" s="103">
        <f t="shared" si="39"/>
        <v>0</v>
      </c>
      <c r="G120" s="103">
        <f t="shared" si="39"/>
        <v>0</v>
      </c>
      <c r="H120" s="103">
        <f t="shared" si="39"/>
        <v>0</v>
      </c>
      <c r="I120" s="103">
        <f t="shared" si="39"/>
        <v>0</v>
      </c>
      <c r="J120" s="103">
        <f t="shared" si="39"/>
        <v>0</v>
      </c>
      <c r="K120" s="103">
        <f t="shared" si="39"/>
        <v>0</v>
      </c>
      <c r="L120" s="102">
        <f t="shared" si="39"/>
        <v>0</v>
      </c>
      <c r="M120" s="104">
        <f t="shared" si="39"/>
        <v>0</v>
      </c>
      <c r="N120" s="63"/>
      <c r="O120" s="1027"/>
      <c r="P120" s="1027"/>
      <c r="Q120" s="1027"/>
      <c r="R120"/>
      <c r="S120"/>
      <c r="T120"/>
    </row>
    <row r="121" spans="1:20" ht="13.2">
      <c r="A121" s="35"/>
      <c r="B121" s="775"/>
      <c r="C121" s="155"/>
      <c r="D121" s="59"/>
      <c r="E121" s="59"/>
      <c r="F121" s="59"/>
      <c r="G121" s="59"/>
      <c r="H121" s="59"/>
      <c r="I121" s="59"/>
      <c r="J121" s="59"/>
      <c r="K121" s="59"/>
      <c r="L121" s="59"/>
      <c r="M121" s="59"/>
      <c r="O121" s="64"/>
      <c r="P121" s="64"/>
      <c r="Q121" s="64"/>
      <c r="R121"/>
      <c r="S121"/>
      <c r="T121"/>
    </row>
    <row r="122" spans="1:20">
      <c r="A122" s="35"/>
      <c r="B122" s="769" t="s">
        <v>178</v>
      </c>
      <c r="C122" s="136" t="s">
        <v>7</v>
      </c>
      <c r="D122" s="109">
        <f>1-INDEX(Data!$D$73:$D$100,MATCH('RFPR cover'!$C$5,Data!$B$73:$B$100,0),0)</f>
        <v>0.30000000000000004</v>
      </c>
      <c r="E122" s="110">
        <f>1-INDEX(Data!$D$73:$D$100,MATCH('RFPR cover'!$C$5,Data!$B$73:$B$100,0),0)</f>
        <v>0.30000000000000004</v>
      </c>
      <c r="F122" s="110">
        <f>1-INDEX(Data!$D$73:$D$100,MATCH('RFPR cover'!$C$5,Data!$B$73:$B$100,0),0)</f>
        <v>0.30000000000000004</v>
      </c>
      <c r="G122" s="110">
        <f>1-INDEX(Data!$D$73:$D$100,MATCH('RFPR cover'!$C$5,Data!$B$73:$B$100,0),0)</f>
        <v>0.30000000000000004</v>
      </c>
      <c r="H122" s="110">
        <f>1-INDEX(Data!$D$73:$D$100,MATCH('RFPR cover'!$C$5,Data!$B$73:$B$100,0),0)</f>
        <v>0.30000000000000004</v>
      </c>
      <c r="I122" s="110">
        <f>1-INDEX(Data!$D$73:$D$100,MATCH('RFPR cover'!$C$5,Data!$B$73:$B$100,0),0)</f>
        <v>0.30000000000000004</v>
      </c>
      <c r="J122" s="110">
        <f>1-INDEX(Data!$D$73:$D$100,MATCH('RFPR cover'!$C$5,Data!$B$73:$B$100,0),0)</f>
        <v>0.30000000000000004</v>
      </c>
      <c r="K122" s="111">
        <f>1-INDEX(Data!$D$73:$D$100,MATCH('RFPR cover'!$C$5,Data!$B$73:$B$100,0),0)</f>
        <v>0.30000000000000004</v>
      </c>
      <c r="L122" s="62"/>
      <c r="M122" s="62"/>
      <c r="O122"/>
      <c r="P122"/>
      <c r="Q122"/>
      <c r="R122"/>
      <c r="S122"/>
      <c r="T122"/>
    </row>
    <row r="123" spans="1:20">
      <c r="A123" s="35"/>
      <c r="B123" s="769"/>
      <c r="O123"/>
      <c r="P123"/>
      <c r="Q123"/>
      <c r="R123"/>
      <c r="S123"/>
      <c r="T123"/>
    </row>
    <row r="124" spans="1:20">
      <c r="A124" s="35"/>
      <c r="B124" s="776" t="s">
        <v>183</v>
      </c>
      <c r="C124" s="159" t="s">
        <v>128</v>
      </c>
      <c r="D124" s="95">
        <f>D120*D122</f>
        <v>0</v>
      </c>
      <c r="E124" s="96">
        <f t="shared" ref="E124:K124" si="40">E120*E122</f>
        <v>0</v>
      </c>
      <c r="F124" s="96">
        <f t="shared" si="40"/>
        <v>0</v>
      </c>
      <c r="G124" s="96">
        <f t="shared" si="40"/>
        <v>0</v>
      </c>
      <c r="H124" s="96">
        <f t="shared" si="40"/>
        <v>0</v>
      </c>
      <c r="I124" s="96">
        <f t="shared" si="40"/>
        <v>0</v>
      </c>
      <c r="J124" s="96">
        <f t="shared" si="40"/>
        <v>0</v>
      </c>
      <c r="K124" s="96">
        <f t="shared" si="40"/>
        <v>0</v>
      </c>
      <c r="L124" s="95">
        <f>SUM(D124:INDEX(D124:K124,0,MATCH('RFPR cover'!$C$7,$D$6:$K$6,0)))</f>
        <v>0</v>
      </c>
      <c r="M124" s="97">
        <f>SUM(D124:K124)</f>
        <v>0</v>
      </c>
      <c r="O124"/>
      <c r="P124"/>
      <c r="Q124"/>
      <c r="R124"/>
      <c r="S124"/>
      <c r="T124"/>
    </row>
    <row r="125" spans="1:20">
      <c r="A125" s="35"/>
      <c r="B125" s="776" t="s">
        <v>179</v>
      </c>
      <c r="C125" s="159" t="s">
        <v>128</v>
      </c>
      <c r="D125" s="92">
        <f>D120*(1-D122)</f>
        <v>0</v>
      </c>
      <c r="E125" s="93">
        <f t="shared" ref="E125:K125" si="41">E120*(1-E122)</f>
        <v>0</v>
      </c>
      <c r="F125" s="93">
        <f t="shared" si="41"/>
        <v>0</v>
      </c>
      <c r="G125" s="93">
        <f t="shared" si="41"/>
        <v>0</v>
      </c>
      <c r="H125" s="93">
        <f t="shared" si="41"/>
        <v>0</v>
      </c>
      <c r="I125" s="93">
        <f t="shared" si="41"/>
        <v>0</v>
      </c>
      <c r="J125" s="93">
        <f t="shared" si="41"/>
        <v>0</v>
      </c>
      <c r="K125" s="93">
        <f t="shared" si="41"/>
        <v>0</v>
      </c>
      <c r="L125" s="92">
        <f>SUM(D125:INDEX(D125:K125,0,MATCH('RFPR cover'!$C$7,$D$6:$K$6,0)))</f>
        <v>0</v>
      </c>
      <c r="M125" s="94">
        <f>SUM(D125:K125)</f>
        <v>0</v>
      </c>
      <c r="O125"/>
      <c r="P125"/>
      <c r="Q125"/>
      <c r="R125"/>
      <c r="S125"/>
      <c r="T125"/>
    </row>
    <row r="126" spans="1:20">
      <c r="A126" s="35"/>
      <c r="B126" s="769"/>
      <c r="O126"/>
      <c r="P126"/>
      <c r="Q126"/>
      <c r="R126"/>
      <c r="S126"/>
      <c r="T126"/>
    </row>
    <row r="127" spans="1:20">
      <c r="A127" s="35"/>
      <c r="B127" s="777" t="s">
        <v>182</v>
      </c>
      <c r="N127" s="63"/>
      <c r="O127"/>
      <c r="P127"/>
      <c r="Q127"/>
      <c r="R127"/>
      <c r="S127"/>
      <c r="T127"/>
    </row>
    <row r="128" spans="1:20">
      <c r="A128" s="269" t="s">
        <v>151</v>
      </c>
      <c r="B128" s="225" t="str">
        <f t="shared" ref="B128:B133" si="42">B50</f>
        <v>[Enduring Value adjustment]</v>
      </c>
      <c r="C128" s="155" t="s">
        <v>128</v>
      </c>
      <c r="D128" s="583">
        <f t="shared" ref="D128:K133" si="43">D50*D$86</f>
        <v>0</v>
      </c>
      <c r="E128" s="583">
        <f t="shared" si="43"/>
        <v>0</v>
      </c>
      <c r="F128" s="583">
        <f t="shared" si="43"/>
        <v>0</v>
      </c>
      <c r="G128" s="583">
        <f t="shared" si="43"/>
        <v>0</v>
      </c>
      <c r="H128" s="583">
        <f t="shared" si="43"/>
        <v>0</v>
      </c>
      <c r="I128" s="583">
        <f t="shared" si="43"/>
        <v>0</v>
      </c>
      <c r="J128" s="583">
        <f t="shared" si="43"/>
        <v>0</v>
      </c>
      <c r="K128" s="583">
        <f t="shared" si="43"/>
        <v>0</v>
      </c>
      <c r="L128" s="583">
        <f>SUM(D128:INDEX(D128:K128,0,MATCH('RFPR cover'!$C$7,$D$6:$K$6,0)))</f>
        <v>0</v>
      </c>
      <c r="M128" s="584">
        <f t="shared" ref="M128:M134" si="44">SUM(D128:K128)</f>
        <v>0</v>
      </c>
      <c r="N128" s="63"/>
      <c r="O128"/>
      <c r="P128"/>
      <c r="Q128"/>
      <c r="R128"/>
      <c r="S128"/>
      <c r="T128"/>
    </row>
    <row r="129" spans="1:20">
      <c r="A129" s="269" t="s">
        <v>152</v>
      </c>
      <c r="B129" s="225" t="str">
        <f t="shared" si="42"/>
        <v>[Enduring Value adjustment]</v>
      </c>
      <c r="C129" s="155" t="s">
        <v>128</v>
      </c>
      <c r="D129" s="583">
        <f t="shared" si="43"/>
        <v>0</v>
      </c>
      <c r="E129" s="583">
        <f t="shared" si="43"/>
        <v>0</v>
      </c>
      <c r="F129" s="583">
        <f t="shared" si="43"/>
        <v>0</v>
      </c>
      <c r="G129" s="583">
        <f t="shared" si="43"/>
        <v>0</v>
      </c>
      <c r="H129" s="583">
        <f t="shared" si="43"/>
        <v>0</v>
      </c>
      <c r="I129" s="583">
        <f t="shared" si="43"/>
        <v>0</v>
      </c>
      <c r="J129" s="583">
        <f t="shared" si="43"/>
        <v>0</v>
      </c>
      <c r="K129" s="583">
        <f t="shared" si="43"/>
        <v>0</v>
      </c>
      <c r="L129" s="587">
        <f>SUM(D129:INDEX(D129:K129,0,MATCH('RFPR cover'!$C$7,$D$6:$K$6,0)))</f>
        <v>0</v>
      </c>
      <c r="M129" s="588">
        <f t="shared" si="44"/>
        <v>0</v>
      </c>
      <c r="N129" s="63"/>
      <c r="O129"/>
      <c r="P129"/>
      <c r="Q129"/>
      <c r="R129"/>
      <c r="S129"/>
      <c r="T129"/>
    </row>
    <row r="130" spans="1:20">
      <c r="A130" s="269" t="s">
        <v>153</v>
      </c>
      <c r="B130" s="225" t="str">
        <f t="shared" si="42"/>
        <v>[Enduring Value adjustment]</v>
      </c>
      <c r="C130" s="155" t="s">
        <v>128</v>
      </c>
      <c r="D130" s="583">
        <f t="shared" si="43"/>
        <v>0</v>
      </c>
      <c r="E130" s="583">
        <f t="shared" si="43"/>
        <v>0</v>
      </c>
      <c r="F130" s="583">
        <f t="shared" si="43"/>
        <v>0</v>
      </c>
      <c r="G130" s="583">
        <f t="shared" si="43"/>
        <v>0</v>
      </c>
      <c r="H130" s="583">
        <f t="shared" si="43"/>
        <v>0</v>
      </c>
      <c r="I130" s="583">
        <f t="shared" si="43"/>
        <v>0</v>
      </c>
      <c r="J130" s="583">
        <f t="shared" si="43"/>
        <v>0</v>
      </c>
      <c r="K130" s="583">
        <f t="shared" si="43"/>
        <v>0</v>
      </c>
      <c r="L130" s="587">
        <f>SUM(D130:INDEX(D130:K130,0,MATCH('RFPR cover'!$C$7,$D$6:$K$6,0)))</f>
        <v>0</v>
      </c>
      <c r="M130" s="588">
        <f t="shared" si="44"/>
        <v>0</v>
      </c>
      <c r="N130" s="63"/>
      <c r="O130"/>
      <c r="P130"/>
      <c r="Q130"/>
      <c r="R130"/>
      <c r="S130" s="65"/>
      <c r="T130"/>
    </row>
    <row r="131" spans="1:20">
      <c r="A131" s="269" t="s">
        <v>168</v>
      </c>
      <c r="B131" s="225" t="str">
        <f t="shared" si="42"/>
        <v>[Enduring Value adjustment]</v>
      </c>
      <c r="C131" s="155" t="s">
        <v>128</v>
      </c>
      <c r="D131" s="583">
        <f t="shared" si="43"/>
        <v>0</v>
      </c>
      <c r="E131" s="583">
        <f t="shared" si="43"/>
        <v>0</v>
      </c>
      <c r="F131" s="583">
        <f t="shared" si="43"/>
        <v>0</v>
      </c>
      <c r="G131" s="583">
        <f t="shared" si="43"/>
        <v>0</v>
      </c>
      <c r="H131" s="583">
        <f t="shared" si="43"/>
        <v>0</v>
      </c>
      <c r="I131" s="583">
        <f t="shared" si="43"/>
        <v>0</v>
      </c>
      <c r="J131" s="583">
        <f t="shared" si="43"/>
        <v>0</v>
      </c>
      <c r="K131" s="583">
        <f t="shared" si="43"/>
        <v>0</v>
      </c>
      <c r="L131" s="587">
        <f>SUM(D131:INDEX(D131:K131,0,MATCH('RFPR cover'!$C$7,$D$6:$K$6,0)))</f>
        <v>0</v>
      </c>
      <c r="M131" s="588">
        <f t="shared" si="44"/>
        <v>0</v>
      </c>
      <c r="N131" s="63"/>
      <c r="O131"/>
      <c r="P131"/>
      <c r="Q131"/>
      <c r="R131"/>
      <c r="S131"/>
      <c r="T131"/>
    </row>
    <row r="132" spans="1:20">
      <c r="A132" s="269" t="s">
        <v>169</v>
      </c>
      <c r="B132" s="225" t="str">
        <f t="shared" si="42"/>
        <v>[Enduring Value adjustment]</v>
      </c>
      <c r="C132" s="155" t="s">
        <v>128</v>
      </c>
      <c r="D132" s="583">
        <f t="shared" si="43"/>
        <v>0</v>
      </c>
      <c r="E132" s="583">
        <f t="shared" si="43"/>
        <v>0</v>
      </c>
      <c r="F132" s="583">
        <f t="shared" si="43"/>
        <v>0</v>
      </c>
      <c r="G132" s="583">
        <f t="shared" si="43"/>
        <v>0</v>
      </c>
      <c r="H132" s="583">
        <f t="shared" si="43"/>
        <v>0</v>
      </c>
      <c r="I132" s="583">
        <f t="shared" si="43"/>
        <v>0</v>
      </c>
      <c r="J132" s="583">
        <f t="shared" si="43"/>
        <v>0</v>
      </c>
      <c r="K132" s="583">
        <f t="shared" si="43"/>
        <v>0</v>
      </c>
      <c r="L132" s="587">
        <f>SUM(D132:INDEX(D132:K132,0,MATCH('RFPR cover'!$C$7,$D$6:$K$6,0)))</f>
        <v>0</v>
      </c>
      <c r="M132" s="588">
        <f t="shared" si="44"/>
        <v>0</v>
      </c>
      <c r="N132" s="63"/>
      <c r="O132"/>
      <c r="P132"/>
      <c r="Q132"/>
      <c r="R132"/>
      <c r="S132"/>
      <c r="T132"/>
    </row>
    <row r="133" spans="1:20">
      <c r="A133" s="269" t="s">
        <v>170</v>
      </c>
      <c r="B133" s="225" t="str">
        <f t="shared" si="42"/>
        <v>[Enduring Value adjustment]</v>
      </c>
      <c r="C133" s="155" t="s">
        <v>128</v>
      </c>
      <c r="D133" s="583">
        <f t="shared" si="43"/>
        <v>0</v>
      </c>
      <c r="E133" s="583">
        <f t="shared" si="43"/>
        <v>0</v>
      </c>
      <c r="F133" s="583">
        <f t="shared" si="43"/>
        <v>0</v>
      </c>
      <c r="G133" s="583">
        <f t="shared" si="43"/>
        <v>0</v>
      </c>
      <c r="H133" s="583">
        <f t="shared" si="43"/>
        <v>0</v>
      </c>
      <c r="I133" s="583">
        <f t="shared" si="43"/>
        <v>0</v>
      </c>
      <c r="J133" s="583">
        <f t="shared" si="43"/>
        <v>0</v>
      </c>
      <c r="K133" s="583">
        <f t="shared" si="43"/>
        <v>0</v>
      </c>
      <c r="L133" s="591">
        <f>SUM(D133:INDEX(D133:K133,0,MATCH('RFPR cover'!$C$7,$D$6:$K$6,0)))</f>
        <v>0</v>
      </c>
      <c r="M133" s="592">
        <f t="shared" si="44"/>
        <v>0</v>
      </c>
      <c r="N133" s="63"/>
      <c r="O133"/>
      <c r="P133"/>
      <c r="Q133"/>
      <c r="R133"/>
      <c r="S133"/>
      <c r="T133"/>
    </row>
    <row r="134" spans="1:20">
      <c r="A134" s="35"/>
      <c r="B134" s="777" t="s">
        <v>190</v>
      </c>
      <c r="C134" s="155" t="s">
        <v>128</v>
      </c>
      <c r="D134" s="102">
        <f>SUM(D128:D133)</f>
        <v>0</v>
      </c>
      <c r="E134" s="103">
        <f t="shared" ref="E134:K134" si="45">SUM(E128:E133)</f>
        <v>0</v>
      </c>
      <c r="F134" s="103">
        <f t="shared" si="45"/>
        <v>0</v>
      </c>
      <c r="G134" s="103">
        <f t="shared" si="45"/>
        <v>0</v>
      </c>
      <c r="H134" s="103">
        <f t="shared" si="45"/>
        <v>0</v>
      </c>
      <c r="I134" s="103">
        <f t="shared" si="45"/>
        <v>0</v>
      </c>
      <c r="J134" s="103">
        <f t="shared" si="45"/>
        <v>0</v>
      </c>
      <c r="K134" s="103">
        <f t="shared" si="45"/>
        <v>0</v>
      </c>
      <c r="L134" s="102">
        <f>SUM(D134:INDEX(D134:K134,0,MATCH('RFPR cover'!$C$7,$D$6:$K$6,0)))</f>
        <v>0</v>
      </c>
      <c r="M134" s="104">
        <f t="shared" si="44"/>
        <v>0</v>
      </c>
      <c r="N134" s="63"/>
    </row>
    <row r="135" spans="1:20">
      <c r="A135" s="35"/>
      <c r="B135" s="769"/>
    </row>
    <row r="136" spans="1:20">
      <c r="A136" s="35"/>
      <c r="B136" s="776" t="s">
        <v>198</v>
      </c>
      <c r="C136" s="159" t="s">
        <v>128</v>
      </c>
      <c r="D136" s="95">
        <f t="shared" ref="D136:K136" si="46">D134*D122</f>
        <v>0</v>
      </c>
      <c r="E136" s="96">
        <f t="shared" si="46"/>
        <v>0</v>
      </c>
      <c r="F136" s="96">
        <f t="shared" si="46"/>
        <v>0</v>
      </c>
      <c r="G136" s="96">
        <f t="shared" si="46"/>
        <v>0</v>
      </c>
      <c r="H136" s="96">
        <f t="shared" si="46"/>
        <v>0</v>
      </c>
      <c r="I136" s="96">
        <f t="shared" si="46"/>
        <v>0</v>
      </c>
      <c r="J136" s="96">
        <f t="shared" si="46"/>
        <v>0</v>
      </c>
      <c r="K136" s="96">
        <f t="shared" si="46"/>
        <v>0</v>
      </c>
      <c r="L136" s="95">
        <f>SUM(D136:INDEX(D136:K136,0,MATCH('RFPR cover'!$C$7,$D$6:$K$6,0)))</f>
        <v>0</v>
      </c>
      <c r="M136" s="97">
        <f>SUM(D136:K136)</f>
        <v>0</v>
      </c>
    </row>
    <row r="137" spans="1:20">
      <c r="A137" s="35"/>
      <c r="B137" s="776" t="s">
        <v>309</v>
      </c>
      <c r="C137" s="159" t="s">
        <v>128</v>
      </c>
      <c r="D137" s="92">
        <f t="shared" ref="D137:K137" si="47">D134*(1-D122)</f>
        <v>0</v>
      </c>
      <c r="E137" s="93">
        <f t="shared" si="47"/>
        <v>0</v>
      </c>
      <c r="F137" s="93">
        <f t="shared" si="47"/>
        <v>0</v>
      </c>
      <c r="G137" s="93">
        <f t="shared" si="47"/>
        <v>0</v>
      </c>
      <c r="H137" s="93">
        <f t="shared" si="47"/>
        <v>0</v>
      </c>
      <c r="I137" s="93">
        <f t="shared" si="47"/>
        <v>0</v>
      </c>
      <c r="J137" s="93">
        <f t="shared" si="47"/>
        <v>0</v>
      </c>
      <c r="K137" s="93">
        <f t="shared" si="47"/>
        <v>0</v>
      </c>
      <c r="L137" s="92">
        <f>SUM(D137:INDEX(D137:K137,0,MATCH('RFPR cover'!$C$7,$D$6:$K$6,0)))</f>
        <v>0</v>
      </c>
      <c r="M137" s="94">
        <f>SUM(D137:K137)</f>
        <v>0</v>
      </c>
    </row>
    <row r="138" spans="1:20">
      <c r="A138" s="35"/>
      <c r="B138" s="769"/>
    </row>
    <row r="139" spans="1:20">
      <c r="A139" s="35"/>
      <c r="B139" s="777" t="s">
        <v>181</v>
      </c>
    </row>
    <row r="140" spans="1:20">
      <c r="A140" s="35"/>
      <c r="B140" s="769" t="s">
        <v>180</v>
      </c>
      <c r="C140" s="155" t="s">
        <v>128</v>
      </c>
      <c r="D140" s="95">
        <f>D124+D136</f>
        <v>0</v>
      </c>
      <c r="E140" s="96">
        <f t="shared" ref="E140:K140" si="48">E124+E136</f>
        <v>0</v>
      </c>
      <c r="F140" s="96">
        <f t="shared" si="48"/>
        <v>0</v>
      </c>
      <c r="G140" s="96">
        <f t="shared" si="48"/>
        <v>0</v>
      </c>
      <c r="H140" s="96">
        <f t="shared" si="48"/>
        <v>0</v>
      </c>
      <c r="I140" s="96">
        <f t="shared" si="48"/>
        <v>0</v>
      </c>
      <c r="J140" s="96">
        <f t="shared" si="48"/>
        <v>0</v>
      </c>
      <c r="K140" s="96">
        <f t="shared" si="48"/>
        <v>0</v>
      </c>
      <c r="L140" s="95">
        <f>SUM(D140:INDEX(D140:K140,0,MATCH('RFPR cover'!$C$7,$D$6:$K$6,0)))</f>
        <v>0</v>
      </c>
      <c r="M140" s="97">
        <f>SUM(D140:K140)</f>
        <v>0</v>
      </c>
    </row>
    <row r="141" spans="1:20">
      <c r="A141" s="35"/>
      <c r="B141" s="769" t="s">
        <v>280</v>
      </c>
      <c r="C141" s="155" t="s">
        <v>128</v>
      </c>
      <c r="D141" s="98">
        <f>D125+D137</f>
        <v>0</v>
      </c>
      <c r="E141" s="99">
        <f t="shared" ref="E141:K141" si="49">E125+E137</f>
        <v>0</v>
      </c>
      <c r="F141" s="99">
        <f t="shared" si="49"/>
        <v>0</v>
      </c>
      <c r="G141" s="99">
        <f t="shared" si="49"/>
        <v>0</v>
      </c>
      <c r="H141" s="99">
        <f t="shared" si="49"/>
        <v>0</v>
      </c>
      <c r="I141" s="99">
        <f t="shared" si="49"/>
        <v>0</v>
      </c>
      <c r="J141" s="99">
        <f t="shared" si="49"/>
        <v>0</v>
      </c>
      <c r="K141" s="99">
        <f t="shared" si="49"/>
        <v>0</v>
      </c>
      <c r="L141" s="98">
        <f>SUM(D141:INDEX(D141:K141,0,MATCH('RFPR cover'!$C$7,$D$6:$K$6,0)))</f>
        <v>0</v>
      </c>
      <c r="M141" s="100">
        <f>SUM(D141:K141)</f>
        <v>0</v>
      </c>
    </row>
    <row r="142" spans="1:20">
      <c r="A142" s="35"/>
      <c r="B142" s="777" t="s">
        <v>11</v>
      </c>
      <c r="C142" s="156" t="s">
        <v>128</v>
      </c>
      <c r="D142" s="139">
        <f>SUM(D140:D141)</f>
        <v>0</v>
      </c>
      <c r="E142" s="140">
        <f t="shared" ref="E142:K142" si="50">SUM(E140:E141)</f>
        <v>0</v>
      </c>
      <c r="F142" s="140">
        <f t="shared" si="50"/>
        <v>0</v>
      </c>
      <c r="G142" s="140">
        <f t="shared" si="50"/>
        <v>0</v>
      </c>
      <c r="H142" s="140">
        <f t="shared" si="50"/>
        <v>0</v>
      </c>
      <c r="I142" s="140">
        <f t="shared" si="50"/>
        <v>0</v>
      </c>
      <c r="J142" s="140">
        <f t="shared" si="50"/>
        <v>0</v>
      </c>
      <c r="K142" s="140">
        <f t="shared" si="50"/>
        <v>0</v>
      </c>
      <c r="L142" s="139">
        <f>SUM(D142:INDEX(D142:K142,0,MATCH('RFPR cover'!$C$7,$D$6:$K$6,0)))</f>
        <v>0</v>
      </c>
      <c r="M142" s="141">
        <f>SUM(D142:K142)</f>
        <v>0</v>
      </c>
    </row>
    <row r="143" spans="1:20">
      <c r="A143" s="35"/>
      <c r="B143" s="777"/>
      <c r="C143" s="156"/>
      <c r="D143" s="156"/>
      <c r="E143" s="156"/>
      <c r="F143" s="156"/>
      <c r="G143" s="156"/>
      <c r="H143" s="156"/>
      <c r="I143" s="156"/>
      <c r="J143" s="156"/>
      <c r="K143" s="156"/>
      <c r="L143" s="156"/>
      <c r="M143" s="156"/>
    </row>
    <row r="144" spans="1:20">
      <c r="A144" s="35"/>
      <c r="B144" s="772" t="s">
        <v>257</v>
      </c>
      <c r="C144" s="150"/>
      <c r="D144" s="82"/>
      <c r="E144" s="82"/>
      <c r="F144" s="82"/>
      <c r="G144" s="82"/>
      <c r="H144" s="82"/>
      <c r="I144" s="82"/>
      <c r="J144" s="82"/>
      <c r="K144" s="82"/>
      <c r="L144" s="82"/>
      <c r="M144" s="82"/>
      <c r="N144" s="82"/>
    </row>
    <row r="145" spans="1:20">
      <c r="A145" s="35"/>
      <c r="B145" s="769"/>
      <c r="O145"/>
      <c r="P145"/>
      <c r="Q145"/>
      <c r="R145"/>
      <c r="S145"/>
      <c r="T145"/>
    </row>
    <row r="146" spans="1:20">
      <c r="A146" s="35"/>
      <c r="B146" s="777" t="s">
        <v>181</v>
      </c>
    </row>
    <row r="147" spans="1:20">
      <c r="A147" s="35"/>
      <c r="B147" s="769" t="s">
        <v>180</v>
      </c>
      <c r="C147" s="155" t="s">
        <v>128</v>
      </c>
      <c r="D147" s="95">
        <f>D112+D140</f>
        <v>1.3412014567298003</v>
      </c>
      <c r="E147" s="96">
        <f t="shared" ref="E147:K147" si="51">E112+E140</f>
        <v>-3.5825960482820181</v>
      </c>
      <c r="F147" s="96">
        <f t="shared" si="51"/>
        <v>-6.4195640161191569</v>
      </c>
      <c r="G147" s="96">
        <f t="shared" si="51"/>
        <v>8.7778408352301334</v>
      </c>
      <c r="H147" s="96">
        <f t="shared" si="51"/>
        <v>3.2374702790684351</v>
      </c>
      <c r="I147" s="96">
        <f t="shared" si="51"/>
        <v>5.885756099450937</v>
      </c>
      <c r="J147" s="96">
        <f t="shared" si="51"/>
        <v>9.7272473365972587</v>
      </c>
      <c r="K147" s="96">
        <f t="shared" si="51"/>
        <v>-8.2718455940981954</v>
      </c>
      <c r="L147" s="95">
        <f>SUM(D147:INDEX(D147:K147,0,MATCH('RFPR cover'!$C$7,$D$6:$K$6,0)))</f>
        <v>18.96735594267539</v>
      </c>
      <c r="M147" s="97">
        <f>SUM(D147:K147)</f>
        <v>10.695510348577194</v>
      </c>
    </row>
    <row r="148" spans="1:20">
      <c r="A148" s="35"/>
      <c r="B148" s="769" t="s">
        <v>280</v>
      </c>
      <c r="C148" s="155" t="s">
        <v>128</v>
      </c>
      <c r="D148" s="98">
        <f t="shared" ref="D148:K148" si="52">D113+D141</f>
        <v>3.1294700657028667</v>
      </c>
      <c r="E148" s="99">
        <f t="shared" si="52"/>
        <v>-8.3593907793247073</v>
      </c>
      <c r="F148" s="99">
        <f t="shared" si="52"/>
        <v>-14.97898270427803</v>
      </c>
      <c r="G148" s="99">
        <f t="shared" si="52"/>
        <v>20.481628615536973</v>
      </c>
      <c r="H148" s="99">
        <f t="shared" si="52"/>
        <v>7.5540973178263471</v>
      </c>
      <c r="I148" s="99">
        <f t="shared" si="52"/>
        <v>13.733430898718851</v>
      </c>
      <c r="J148" s="99">
        <f t="shared" si="52"/>
        <v>22.696910452060266</v>
      </c>
      <c r="K148" s="99">
        <f t="shared" si="52"/>
        <v>-19.300973052895785</v>
      </c>
      <c r="L148" s="98">
        <f>SUM(D148:INDEX(D148:K148,0,MATCH('RFPR cover'!$C$7,$D$6:$K$6,0)))</f>
        <v>44.257163866242564</v>
      </c>
      <c r="M148" s="100">
        <f>SUM(D148:K148)</f>
        <v>24.95619081334678</v>
      </c>
    </row>
    <row r="149" spans="1:20">
      <c r="A149" s="35"/>
      <c r="B149" s="777" t="s">
        <v>11</v>
      </c>
      <c r="C149" s="156" t="s">
        <v>128</v>
      </c>
      <c r="D149" s="139">
        <f>SUM(D147:D148)</f>
        <v>4.4706715224326672</v>
      </c>
      <c r="E149" s="140">
        <f t="shared" ref="E149:K149" si="53">SUM(E147:E148)</f>
        <v>-11.941986827606726</v>
      </c>
      <c r="F149" s="140">
        <f t="shared" si="53"/>
        <v>-21.398546720397185</v>
      </c>
      <c r="G149" s="140">
        <f t="shared" si="53"/>
        <v>29.259469450767106</v>
      </c>
      <c r="H149" s="140">
        <f t="shared" si="53"/>
        <v>10.791567596894783</v>
      </c>
      <c r="I149" s="140">
        <f t="shared" si="53"/>
        <v>19.619186998169788</v>
      </c>
      <c r="J149" s="140">
        <f t="shared" si="53"/>
        <v>32.424157788657524</v>
      </c>
      <c r="K149" s="140">
        <f t="shared" si="53"/>
        <v>-27.57281864699398</v>
      </c>
      <c r="L149" s="139">
        <f>SUM(D149:INDEX(D149:K149,0,MATCH('RFPR cover'!$C$7,$D$6:$K$6,0)))</f>
        <v>63.224519808917961</v>
      </c>
      <c r="M149" s="141">
        <f>SUM(D149:K149)</f>
        <v>35.651701161923981</v>
      </c>
    </row>
    <row r="150" spans="1:20">
      <c r="A150" s="35"/>
      <c r="B150" s="776"/>
      <c r="D150" s="136"/>
      <c r="E150" s="136"/>
      <c r="F150" s="136"/>
      <c r="G150" s="136"/>
      <c r="H150" s="136"/>
      <c r="I150" s="136"/>
      <c r="J150" s="136"/>
      <c r="K150" s="136"/>
    </row>
    <row r="151" spans="1:20">
      <c r="A151" s="35"/>
      <c r="B151" s="769"/>
    </row>
    <row r="152" spans="1:20">
      <c r="A152" s="82"/>
      <c r="B152" s="768"/>
      <c r="C152" s="150"/>
      <c r="D152" s="82"/>
      <c r="E152" s="82"/>
      <c r="F152" s="82"/>
      <c r="G152" s="82"/>
      <c r="H152" s="82"/>
      <c r="I152" s="82"/>
      <c r="J152" s="82"/>
      <c r="K152" s="82"/>
      <c r="L152" s="82"/>
      <c r="M152" s="82"/>
      <c r="N152" s="82"/>
    </row>
    <row r="153" spans="1:20">
      <c r="B153" s="769"/>
    </row>
    <row r="154" spans="1:20">
      <c r="B154" s="769"/>
    </row>
  </sheetData>
  <mergeCells count="3">
    <mergeCell ref="O42:Q42"/>
    <mergeCell ref="O92:Q92"/>
    <mergeCell ref="O120:Q120"/>
  </mergeCells>
  <conditionalFormatting sqref="D6:K6">
    <cfRule type="expression" dxfId="76" priority="7">
      <formula>AND(D$5="Actuals",E$5="Forecast")</formula>
    </cfRule>
  </conditionalFormatting>
  <conditionalFormatting sqref="B118:M142">
    <cfRule type="expression" dxfId="75" priority="3">
      <formula>$B$38="n/a"</formula>
    </cfRule>
  </conditionalFormatting>
  <conditionalFormatting sqref="D5:K5">
    <cfRule type="expression" dxfId="74" priority="2">
      <formula>AND(D$5="Actuals",E$5="Forecast")</formula>
    </cfRule>
  </conditionalFormatting>
  <conditionalFormatting sqref="B38:N64">
    <cfRule type="expression" dxfId="73"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AB114"/>
  <sheetViews>
    <sheetView showGridLines="0" zoomScale="60" zoomScaleNormal="60" workbookViewId="0">
      <pane ySplit="6" topLeftCell="A7" activePane="bottomLeft" state="frozen"/>
      <selection activeCell="D85" sqref="D85:N85"/>
      <selection pane="bottomLeft" activeCell="B8" sqref="B8"/>
    </sheetView>
  </sheetViews>
  <sheetFormatPr defaultRowHeight="12.6"/>
  <cols>
    <col min="1" max="1" width="8.36328125" customWidth="1"/>
    <col min="2" max="2" width="71.36328125" bestFit="1" customWidth="1"/>
    <col min="3" max="3" width="13.36328125" style="136" customWidth="1"/>
    <col min="4" max="11" width="11.08984375" customWidth="1"/>
    <col min="12" max="12" width="12.90625" customWidth="1"/>
    <col min="13" max="13" width="12.7265625" customWidth="1"/>
    <col min="14" max="14" width="5" customWidth="1"/>
  </cols>
  <sheetData>
    <row r="1" spans="1:28" s="37" customFormat="1" ht="21">
      <c r="A1" s="928" t="s">
        <v>262</v>
      </c>
      <c r="B1" s="929"/>
      <c r="C1" s="153"/>
      <c r="D1" s="131"/>
      <c r="E1" s="131"/>
      <c r="F1" s="131"/>
      <c r="G1" s="131"/>
      <c r="H1" s="131"/>
      <c r="I1" s="127"/>
      <c r="J1" s="127"/>
      <c r="K1" s="127"/>
      <c r="L1" s="127"/>
      <c r="M1" s="127"/>
      <c r="N1" s="128"/>
    </row>
    <row r="2" spans="1:28" s="37" customFormat="1" ht="21">
      <c r="A2" s="930" t="str">
        <f>'RFPR cover'!C5</f>
        <v>WPD-SWEST</v>
      </c>
      <c r="B2" s="931"/>
      <c r="C2" s="154"/>
      <c r="D2" s="36"/>
      <c r="E2" s="36"/>
      <c r="F2" s="36"/>
      <c r="G2" s="36"/>
      <c r="H2" s="36"/>
      <c r="I2" s="27"/>
      <c r="J2" s="27"/>
      <c r="K2" s="27"/>
      <c r="L2" s="27"/>
      <c r="M2" s="27"/>
      <c r="N2" s="123"/>
    </row>
    <row r="3" spans="1:28" s="37" customFormat="1" ht="21">
      <c r="A3" s="932">
        <f>'RFPR cover'!C7</f>
        <v>2022</v>
      </c>
      <c r="B3" s="933"/>
      <c r="C3" s="135"/>
      <c r="D3" s="132"/>
      <c r="E3" s="132"/>
      <c r="F3" s="132"/>
      <c r="G3" s="132"/>
      <c r="H3" s="132"/>
      <c r="I3" s="28"/>
      <c r="J3" s="28"/>
      <c r="K3" s="28"/>
      <c r="L3" s="28"/>
      <c r="M3" s="28"/>
      <c r="N3" s="125"/>
    </row>
    <row r="4" spans="1:28" s="2" customFormat="1" ht="12.75" customHeight="1">
      <c r="B4" s="3"/>
      <c r="C4" s="136"/>
    </row>
    <row r="5" spans="1:28" s="2" customFormat="1" ht="12.75" customHeigh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Forecast</v>
      </c>
    </row>
    <row r="6" spans="1:28" s="2" customFormat="1" ht="29.25" customHeigh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2022</v>
      </c>
      <c r="M6" s="119" t="s">
        <v>109</v>
      </c>
    </row>
    <row r="7" spans="1:28" s="2" customFormat="1">
      <c r="A7" s="35"/>
      <c r="C7" s="136"/>
    </row>
    <row r="8" spans="1:28" s="2" customFormat="1">
      <c r="A8" s="35"/>
      <c r="B8" s="116" t="s">
        <v>199</v>
      </c>
      <c r="C8" s="150"/>
      <c r="D8" s="81"/>
      <c r="E8" s="81"/>
      <c r="F8" s="81"/>
      <c r="G8" s="81"/>
      <c r="H8" s="81"/>
      <c r="I8" s="81"/>
      <c r="J8" s="81"/>
      <c r="K8" s="81"/>
      <c r="L8" s="81"/>
      <c r="M8" s="81"/>
      <c r="N8" s="81"/>
    </row>
    <row r="9" spans="1:28" s="2" customFormat="1">
      <c r="A9" s="35"/>
      <c r="B9" s="367" t="s">
        <v>390</v>
      </c>
      <c r="C9" s="367"/>
      <c r="D9" s="367"/>
      <c r="E9" s="367"/>
      <c r="F9" s="367"/>
      <c r="G9" s="367"/>
      <c r="H9" s="367"/>
      <c r="I9" s="367"/>
      <c r="J9" s="367"/>
      <c r="K9" s="367"/>
      <c r="L9" s="367"/>
      <c r="M9" s="367"/>
      <c r="N9" s="367"/>
      <c r="AA9" s="949"/>
    </row>
    <row r="10" spans="1:28" s="2" customFormat="1">
      <c r="A10" s="35"/>
      <c r="B10" s="12"/>
      <c r="C10" s="136"/>
    </row>
    <row r="11" spans="1:28" s="2" customFormat="1">
      <c r="A11" s="224" t="s">
        <v>151</v>
      </c>
      <c r="B11" s="35" t="str">
        <f>Data!B153</f>
        <v>Broad measure of customer service</v>
      </c>
      <c r="C11" s="155" t="str">
        <f>'RFPR cover'!$C$14</f>
        <v>£m 12/13</v>
      </c>
      <c r="D11" s="593">
        <v>3.7587605308654028</v>
      </c>
      <c r="E11" s="594">
        <v>3.8070000000000004</v>
      </c>
      <c r="F11" s="594">
        <v>3.8417355976878853</v>
      </c>
      <c r="G11" s="594">
        <v>3.9018000000000028</v>
      </c>
      <c r="H11" s="594">
        <v>3.1779999999999999</v>
      </c>
      <c r="I11" s="594">
        <v>3.1779999999999999</v>
      </c>
      <c r="J11" s="594">
        <v>3.0238000000000023</v>
      </c>
      <c r="K11" s="594">
        <v>3.1779999999999999</v>
      </c>
      <c r="L11" s="670">
        <f>SUM(D11:INDEX(D11:K11,0,MATCH('RFPR cover'!$C$7,$D$6:$K$6,0)))</f>
        <v>24.689096128553295</v>
      </c>
      <c r="M11" s="671">
        <f t="shared" ref="M11:M17" si="1">SUM(D11:K11)</f>
        <v>27.867096128553296</v>
      </c>
      <c r="O11" s="323"/>
      <c r="AA11" s="943"/>
      <c r="AB11" s="943"/>
    </row>
    <row r="12" spans="1:28" s="2" customFormat="1">
      <c r="A12" s="224" t="s">
        <v>152</v>
      </c>
      <c r="B12" s="35" t="str">
        <f>Data!B154</f>
        <v>Interruptions-related quality of service</v>
      </c>
      <c r="C12" s="155" t="str">
        <f>'RFPR cover'!$C$14</f>
        <v>£m 12/13</v>
      </c>
      <c r="D12" s="595">
        <v>4.8155273776389098</v>
      </c>
      <c r="E12" s="596">
        <v>3.3753648471832101</v>
      </c>
      <c r="F12" s="596">
        <v>-0.36026130831568937</v>
      </c>
      <c r="G12" s="596">
        <v>3.2977777777777764</v>
      </c>
      <c r="H12" s="596">
        <v>5.466624438229843</v>
      </c>
      <c r="I12" s="596">
        <v>0.9254646284697019</v>
      </c>
      <c r="J12" s="596">
        <v>4.543777777777775</v>
      </c>
      <c r="K12" s="596">
        <v>2.1375100308731994</v>
      </c>
      <c r="L12" s="674">
        <f>SUM(D12:INDEX(D12:K12,0,MATCH('RFPR cover'!$C$7,$D$6:$K$6,0)))</f>
        <v>22.064275538761528</v>
      </c>
      <c r="M12" s="675">
        <f t="shared" si="1"/>
        <v>24.201785569634726</v>
      </c>
      <c r="O12" s="323"/>
      <c r="AA12" s="943"/>
      <c r="AB12" s="971"/>
    </row>
    <row r="13" spans="1:28" s="2" customFormat="1">
      <c r="A13" s="224" t="s">
        <v>153</v>
      </c>
      <c r="B13" s="35" t="str">
        <f>Data!B155</f>
        <v>Incentive on connections engagement</v>
      </c>
      <c r="C13" s="155" t="str">
        <f>'RFPR cover'!$C$14</f>
        <v>£m 12/13</v>
      </c>
      <c r="D13" s="595">
        <v>0</v>
      </c>
      <c r="E13" s="596">
        <v>0</v>
      </c>
      <c r="F13" s="596">
        <v>0</v>
      </c>
      <c r="G13" s="596">
        <v>0</v>
      </c>
      <c r="H13" s="596">
        <v>0</v>
      </c>
      <c r="I13" s="596">
        <v>0</v>
      </c>
      <c r="J13" s="596">
        <v>0</v>
      </c>
      <c r="K13" s="596">
        <v>0</v>
      </c>
      <c r="L13" s="674">
        <f>SUM(D13:INDEX(D13:K13,0,MATCH('RFPR cover'!$C$7,$D$6:$K$6,0)))</f>
        <v>0</v>
      </c>
      <c r="M13" s="675">
        <f t="shared" si="1"/>
        <v>0</v>
      </c>
      <c r="O13" s="323"/>
      <c r="AA13" s="943"/>
      <c r="AB13" s="943"/>
    </row>
    <row r="14" spans="1:28" s="2" customFormat="1">
      <c r="A14" s="224" t="s">
        <v>168</v>
      </c>
      <c r="B14" s="35" t="str">
        <f>Data!B156</f>
        <v>Time to Connect Incentive</v>
      </c>
      <c r="C14" s="155" t="str">
        <f>'RFPR cover'!$C$14</f>
        <v>£m 12/13</v>
      </c>
      <c r="D14" s="595">
        <v>1.1355000000000002</v>
      </c>
      <c r="E14" s="596">
        <v>0.95282322540283193</v>
      </c>
      <c r="F14" s="596">
        <v>1.2</v>
      </c>
      <c r="G14" s="596">
        <v>1.2</v>
      </c>
      <c r="H14" s="596">
        <v>1.2</v>
      </c>
      <c r="I14" s="596">
        <v>0.71190602939605774</v>
      </c>
      <c r="J14" s="596">
        <v>0.63670396510925331</v>
      </c>
      <c r="K14" s="596">
        <v>0.97581493784205164</v>
      </c>
      <c r="L14" s="674">
        <f>SUM(D14:INDEX(D14:K14,0,MATCH('RFPR cover'!$C$7,$D$6:$K$6,0)))</f>
        <v>7.0369332199081445</v>
      </c>
      <c r="M14" s="675">
        <f t="shared" si="1"/>
        <v>8.0127481577501953</v>
      </c>
      <c r="O14" s="323"/>
      <c r="AA14" s="943"/>
      <c r="AB14" s="971"/>
    </row>
    <row r="15" spans="1:28" s="2" customFormat="1">
      <c r="A15" s="224" t="s">
        <v>169</v>
      </c>
      <c r="B15" s="35" t="str">
        <f>Data!B157</f>
        <v>Losses discretionary reward scheme</v>
      </c>
      <c r="C15" s="155" t="str">
        <f>'RFPR cover'!$C$14</f>
        <v>£m 12/13</v>
      </c>
      <c r="D15" s="595">
        <v>0</v>
      </c>
      <c r="E15" s="596">
        <v>0.04</v>
      </c>
      <c r="F15" s="596">
        <v>0</v>
      </c>
      <c r="G15" s="596">
        <v>0</v>
      </c>
      <c r="H15" s="596">
        <v>0</v>
      </c>
      <c r="I15" s="596">
        <v>0</v>
      </c>
      <c r="J15" s="596">
        <v>0</v>
      </c>
      <c r="K15" s="596">
        <v>0</v>
      </c>
      <c r="L15" s="674">
        <f>SUM(D15:INDEX(D15:K15,0,MATCH('RFPR cover'!$C$7,$D$6:$K$6,0)))</f>
        <v>0.04</v>
      </c>
      <c r="M15" s="675">
        <f t="shared" si="1"/>
        <v>0.04</v>
      </c>
      <c r="O15" s="323"/>
      <c r="AA15" s="943"/>
      <c r="AB15" s="943"/>
    </row>
    <row r="16" spans="1:28" s="2" customFormat="1">
      <c r="A16" s="224" t="s">
        <v>170</v>
      </c>
      <c r="B16" s="35" t="str">
        <f>Data!B158</f>
        <v/>
      </c>
      <c r="C16" s="155" t="str">
        <f>'RFPR cover'!$C$14</f>
        <v>£m 12/13</v>
      </c>
      <c r="D16" s="595"/>
      <c r="E16" s="596"/>
      <c r="F16" s="596"/>
      <c r="G16" s="596"/>
      <c r="H16" s="596"/>
      <c r="I16" s="596"/>
      <c r="J16" s="596"/>
      <c r="K16" s="596"/>
      <c r="L16" s="674">
        <f>SUM(D16:INDEX(D16:K16,0,MATCH('RFPR cover'!$C$7,$D$6:$K$6,0)))</f>
        <v>0</v>
      </c>
      <c r="M16" s="675">
        <f t="shared" si="1"/>
        <v>0</v>
      </c>
    </row>
    <row r="17" spans="1:16" s="2" customFormat="1">
      <c r="A17" s="224" t="s">
        <v>478</v>
      </c>
      <c r="B17" s="35" t="str">
        <f>Data!B159</f>
        <v/>
      </c>
      <c r="C17" s="155" t="str">
        <f>'RFPR cover'!$C$14</f>
        <v>£m 12/13</v>
      </c>
      <c r="D17" s="845"/>
      <c r="E17" s="846"/>
      <c r="F17" s="846"/>
      <c r="G17" s="846"/>
      <c r="H17" s="846"/>
      <c r="I17" s="846"/>
      <c r="J17" s="846"/>
      <c r="K17" s="847"/>
      <c r="L17" s="674">
        <f>SUM(D17:INDEX(D17:K17,0,MATCH('RFPR cover'!$C$7,$D$6:$K$6,0)))</f>
        <v>0</v>
      </c>
      <c r="M17" s="675">
        <f t="shared" si="1"/>
        <v>0</v>
      </c>
    </row>
    <row r="18" spans="1:16" s="2" customFormat="1">
      <c r="A18" s="35"/>
      <c r="B18" s="12" t="s">
        <v>203</v>
      </c>
      <c r="C18" s="156" t="str">
        <f>'RFPR cover'!$C$14</f>
        <v>£m 12/13</v>
      </c>
      <c r="D18" s="609">
        <f>SUM(D11:D17)</f>
        <v>9.7097879085043139</v>
      </c>
      <c r="E18" s="609">
        <f t="shared" ref="E18:K18" si="2">SUM(E11:E17)</f>
        <v>8.1751880725860424</v>
      </c>
      <c r="F18" s="609">
        <f t="shared" si="2"/>
        <v>4.6814742893721961</v>
      </c>
      <c r="G18" s="609">
        <f t="shared" si="2"/>
        <v>8.3995777777777789</v>
      </c>
      <c r="H18" s="609">
        <f t="shared" si="2"/>
        <v>9.8446244382298431</v>
      </c>
      <c r="I18" s="609">
        <f t="shared" si="2"/>
        <v>4.8153706578657598</v>
      </c>
      <c r="J18" s="609">
        <f t="shared" si="2"/>
        <v>8.20428174288703</v>
      </c>
      <c r="K18" s="609">
        <f t="shared" si="2"/>
        <v>6.2913249687152506</v>
      </c>
      <c r="L18" s="609">
        <f>SUM(L11:L17)</f>
        <v>53.830304887222965</v>
      </c>
      <c r="M18" s="609">
        <f>SUM(M11:M17)</f>
        <v>60.121629855938217</v>
      </c>
    </row>
    <row r="19" spans="1:16" s="2" customFormat="1">
      <c r="A19" s="35"/>
      <c r="B19" s="12"/>
      <c r="C19" s="156"/>
      <c r="D19" s="156"/>
      <c r="E19" s="156"/>
      <c r="F19" s="156"/>
      <c r="G19" s="156"/>
      <c r="H19" s="156"/>
      <c r="I19" s="156"/>
      <c r="J19" s="156"/>
      <c r="K19" s="156"/>
      <c r="L19" s="156"/>
      <c r="M19" s="156"/>
    </row>
    <row r="20" spans="1:16" s="2" customFormat="1">
      <c r="A20" s="35"/>
      <c r="B20" s="12" t="s">
        <v>372</v>
      </c>
      <c r="C20" s="156"/>
      <c r="D20" s="156"/>
      <c r="E20" s="156"/>
      <c r="F20" s="156"/>
      <c r="G20" s="156"/>
      <c r="H20" s="156"/>
      <c r="I20" s="156"/>
      <c r="J20" s="156"/>
      <c r="K20" s="156"/>
      <c r="L20" s="156"/>
      <c r="M20" s="156"/>
    </row>
    <row r="21" spans="1:16" s="2" customFormat="1" ht="32.4" customHeight="1">
      <c r="A21" s="269" t="str">
        <f>A11</f>
        <v>a</v>
      </c>
      <c r="B21" s="1029" t="s">
        <v>655</v>
      </c>
      <c r="C21" s="1029"/>
      <c r="D21" s="1029"/>
      <c r="E21" s="1029"/>
      <c r="F21" s="1029"/>
      <c r="G21" s="1029"/>
      <c r="H21" s="1029"/>
      <c r="I21" s="1029"/>
      <c r="J21" s="1029"/>
      <c r="K21" s="1029"/>
      <c r="L21" s="1029"/>
      <c r="M21" s="1029"/>
      <c r="O21" s="323"/>
    </row>
    <row r="22" spans="1:16" s="2" customFormat="1" ht="32.4" customHeight="1">
      <c r="A22" s="269" t="str">
        <f>A12</f>
        <v>b</v>
      </c>
      <c r="B22" s="1029" t="s">
        <v>652</v>
      </c>
      <c r="C22" s="1029"/>
      <c r="D22" s="1029"/>
      <c r="E22" s="1029"/>
      <c r="F22" s="1029"/>
      <c r="G22" s="1029"/>
      <c r="H22" s="1029"/>
      <c r="I22" s="1029"/>
      <c r="J22" s="1029"/>
      <c r="K22" s="1029"/>
      <c r="L22" s="1029"/>
      <c r="M22" s="1029"/>
    </row>
    <row r="23" spans="1:16" s="2" customFormat="1">
      <c r="A23" s="269" t="str">
        <f>A13</f>
        <v>c</v>
      </c>
      <c r="B23" s="1028"/>
      <c r="C23" s="1028"/>
      <c r="D23" s="1028"/>
      <c r="E23" s="1028"/>
      <c r="F23" s="1028"/>
      <c r="G23" s="1028"/>
      <c r="H23" s="1028"/>
      <c r="I23" s="1028"/>
      <c r="J23" s="1028"/>
      <c r="K23" s="1028"/>
      <c r="L23" s="1028"/>
      <c r="M23" s="1028"/>
    </row>
    <row r="24" spans="1:16" s="2" customFormat="1">
      <c r="A24" s="269" t="str">
        <f>A14</f>
        <v>d</v>
      </c>
      <c r="B24" s="1028" t="s">
        <v>651</v>
      </c>
      <c r="C24" s="1028"/>
      <c r="D24" s="1028"/>
      <c r="E24" s="1028"/>
      <c r="F24" s="1028"/>
      <c r="G24" s="1028"/>
      <c r="H24" s="1028"/>
      <c r="I24" s="1028"/>
      <c r="J24" s="1028"/>
      <c r="K24" s="1028"/>
      <c r="L24" s="1028"/>
      <c r="M24" s="1028"/>
    </row>
    <row r="25" spans="1:16" s="2" customFormat="1">
      <c r="A25" s="269" t="str">
        <f>A15</f>
        <v>e</v>
      </c>
      <c r="B25" s="1028"/>
      <c r="C25" s="1028"/>
      <c r="D25" s="1028"/>
      <c r="E25" s="1028"/>
      <c r="F25" s="1028"/>
      <c r="G25" s="1028"/>
      <c r="H25" s="1028"/>
      <c r="I25" s="1028"/>
      <c r="J25" s="1028"/>
      <c r="K25" s="1028"/>
      <c r="L25" s="1028"/>
      <c r="M25" s="1028"/>
    </row>
    <row r="26" spans="1:16" s="2" customFormat="1">
      <c r="A26" s="269" t="s">
        <v>170</v>
      </c>
      <c r="B26" s="841"/>
      <c r="C26" s="841"/>
      <c r="D26" s="841"/>
      <c r="E26" s="841"/>
      <c r="F26" s="841"/>
      <c r="G26" s="841"/>
      <c r="H26" s="841"/>
      <c r="I26" s="841"/>
      <c r="J26" s="841"/>
      <c r="K26" s="841"/>
      <c r="L26" s="841"/>
      <c r="M26" s="841"/>
    </row>
    <row r="27" spans="1:16" s="2" customFormat="1">
      <c r="A27" s="269" t="s">
        <v>478</v>
      </c>
      <c r="B27" s="841"/>
      <c r="C27" s="841"/>
      <c r="D27" s="841"/>
      <c r="E27" s="841"/>
      <c r="F27" s="841"/>
      <c r="G27" s="841"/>
      <c r="H27" s="841"/>
      <c r="I27" s="841"/>
      <c r="J27" s="841"/>
      <c r="K27" s="841"/>
      <c r="L27" s="841"/>
      <c r="M27" s="841"/>
    </row>
    <row r="28" spans="1:16" s="532" customFormat="1">
      <c r="A28" s="38"/>
      <c r="B28" s="536"/>
      <c r="C28" s="536"/>
      <c r="D28" s="536"/>
      <c r="E28" s="536"/>
      <c r="F28" s="536"/>
      <c r="G28" s="536"/>
      <c r="H28" s="536"/>
      <c r="I28" s="536"/>
      <c r="J28" s="536"/>
      <c r="K28" s="536"/>
      <c r="L28" s="536"/>
      <c r="M28" s="536"/>
    </row>
    <row r="29" spans="1:16" s="2" customFormat="1">
      <c r="B29" s="12"/>
      <c r="C29" s="136"/>
      <c r="D29" s="52"/>
      <c r="E29" s="52"/>
      <c r="F29" s="52"/>
      <c r="G29" s="52"/>
      <c r="H29" s="52"/>
      <c r="I29" s="52"/>
      <c r="J29" s="52"/>
      <c r="K29" s="52"/>
    </row>
    <row r="30" spans="1:16" s="2" customFormat="1">
      <c r="A30" s="35"/>
      <c r="B30" s="116" t="s">
        <v>200</v>
      </c>
      <c r="C30" s="150"/>
      <c r="D30" s="81"/>
      <c r="E30" s="81"/>
      <c r="F30" s="81"/>
      <c r="G30" s="81"/>
      <c r="H30" s="81"/>
      <c r="I30" s="81"/>
      <c r="J30" s="81"/>
      <c r="K30" s="81"/>
      <c r="L30" s="81"/>
      <c r="M30" s="81"/>
      <c r="N30" s="81"/>
    </row>
    <row r="31" spans="1:16" s="2" customFormat="1">
      <c r="A31" s="35"/>
      <c r="B31" s="35"/>
      <c r="C31" s="35"/>
      <c r="D31" s="35"/>
      <c r="E31" s="35"/>
      <c r="F31" s="35"/>
      <c r="G31" s="35"/>
      <c r="H31" s="35"/>
      <c r="I31" s="35"/>
      <c r="J31" s="35"/>
      <c r="K31" s="35"/>
      <c r="L31" s="35"/>
      <c r="M31" s="35"/>
      <c r="N31" s="35"/>
      <c r="O31" s="35"/>
      <c r="P31" s="35"/>
    </row>
    <row r="32" spans="1:16" s="2" customFormat="1">
      <c r="A32" s="35"/>
      <c r="B32" s="367" t="s">
        <v>211</v>
      </c>
      <c r="C32" s="291"/>
      <c r="D32" s="293"/>
      <c r="E32" s="293"/>
      <c r="F32" s="293"/>
      <c r="G32" s="293"/>
      <c r="H32" s="293"/>
      <c r="I32" s="293"/>
      <c r="J32" s="293"/>
      <c r="K32" s="293"/>
      <c r="L32" s="293"/>
      <c r="M32" s="293"/>
      <c r="N32" s="293"/>
    </row>
    <row r="33" spans="1:14" s="2" customFormat="1">
      <c r="A33" s="35"/>
      <c r="B33" s="368" t="s">
        <v>241</v>
      </c>
      <c r="C33" s="291"/>
      <c r="D33" s="293"/>
      <c r="E33" s="293"/>
      <c r="F33" s="293"/>
      <c r="G33" s="293"/>
      <c r="H33" s="293"/>
      <c r="I33" s="293"/>
      <c r="J33" s="293"/>
      <c r="K33" s="293"/>
      <c r="L33" s="293"/>
      <c r="M33" s="293"/>
      <c r="N33" s="293"/>
    </row>
    <row r="34" spans="1:14" s="2" customFormat="1">
      <c r="A34" s="35"/>
      <c r="B34" s="368" t="s">
        <v>479</v>
      </c>
      <c r="C34" s="291"/>
      <c r="D34" s="293"/>
      <c r="E34" s="293"/>
      <c r="F34" s="293"/>
      <c r="G34" s="293"/>
      <c r="H34" s="293"/>
      <c r="I34" s="293"/>
      <c r="J34" s="293"/>
      <c r="K34" s="293"/>
      <c r="L34" s="293"/>
      <c r="M34" s="293"/>
      <c r="N34" s="293"/>
    </row>
    <row r="35" spans="1:14" s="2" customFormat="1">
      <c r="A35" s="35"/>
      <c r="B35" s="368" t="s">
        <v>209</v>
      </c>
      <c r="C35" s="291"/>
      <c r="D35" s="293"/>
      <c r="E35" s="293"/>
      <c r="F35" s="293"/>
      <c r="G35" s="293"/>
      <c r="H35" s="293"/>
      <c r="I35" s="293"/>
      <c r="J35" s="293"/>
      <c r="K35" s="293"/>
      <c r="L35" s="293"/>
      <c r="M35" s="293"/>
      <c r="N35" s="293"/>
    </row>
    <row r="36" spans="1:14" s="2" customFormat="1">
      <c r="A36" s="35"/>
      <c r="B36" s="368" t="s">
        <v>202</v>
      </c>
      <c r="C36" s="291"/>
      <c r="D36" s="293"/>
      <c r="E36" s="293"/>
      <c r="F36" s="293"/>
      <c r="G36" s="293"/>
      <c r="H36" s="293"/>
      <c r="I36" s="293"/>
      <c r="J36" s="293"/>
      <c r="K36" s="293"/>
      <c r="L36" s="293"/>
      <c r="M36" s="293"/>
      <c r="N36" s="293"/>
    </row>
    <row r="37" spans="1:14" s="2" customFormat="1">
      <c r="A37" s="35"/>
      <c r="B37" s="368" t="s">
        <v>208</v>
      </c>
      <c r="C37" s="291"/>
      <c r="D37" s="293"/>
      <c r="E37" s="293"/>
      <c r="F37" s="293"/>
      <c r="G37" s="293"/>
      <c r="H37" s="293"/>
      <c r="I37" s="293"/>
      <c r="J37" s="293"/>
      <c r="K37" s="293"/>
      <c r="L37" s="293"/>
      <c r="M37" s="293"/>
      <c r="N37" s="293"/>
    </row>
    <row r="38" spans="1:14" s="2" customFormat="1">
      <c r="B38" s="12"/>
      <c r="C38" s="136"/>
    </row>
    <row r="39" spans="1:14" s="2" customFormat="1">
      <c r="A39" s="160" t="str">
        <f t="shared" ref="A39:A45" si="3">A11</f>
        <v>a</v>
      </c>
      <c r="B39" s="35" t="str">
        <f>$B$11&amp;""</f>
        <v>Broad measure of customer service</v>
      </c>
      <c r="C39" s="155" t="str">
        <f>'RFPR cover'!$C$14</f>
        <v>£m 12/13</v>
      </c>
      <c r="D39" s="670">
        <f>D51</f>
        <v>3.0445960300009767</v>
      </c>
      <c r="E39" s="670">
        <f t="shared" ref="E39:K39" si="4">E51</f>
        <v>3.0836700000000006</v>
      </c>
      <c r="F39" s="670">
        <f t="shared" si="4"/>
        <v>3.1118058341271873</v>
      </c>
      <c r="G39" s="670">
        <f t="shared" si="4"/>
        <v>3.1604580000000024</v>
      </c>
      <c r="H39" s="670">
        <f t="shared" si="4"/>
        <v>2.5741800000000001</v>
      </c>
      <c r="I39" s="670">
        <f t="shared" si="4"/>
        <v>2.5741800000000001</v>
      </c>
      <c r="J39" s="670">
        <f t="shared" si="4"/>
        <v>2.4492780000000018</v>
      </c>
      <c r="K39" s="670">
        <f t="shared" si="4"/>
        <v>2.5741800000000001</v>
      </c>
      <c r="L39" s="670">
        <f>SUM(D39:INDEX(D39:K39,0,MATCH('RFPR cover'!$C$7,$D$6:$K$6,0)))</f>
        <v>19.99816786412817</v>
      </c>
      <c r="M39" s="671">
        <f t="shared" ref="M39:M45" si="5">SUM(D39:K39)</f>
        <v>22.572347864128169</v>
      </c>
    </row>
    <row r="40" spans="1:14" s="2" customFormat="1">
      <c r="A40" s="160" t="str">
        <f t="shared" si="3"/>
        <v>b</v>
      </c>
      <c r="B40" s="35" t="str">
        <f>$B$12&amp;""</f>
        <v>Interruptions-related quality of service</v>
      </c>
      <c r="C40" s="155" t="str">
        <f>'RFPR cover'!$C$14</f>
        <v>£m 12/13</v>
      </c>
      <c r="D40" s="670">
        <f>D55</f>
        <v>3.9005771758875172</v>
      </c>
      <c r="E40" s="670">
        <f t="shared" ref="E40:K40" si="6">E55</f>
        <v>2.7340455262184005</v>
      </c>
      <c r="F40" s="670">
        <f t="shared" si="6"/>
        <v>-0.29181165973570838</v>
      </c>
      <c r="G40" s="670">
        <f t="shared" si="6"/>
        <v>2.6711999999999989</v>
      </c>
      <c r="H40" s="670">
        <f t="shared" si="6"/>
        <v>4.4279657949661733</v>
      </c>
      <c r="I40" s="670">
        <f t="shared" si="6"/>
        <v>0.74962634906045855</v>
      </c>
      <c r="J40" s="670">
        <f t="shared" si="6"/>
        <v>3.6804599999999978</v>
      </c>
      <c r="K40" s="670">
        <f t="shared" si="6"/>
        <v>1.7313831250072915</v>
      </c>
      <c r="L40" s="674">
        <f>SUM(D40:INDEX(D40:K40,0,MATCH('RFPR cover'!$C$7,$D$6:$K$6,0)))</f>
        <v>17.872063186396836</v>
      </c>
      <c r="M40" s="675">
        <f t="shared" si="5"/>
        <v>19.603446311404127</v>
      </c>
    </row>
    <row r="41" spans="1:14" s="2" customFormat="1">
      <c r="A41" s="160" t="str">
        <f t="shared" si="3"/>
        <v>c</v>
      </c>
      <c r="B41" s="35" t="str">
        <f>$B$13&amp;""</f>
        <v>Incentive on connections engagement</v>
      </c>
      <c r="C41" s="155" t="str">
        <f>'RFPR cover'!$C$14</f>
        <v>£m 12/13</v>
      </c>
      <c r="D41" s="670">
        <f>D59</f>
        <v>0</v>
      </c>
      <c r="E41" s="670">
        <f t="shared" ref="E41:K41" si="7">E59</f>
        <v>0</v>
      </c>
      <c r="F41" s="670">
        <f t="shared" si="7"/>
        <v>0</v>
      </c>
      <c r="G41" s="670">
        <f t="shared" si="7"/>
        <v>0</v>
      </c>
      <c r="H41" s="670">
        <f t="shared" si="7"/>
        <v>0</v>
      </c>
      <c r="I41" s="670">
        <f t="shared" si="7"/>
        <v>0</v>
      </c>
      <c r="J41" s="670">
        <f t="shared" si="7"/>
        <v>0</v>
      </c>
      <c r="K41" s="670">
        <f t="shared" si="7"/>
        <v>0</v>
      </c>
      <c r="L41" s="674">
        <f>SUM(D41:INDEX(D41:K41,0,MATCH('RFPR cover'!$C$7,$D$6:$K$6,0)))</f>
        <v>0</v>
      </c>
      <c r="M41" s="675">
        <f t="shared" si="5"/>
        <v>0</v>
      </c>
    </row>
    <row r="42" spans="1:14" s="2" customFormat="1">
      <c r="A42" s="160" t="str">
        <f t="shared" si="3"/>
        <v>d</v>
      </c>
      <c r="B42" s="35" t="str">
        <f>$B$14&amp;""</f>
        <v>Time to Connect Incentive</v>
      </c>
      <c r="C42" s="155" t="str">
        <f>'RFPR cover'!$C$14</f>
        <v>£m 12/13</v>
      </c>
      <c r="D42" s="670">
        <f>D63</f>
        <v>0.91975500000000021</v>
      </c>
      <c r="E42" s="670">
        <f t="shared" ref="E42:K42" si="8">E63</f>
        <v>0.77178681257629389</v>
      </c>
      <c r="F42" s="670">
        <f t="shared" si="8"/>
        <v>0.97199999999999998</v>
      </c>
      <c r="G42" s="670">
        <f t="shared" si="8"/>
        <v>0.97199999999999998</v>
      </c>
      <c r="H42" s="670">
        <f t="shared" si="8"/>
        <v>0.97199999999999998</v>
      </c>
      <c r="I42" s="670">
        <f t="shared" si="8"/>
        <v>0.57664388381080678</v>
      </c>
      <c r="J42" s="670">
        <f t="shared" si="8"/>
        <v>0.5157302117384952</v>
      </c>
      <c r="K42" s="670">
        <f t="shared" si="8"/>
        <v>0.79041009965206188</v>
      </c>
      <c r="L42" s="674">
        <f>SUM(D42:INDEX(D42:K42,0,MATCH('RFPR cover'!$C$7,$D$6:$K$6,0)))</f>
        <v>5.699915908125595</v>
      </c>
      <c r="M42" s="675">
        <f t="shared" si="5"/>
        <v>6.4903260077776572</v>
      </c>
    </row>
    <row r="43" spans="1:14" s="2" customFormat="1">
      <c r="A43" s="160" t="str">
        <f t="shared" si="3"/>
        <v>e</v>
      </c>
      <c r="B43" s="35" t="str">
        <f>$B$15&amp;""</f>
        <v>Losses discretionary reward scheme</v>
      </c>
      <c r="C43" s="155" t="str">
        <f>'RFPR cover'!$C$14</f>
        <v>£m 12/13</v>
      </c>
      <c r="D43" s="670">
        <f>D67</f>
        <v>0</v>
      </c>
      <c r="E43" s="670">
        <f t="shared" ref="E43:K43" si="9">E67</f>
        <v>3.2400000000000005E-2</v>
      </c>
      <c r="F43" s="670">
        <f t="shared" si="9"/>
        <v>0</v>
      </c>
      <c r="G43" s="670">
        <f t="shared" si="9"/>
        <v>0</v>
      </c>
      <c r="H43" s="670">
        <f t="shared" si="9"/>
        <v>0</v>
      </c>
      <c r="I43" s="670">
        <f t="shared" si="9"/>
        <v>0</v>
      </c>
      <c r="J43" s="670">
        <f t="shared" si="9"/>
        <v>0</v>
      </c>
      <c r="K43" s="670">
        <f t="shared" si="9"/>
        <v>0</v>
      </c>
      <c r="L43" s="674">
        <f>SUM(D43:INDEX(D43:K43,0,MATCH('RFPR cover'!$C$7,$D$6:$K$6,0)))</f>
        <v>3.2400000000000005E-2</v>
      </c>
      <c r="M43" s="675">
        <f t="shared" si="5"/>
        <v>3.2400000000000005E-2</v>
      </c>
    </row>
    <row r="44" spans="1:14" s="2" customFormat="1">
      <c r="A44" s="160" t="str">
        <f t="shared" si="3"/>
        <v>f</v>
      </c>
      <c r="B44" s="35" t="str">
        <f>$B$16&amp;""</f>
        <v/>
      </c>
      <c r="C44" s="155" t="str">
        <f>'RFPR cover'!$C$14</f>
        <v>£m 12/13</v>
      </c>
      <c r="D44" s="670">
        <f>D71</f>
        <v>0</v>
      </c>
      <c r="E44" s="670">
        <f t="shared" ref="E44:K44" si="10">E71</f>
        <v>0</v>
      </c>
      <c r="F44" s="670">
        <f t="shared" si="10"/>
        <v>0</v>
      </c>
      <c r="G44" s="670">
        <f t="shared" si="10"/>
        <v>0</v>
      </c>
      <c r="H44" s="670">
        <f t="shared" si="10"/>
        <v>0</v>
      </c>
      <c r="I44" s="670">
        <f t="shared" si="10"/>
        <v>0</v>
      </c>
      <c r="J44" s="670">
        <f t="shared" si="10"/>
        <v>0</v>
      </c>
      <c r="K44" s="670">
        <f t="shared" si="10"/>
        <v>0</v>
      </c>
      <c r="L44" s="674">
        <f>SUM(D44:INDEX(D44:K44,0,MATCH('RFPR cover'!$C$7,$D$6:$K$6,0)))</f>
        <v>0</v>
      </c>
      <c r="M44" s="675">
        <f t="shared" si="5"/>
        <v>0</v>
      </c>
    </row>
    <row r="45" spans="1:14" s="2" customFormat="1">
      <c r="A45" s="160" t="str">
        <f t="shared" si="3"/>
        <v>g</v>
      </c>
      <c r="B45" s="35" t="str">
        <f>$B$17&amp;""</f>
        <v/>
      </c>
      <c r="C45" s="155" t="str">
        <f>'RFPR cover'!$C$14</f>
        <v>£m 12/13</v>
      </c>
      <c r="D45" s="670">
        <f>D75</f>
        <v>0</v>
      </c>
      <c r="E45" s="670">
        <f t="shared" ref="E45:K45" si="11">E75</f>
        <v>0</v>
      </c>
      <c r="F45" s="670">
        <f t="shared" si="11"/>
        <v>0</v>
      </c>
      <c r="G45" s="670">
        <f t="shared" si="11"/>
        <v>0</v>
      </c>
      <c r="H45" s="670">
        <f t="shared" si="11"/>
        <v>0</v>
      </c>
      <c r="I45" s="670">
        <f t="shared" si="11"/>
        <v>0</v>
      </c>
      <c r="J45" s="670">
        <f t="shared" si="11"/>
        <v>0</v>
      </c>
      <c r="K45" s="670">
        <f t="shared" si="11"/>
        <v>0</v>
      </c>
      <c r="L45" s="674">
        <f>SUM(D45:INDEX(D45:K45,0,MATCH('RFPR cover'!$C$7,$D$6:$K$6,0)))</f>
        <v>0</v>
      </c>
      <c r="M45" s="675">
        <f t="shared" si="5"/>
        <v>0</v>
      </c>
    </row>
    <row r="46" spans="1:14" s="2" customFormat="1">
      <c r="B46" s="12" t="s">
        <v>204</v>
      </c>
      <c r="C46" s="156" t="str">
        <f>'RFPR cover'!$C$14</f>
        <v>£m 12/13</v>
      </c>
      <c r="D46" s="609">
        <f>SUM(D39:D45)</f>
        <v>7.8649282058884946</v>
      </c>
      <c r="E46" s="609">
        <f t="shared" ref="E46:M46" si="12">SUM(E39:E45)</f>
        <v>6.6219023387946949</v>
      </c>
      <c r="F46" s="609">
        <f t="shared" si="12"/>
        <v>3.7919941743914789</v>
      </c>
      <c r="G46" s="609">
        <f t="shared" si="12"/>
        <v>6.8036580000000004</v>
      </c>
      <c r="H46" s="610">
        <f t="shared" si="12"/>
        <v>7.9741457949661729</v>
      </c>
      <c r="I46" s="610">
        <f t="shared" si="12"/>
        <v>3.9004502328712656</v>
      </c>
      <c r="J46" s="610">
        <f t="shared" si="12"/>
        <v>6.6454682117384944</v>
      </c>
      <c r="K46" s="610">
        <f t="shared" si="12"/>
        <v>5.0959732246593541</v>
      </c>
      <c r="L46" s="609">
        <f t="shared" si="12"/>
        <v>43.602546958650606</v>
      </c>
      <c r="M46" s="609">
        <f t="shared" si="12"/>
        <v>48.698520183309959</v>
      </c>
    </row>
    <row r="47" spans="1:14" s="2" customFormat="1">
      <c r="B47" s="12"/>
      <c r="C47" s="156"/>
      <c r="D47" s="156"/>
      <c r="E47" s="156"/>
      <c r="F47" s="156"/>
      <c r="G47" s="156"/>
      <c r="H47" s="156"/>
      <c r="I47" s="156"/>
      <c r="J47" s="156"/>
      <c r="K47" s="156"/>
      <c r="L47" s="156"/>
      <c r="M47" s="156"/>
    </row>
    <row r="48" spans="1:14" s="2" customFormat="1">
      <c r="B48" s="12"/>
      <c r="C48" s="156"/>
      <c r="D48" s="161"/>
      <c r="E48" s="156"/>
      <c r="F48" s="156"/>
      <c r="G48" s="156"/>
      <c r="H48" s="156"/>
      <c r="I48" s="156"/>
      <c r="J48" s="156"/>
      <c r="K48" s="156"/>
      <c r="L48" s="156"/>
      <c r="M48" s="156"/>
    </row>
    <row r="49" spans="1:13" s="2" customFormat="1">
      <c r="A49" s="160" t="str">
        <f>$A$11</f>
        <v>a</v>
      </c>
      <c r="B49" s="171" t="str">
        <f>INDEX($B$11:$B$15,MATCH($A49,$A$11:$A$15,0),0)&amp;""</f>
        <v>Broad measure of customer service</v>
      </c>
      <c r="C49" s="155" t="str">
        <f>'RFPR cover'!$C$14</f>
        <v>£m 12/13</v>
      </c>
      <c r="D49" s="778">
        <f>INDEX($D$11:$K$17,MATCH($A49,$A$11:$A$17,0),0)</f>
        <v>3.7587605308654028</v>
      </c>
      <c r="E49" s="778">
        <f t="shared" ref="E49:K49" si="13">INDEX($D$11:$K$17,MATCH($A49,$A$11:$A$17,0),0)</f>
        <v>3.8070000000000004</v>
      </c>
      <c r="F49" s="778">
        <f t="shared" si="13"/>
        <v>3.8417355976878853</v>
      </c>
      <c r="G49" s="778">
        <f t="shared" si="13"/>
        <v>3.9018000000000028</v>
      </c>
      <c r="H49" s="778">
        <f t="shared" si="13"/>
        <v>3.1779999999999999</v>
      </c>
      <c r="I49" s="778">
        <f t="shared" si="13"/>
        <v>3.1779999999999999</v>
      </c>
      <c r="J49" s="778">
        <f t="shared" si="13"/>
        <v>3.0238000000000023</v>
      </c>
      <c r="K49" s="778">
        <f t="shared" si="13"/>
        <v>3.1779999999999999</v>
      </c>
      <c r="L49" s="778">
        <f>SUM(D49:INDEX(D49:K49,0,MATCH('RFPR cover'!$C$7,$D$6:$K$6,0)))</f>
        <v>24.689096128553295</v>
      </c>
      <c r="M49" s="779">
        <f>SUM(D49:K49)</f>
        <v>27.867096128553296</v>
      </c>
    </row>
    <row r="50" spans="1:13" s="2" customFormat="1">
      <c r="A50" s="160"/>
      <c r="B50" s="35" t="s">
        <v>201</v>
      </c>
      <c r="C50" s="294" t="s">
        <v>202</v>
      </c>
      <c r="D50" s="883">
        <f>IF($C50=$B$33,$B$33,INDEX(Data!$G$14:$G$30,MATCH('R5 - Output Incentives'!D$6+RIGHT('R5 - Output Incentives'!$C50,2),Data!$C$14:$C$30,0),0))</f>
        <v>0.19</v>
      </c>
      <c r="E50" s="884">
        <f>IF($C50=$B$33,$B$33,INDEX(Data!$G$14:$G$30,MATCH('R5 - Output Incentives'!E$6+RIGHT('R5 - Output Incentives'!$C50,2),Data!$C$14:$C$30,0),0))</f>
        <v>0.19</v>
      </c>
      <c r="F50" s="884">
        <f>IF($C50=$B$33,$B$33,INDEX(Data!$G$14:$G$30,MATCH('R5 - Output Incentives'!F$6+RIGHT('R5 - Output Incentives'!$C50,2),Data!$C$14:$C$30,0),0))</f>
        <v>0.19</v>
      </c>
      <c r="G50" s="884">
        <f>IF($C50=$B$33,$B$33,INDEX(Data!$G$14:$G$30,MATCH('R5 - Output Incentives'!G$6+RIGHT('R5 - Output Incentives'!$C50,2),Data!$C$14:$C$30,0),0))</f>
        <v>0.19</v>
      </c>
      <c r="H50" s="884">
        <f>IF($C50=$B$33,$B$33,INDEX(Data!$G$14:$G$30,MATCH('R5 - Output Incentives'!H$6+RIGHT('R5 - Output Incentives'!$C50,2),Data!$C$14:$C$30,0),0))</f>
        <v>0.19</v>
      </c>
      <c r="I50" s="884">
        <f>IF($C50=$B$33,$B$33,INDEX(Data!$G$14:$G$30,MATCH('R5 - Output Incentives'!I$6+RIGHT('R5 - Output Incentives'!$C50,2),Data!$C$14:$C$30,0),0))</f>
        <v>0.19</v>
      </c>
      <c r="J50" s="884">
        <f>IF($C50=$B$33,$B$33,INDEX(Data!$G$14:$G$30,MATCH('R5 - Output Incentives'!J$6+RIGHT('R5 - Output Incentives'!$C50,2),Data!$C$14:$C$30,0),0))</f>
        <v>0.19</v>
      </c>
      <c r="K50" s="885">
        <f>IF($C50=$B$33,$B$33,INDEX(Data!$G$14:$G$30,MATCH('R5 - Output Incentives'!K$6+RIGHT('R5 - Output Incentives'!$C50,2),Data!$C$14:$C$30,0),0))</f>
        <v>0.19</v>
      </c>
      <c r="L50" s="780"/>
      <c r="M50" s="781"/>
    </row>
    <row r="51" spans="1:13" s="2" customFormat="1">
      <c r="A51" s="160"/>
      <c r="B51" s="35" t="s">
        <v>210</v>
      </c>
      <c r="C51" s="155"/>
      <c r="D51" s="609">
        <f>IFERROR(D49*(1-D50),0)</f>
        <v>3.0445960300009767</v>
      </c>
      <c r="E51" s="610">
        <f t="shared" ref="E51:K51" si="14">IFERROR(E49*(1-E50),0)</f>
        <v>3.0836700000000006</v>
      </c>
      <c r="F51" s="610">
        <f t="shared" si="14"/>
        <v>3.1118058341271873</v>
      </c>
      <c r="G51" s="610">
        <f t="shared" si="14"/>
        <v>3.1604580000000024</v>
      </c>
      <c r="H51" s="610">
        <f t="shared" si="14"/>
        <v>2.5741800000000001</v>
      </c>
      <c r="I51" s="610">
        <f t="shared" si="14"/>
        <v>2.5741800000000001</v>
      </c>
      <c r="J51" s="610">
        <f t="shared" si="14"/>
        <v>2.4492780000000018</v>
      </c>
      <c r="K51" s="610">
        <f t="shared" si="14"/>
        <v>2.5741800000000001</v>
      </c>
      <c r="L51" s="668">
        <f>SUM(D51:INDEX(D51:K51,0,MATCH('RFPR cover'!$C$7,$D$6:$K$6,0)))</f>
        <v>19.99816786412817</v>
      </c>
      <c r="M51" s="669">
        <f>SUM(D51:K51)</f>
        <v>22.572347864128169</v>
      </c>
    </row>
    <row r="52" spans="1:13" s="2" customFormat="1">
      <c r="A52" s="160"/>
      <c r="B52" s="51"/>
      <c r="C52" s="156"/>
      <c r="D52" s="156"/>
      <c r="E52" s="156"/>
      <c r="F52" s="156"/>
      <c r="G52" s="156"/>
      <c r="H52" s="156"/>
      <c r="I52" s="156"/>
      <c r="J52" s="156"/>
      <c r="K52" s="156"/>
      <c r="L52" s="156"/>
      <c r="M52" s="156"/>
    </row>
    <row r="53" spans="1:13" s="2" customFormat="1">
      <c r="A53" s="160" t="str">
        <f>$A$12</f>
        <v>b</v>
      </c>
      <c r="B53" s="171" t="str">
        <f>INDEX($B$11:$B$15,MATCH($A53,$A$11:$A$15,0),0)&amp;""</f>
        <v>Interruptions-related quality of service</v>
      </c>
      <c r="C53" s="155" t="str">
        <f>'RFPR cover'!$C$14</f>
        <v>£m 12/13</v>
      </c>
      <c r="D53" s="778">
        <f>INDEX($D$11:$K$17,MATCH($A53,$A$11:$A$17,0),0)</f>
        <v>4.8155273776389098</v>
      </c>
      <c r="E53" s="778">
        <f t="shared" ref="E53:K53" si="15">INDEX($D$11:$K$17,MATCH($A53,$A$11:$A$17,0),0)</f>
        <v>3.3753648471832101</v>
      </c>
      <c r="F53" s="778">
        <f t="shared" si="15"/>
        <v>-0.36026130831568937</v>
      </c>
      <c r="G53" s="778">
        <f t="shared" si="15"/>
        <v>3.2977777777777764</v>
      </c>
      <c r="H53" s="778">
        <f t="shared" si="15"/>
        <v>5.466624438229843</v>
      </c>
      <c r="I53" s="778">
        <f t="shared" si="15"/>
        <v>0.9254646284697019</v>
      </c>
      <c r="J53" s="778">
        <f t="shared" si="15"/>
        <v>4.543777777777775</v>
      </c>
      <c r="K53" s="778">
        <f t="shared" si="15"/>
        <v>2.1375100308731994</v>
      </c>
      <c r="L53" s="670">
        <f>SUM(D53:INDEX(D53:K53,0,MATCH('RFPR cover'!$C$7,$D$6:$K$6,0)))</f>
        <v>22.064275538761528</v>
      </c>
      <c r="M53" s="671">
        <f>SUM(D53:K53)</f>
        <v>24.201785569634726</v>
      </c>
    </row>
    <row r="54" spans="1:13" s="2" customFormat="1">
      <c r="A54" s="160"/>
      <c r="B54" s="35" t="s">
        <v>201</v>
      </c>
      <c r="C54" s="294" t="s">
        <v>202</v>
      </c>
      <c r="D54" s="883">
        <f>IF($C54=$B$33,$B$33,INDEX(Data!$G$14:$G$30,MATCH('R5 - Output Incentives'!D$6+RIGHT('R5 - Output Incentives'!$C54,2),Data!$C$14:$C$30,0),0))</f>
        <v>0.19</v>
      </c>
      <c r="E54" s="884">
        <f>IF($C54=$B$33,$B$33,INDEX(Data!$G$14:$G$30,MATCH('R5 - Output Incentives'!E$6+RIGHT('R5 - Output Incentives'!$C54,2),Data!$C$14:$C$30,0),0))</f>
        <v>0.19</v>
      </c>
      <c r="F54" s="884">
        <f>IF($C54=$B$33,$B$33,INDEX(Data!$G$14:$G$30,MATCH('R5 - Output Incentives'!F$6+RIGHT('R5 - Output Incentives'!$C54,2),Data!$C$14:$C$30,0),0))</f>
        <v>0.19</v>
      </c>
      <c r="G54" s="884">
        <f>IF($C54=$B$33,$B$33,INDEX(Data!$G$14:$G$30,MATCH('R5 - Output Incentives'!G$6+RIGHT('R5 - Output Incentives'!$C54,2),Data!$C$14:$C$30,0),0))</f>
        <v>0.19</v>
      </c>
      <c r="H54" s="884">
        <f>IF($C54=$B$33,$B$33,INDEX(Data!$G$14:$G$30,MATCH('R5 - Output Incentives'!H$6+RIGHT('R5 - Output Incentives'!$C54,2),Data!$C$14:$C$30,0),0))</f>
        <v>0.19</v>
      </c>
      <c r="I54" s="884">
        <f>IF($C54=$B$33,$B$33,INDEX(Data!$G$14:$G$30,MATCH('R5 - Output Incentives'!I$6+RIGHT('R5 - Output Incentives'!$C54,2),Data!$C$14:$C$30,0),0))</f>
        <v>0.19</v>
      </c>
      <c r="J54" s="884">
        <f>IF($C54=$B$33,$B$33,INDEX(Data!$G$14:$G$30,MATCH('R5 - Output Incentives'!J$6+RIGHT('R5 - Output Incentives'!$C54,2),Data!$C$14:$C$30,0),0))</f>
        <v>0.19</v>
      </c>
      <c r="K54" s="885">
        <f>IF($C54=$B$33,$B$33,INDEX(Data!$G$14:$G$30,MATCH('R5 - Output Incentives'!K$6+RIGHT('R5 - Output Incentives'!$C54,2),Data!$C$14:$C$30,0),0))</f>
        <v>0.19</v>
      </c>
      <c r="L54" s="780"/>
      <c r="M54" s="781"/>
    </row>
    <row r="55" spans="1:13" s="2" customFormat="1">
      <c r="A55" s="160"/>
      <c r="B55" s="35" t="s">
        <v>210</v>
      </c>
      <c r="C55" s="155"/>
      <c r="D55" s="609">
        <f>IFERROR(D53*(1-D54),0)</f>
        <v>3.9005771758875172</v>
      </c>
      <c r="E55" s="610">
        <f t="shared" ref="E55:K55" si="16">IFERROR(E53*(1-E54),0)</f>
        <v>2.7340455262184005</v>
      </c>
      <c r="F55" s="610">
        <f t="shared" si="16"/>
        <v>-0.29181165973570838</v>
      </c>
      <c r="G55" s="610">
        <f t="shared" si="16"/>
        <v>2.6711999999999989</v>
      </c>
      <c r="H55" s="610">
        <f t="shared" si="16"/>
        <v>4.4279657949661733</v>
      </c>
      <c r="I55" s="610">
        <f t="shared" si="16"/>
        <v>0.74962634906045855</v>
      </c>
      <c r="J55" s="610">
        <f t="shared" si="16"/>
        <v>3.6804599999999978</v>
      </c>
      <c r="K55" s="610">
        <f t="shared" si="16"/>
        <v>1.7313831250072915</v>
      </c>
      <c r="L55" s="668">
        <f>SUM(D55:INDEX(D55:K55,0,MATCH('RFPR cover'!$C$7,$D$6:$K$6,0)))</f>
        <v>17.872063186396836</v>
      </c>
      <c r="M55" s="669">
        <f>SUM(D55:K55)</f>
        <v>19.603446311404127</v>
      </c>
    </row>
    <row r="56" spans="1:13" s="2" customFormat="1">
      <c r="A56" s="160"/>
      <c r="B56" s="51"/>
      <c r="C56" s="156"/>
      <c r="D56" s="156"/>
      <c r="E56" s="156"/>
      <c r="F56" s="156"/>
      <c r="G56" s="156"/>
      <c r="H56" s="156"/>
      <c r="I56" s="156"/>
      <c r="J56" s="156"/>
      <c r="K56" s="156"/>
      <c r="L56" s="156"/>
      <c r="M56" s="156"/>
    </row>
    <row r="57" spans="1:13" s="2" customFormat="1">
      <c r="A57" s="160" t="str">
        <f>$A$13</f>
        <v>c</v>
      </c>
      <c r="B57" s="171" t="str">
        <f>INDEX($B$11:$B$15,MATCH($A57,$A$11:$A$15,0),0)&amp;""</f>
        <v>Incentive on connections engagement</v>
      </c>
      <c r="C57" s="155" t="str">
        <f>'RFPR cover'!$C$14</f>
        <v>£m 12/13</v>
      </c>
      <c r="D57" s="778">
        <f>INDEX($D$11:$K$17,MATCH($A57,$A$11:$A$17,0),0)</f>
        <v>0</v>
      </c>
      <c r="E57" s="778">
        <f t="shared" ref="E57:K57" si="17">INDEX($D$11:$K$17,MATCH($A57,$A$11:$A$17,0),0)</f>
        <v>0</v>
      </c>
      <c r="F57" s="778">
        <f t="shared" si="17"/>
        <v>0</v>
      </c>
      <c r="G57" s="778">
        <f t="shared" si="17"/>
        <v>0</v>
      </c>
      <c r="H57" s="778">
        <f t="shared" si="17"/>
        <v>0</v>
      </c>
      <c r="I57" s="778">
        <f t="shared" si="17"/>
        <v>0</v>
      </c>
      <c r="J57" s="778">
        <f t="shared" si="17"/>
        <v>0</v>
      </c>
      <c r="K57" s="778">
        <f t="shared" si="17"/>
        <v>0</v>
      </c>
      <c r="L57" s="670">
        <f>SUM(D57:INDEX(D57:K57,0,MATCH('RFPR cover'!$C$7,$D$6:$K$6,0)))</f>
        <v>0</v>
      </c>
      <c r="M57" s="671">
        <f>SUM(D57:K57)</f>
        <v>0</v>
      </c>
    </row>
    <row r="58" spans="1:13" s="2" customFormat="1">
      <c r="A58" s="160"/>
      <c r="B58" s="35" t="s">
        <v>201</v>
      </c>
      <c r="C58" s="294" t="s">
        <v>208</v>
      </c>
      <c r="D58" s="883">
        <f>IF($C58=$B$33,$B$33,INDEX(Data!$G$14:$G$30,MATCH('R5 - Output Incentives'!D$6+RIGHT('R5 - Output Incentives'!$C58,2),Data!$C$14:$C$30,0),0))</f>
        <v>0.19</v>
      </c>
      <c r="E58" s="884">
        <f>IF($C58=$B$33,$B$33,INDEX(Data!$G$14:$G$30,MATCH('R5 - Output Incentives'!E$6+RIGHT('R5 - Output Incentives'!$C58,2),Data!$C$14:$C$30,0),0))</f>
        <v>0.19</v>
      </c>
      <c r="F58" s="884">
        <f>IF($C58=$B$33,$B$33,INDEX(Data!$G$14:$G$30,MATCH('R5 - Output Incentives'!F$6+RIGHT('R5 - Output Incentives'!$C58,2),Data!$C$14:$C$30,0),0))</f>
        <v>0.19</v>
      </c>
      <c r="G58" s="884">
        <f>IF($C58=$B$33,$B$33,INDEX(Data!$G$14:$G$30,MATCH('R5 - Output Incentives'!G$6+RIGHT('R5 - Output Incentives'!$C58,2),Data!$C$14:$C$30,0),0))</f>
        <v>0.19</v>
      </c>
      <c r="H58" s="884">
        <f>IF($C58=$B$33,$B$33,INDEX(Data!$G$14:$G$30,MATCH('R5 - Output Incentives'!H$6+RIGHT('R5 - Output Incentives'!$C58,2),Data!$C$14:$C$30,0),0))</f>
        <v>0.19</v>
      </c>
      <c r="I58" s="884">
        <f>IF($C58=$B$33,$B$33,INDEX(Data!$G$14:$G$30,MATCH('R5 - Output Incentives'!I$6+RIGHT('R5 - Output Incentives'!$C58,2),Data!$C$14:$C$30,0),0))</f>
        <v>0.19</v>
      </c>
      <c r="J58" s="884">
        <f>IF($C58=$B$33,$B$33,INDEX(Data!$G$14:$G$30,MATCH('R5 - Output Incentives'!J$6+RIGHT('R5 - Output Incentives'!$C58,2),Data!$C$14:$C$30,0),0))</f>
        <v>0.19</v>
      </c>
      <c r="K58" s="885">
        <f>IF($C58=$B$33,$B$33,INDEX(Data!$G$14:$G$30,MATCH('R5 - Output Incentives'!K$6+RIGHT('R5 - Output Incentives'!$C58,2),Data!$C$14:$C$30,0),0))</f>
        <v>0.19</v>
      </c>
      <c r="L58" s="780"/>
      <c r="M58" s="781"/>
    </row>
    <row r="59" spans="1:13" s="2" customFormat="1">
      <c r="A59" s="160"/>
      <c r="B59" s="35" t="s">
        <v>210</v>
      </c>
      <c r="C59" s="155"/>
      <c r="D59" s="609">
        <f>IFERROR(D57*(1-D58),0)</f>
        <v>0</v>
      </c>
      <c r="E59" s="610">
        <f t="shared" ref="E59:K59" si="18">IFERROR(E57*(1-E58),0)</f>
        <v>0</v>
      </c>
      <c r="F59" s="610">
        <f t="shared" si="18"/>
        <v>0</v>
      </c>
      <c r="G59" s="610">
        <f t="shared" si="18"/>
        <v>0</v>
      </c>
      <c r="H59" s="610">
        <f t="shared" si="18"/>
        <v>0</v>
      </c>
      <c r="I59" s="610">
        <f t="shared" si="18"/>
        <v>0</v>
      </c>
      <c r="J59" s="610">
        <f t="shared" si="18"/>
        <v>0</v>
      </c>
      <c r="K59" s="610">
        <f t="shared" si="18"/>
        <v>0</v>
      </c>
      <c r="L59" s="668">
        <f>SUM(D59:INDEX(D59:K59,0,MATCH('RFPR cover'!$C$7,$D$6:$K$6,0)))</f>
        <v>0</v>
      </c>
      <c r="M59" s="669">
        <f>SUM(D59:K59)</f>
        <v>0</v>
      </c>
    </row>
    <row r="60" spans="1:13" s="2" customFormat="1">
      <c r="A60" s="160"/>
      <c r="B60" s="51"/>
      <c r="C60" s="156"/>
      <c r="D60" s="156"/>
      <c r="E60" s="156"/>
      <c r="F60" s="156"/>
      <c r="G60" s="156"/>
      <c r="H60" s="156"/>
      <c r="I60" s="156"/>
      <c r="J60" s="156"/>
      <c r="K60" s="156"/>
      <c r="L60" s="156"/>
      <c r="M60" s="156"/>
    </row>
    <row r="61" spans="1:13" s="2" customFormat="1">
      <c r="A61" s="160" t="str">
        <f>$A$14</f>
        <v>d</v>
      </c>
      <c r="B61" s="171" t="str">
        <f>INDEX($B$11:$B$15,MATCH($A61,$A$11:$A$15,0),0)&amp;""</f>
        <v>Time to Connect Incentive</v>
      </c>
      <c r="C61" s="155" t="str">
        <f>'RFPR cover'!$C$14</f>
        <v>£m 12/13</v>
      </c>
      <c r="D61" s="778">
        <f>INDEX($D$11:$K$17,MATCH($A61,$A$11:$A$17,0),0)</f>
        <v>1.1355000000000002</v>
      </c>
      <c r="E61" s="778">
        <f t="shared" ref="E61:K61" si="19">INDEX($D$11:$K$17,MATCH($A61,$A$11:$A$17,0),0)</f>
        <v>0.95282322540283193</v>
      </c>
      <c r="F61" s="778">
        <f t="shared" si="19"/>
        <v>1.2</v>
      </c>
      <c r="G61" s="778">
        <f t="shared" si="19"/>
        <v>1.2</v>
      </c>
      <c r="H61" s="778">
        <f t="shared" si="19"/>
        <v>1.2</v>
      </c>
      <c r="I61" s="778">
        <f t="shared" si="19"/>
        <v>0.71190602939605774</v>
      </c>
      <c r="J61" s="778">
        <f t="shared" si="19"/>
        <v>0.63670396510925331</v>
      </c>
      <c r="K61" s="778">
        <f t="shared" si="19"/>
        <v>0.97581493784205164</v>
      </c>
      <c r="L61" s="670">
        <f>SUM(D61:INDEX(D61:K61,0,MATCH('RFPR cover'!$C$7,$D$6:$K$6,0)))</f>
        <v>7.0369332199081445</v>
      </c>
      <c r="M61" s="671">
        <f>SUM(D61:K61)</f>
        <v>8.0127481577501953</v>
      </c>
    </row>
    <row r="62" spans="1:13" s="2" customFormat="1">
      <c r="A62" s="160"/>
      <c r="B62" s="35" t="s">
        <v>201</v>
      </c>
      <c r="C62" s="294" t="s">
        <v>202</v>
      </c>
      <c r="D62" s="883">
        <f>IF($C62=$B$33,$B$33,INDEX(Data!$G$14:$G$30,MATCH('R5 - Output Incentives'!D$6+RIGHT('R5 - Output Incentives'!$C62,2),Data!$C$14:$C$30,0),0))</f>
        <v>0.19</v>
      </c>
      <c r="E62" s="884">
        <f>IF($C62=$B$33,$B$33,INDEX(Data!$G$14:$G$30,MATCH('R5 - Output Incentives'!E$6+RIGHT('R5 - Output Incentives'!$C62,2),Data!$C$14:$C$30,0),0))</f>
        <v>0.19</v>
      </c>
      <c r="F62" s="884">
        <f>IF($C62=$B$33,$B$33,INDEX(Data!$G$14:$G$30,MATCH('R5 - Output Incentives'!F$6+RIGHT('R5 - Output Incentives'!$C62,2),Data!$C$14:$C$30,0),0))</f>
        <v>0.19</v>
      </c>
      <c r="G62" s="884">
        <f>IF($C62=$B$33,$B$33,INDEX(Data!$G$14:$G$30,MATCH('R5 - Output Incentives'!G$6+RIGHT('R5 - Output Incentives'!$C62,2),Data!$C$14:$C$30,0),0))</f>
        <v>0.19</v>
      </c>
      <c r="H62" s="884">
        <f>IF($C62=$B$33,$B$33,INDEX(Data!$G$14:$G$30,MATCH('R5 - Output Incentives'!H$6+RIGHT('R5 - Output Incentives'!$C62,2),Data!$C$14:$C$30,0),0))</f>
        <v>0.19</v>
      </c>
      <c r="I62" s="884">
        <f>IF($C62=$B$33,$B$33,INDEX(Data!$G$14:$G$30,MATCH('R5 - Output Incentives'!I$6+RIGHT('R5 - Output Incentives'!$C62,2),Data!$C$14:$C$30,0),0))</f>
        <v>0.19</v>
      </c>
      <c r="J62" s="884">
        <f>IF($C62=$B$33,$B$33,INDEX(Data!$G$14:$G$30,MATCH('R5 - Output Incentives'!J$6+RIGHT('R5 - Output Incentives'!$C62,2),Data!$C$14:$C$30,0),0))</f>
        <v>0.19</v>
      </c>
      <c r="K62" s="885">
        <f>IF($C62=$B$33,$B$33,INDEX(Data!$G$14:$G$30,MATCH('R5 - Output Incentives'!K$6+RIGHT('R5 - Output Incentives'!$C62,2),Data!$C$14:$C$30,0),0))</f>
        <v>0.19</v>
      </c>
      <c r="L62" s="780"/>
      <c r="M62" s="781"/>
    </row>
    <row r="63" spans="1:13" s="2" customFormat="1">
      <c r="A63" s="160"/>
      <c r="B63" s="35" t="s">
        <v>210</v>
      </c>
      <c r="C63" s="155"/>
      <c r="D63" s="609">
        <f>IFERROR(D61*(1-D62),0)</f>
        <v>0.91975500000000021</v>
      </c>
      <c r="E63" s="610">
        <f t="shared" ref="E63:K63" si="20">IFERROR(E61*(1-E62),0)</f>
        <v>0.77178681257629389</v>
      </c>
      <c r="F63" s="610">
        <f t="shared" si="20"/>
        <v>0.97199999999999998</v>
      </c>
      <c r="G63" s="610">
        <f t="shared" si="20"/>
        <v>0.97199999999999998</v>
      </c>
      <c r="H63" s="610">
        <f t="shared" si="20"/>
        <v>0.97199999999999998</v>
      </c>
      <c r="I63" s="610">
        <f t="shared" si="20"/>
        <v>0.57664388381080678</v>
      </c>
      <c r="J63" s="610">
        <f t="shared" si="20"/>
        <v>0.5157302117384952</v>
      </c>
      <c r="K63" s="610">
        <f t="shared" si="20"/>
        <v>0.79041009965206188</v>
      </c>
      <c r="L63" s="668">
        <f>SUM(D63:INDEX(D63:K63,0,MATCH('RFPR cover'!$C$7,$D$6:$K$6,0)))</f>
        <v>5.699915908125595</v>
      </c>
      <c r="M63" s="669">
        <f>SUM(D63:K63)</f>
        <v>6.4903260077776572</v>
      </c>
    </row>
    <row r="64" spans="1:13" s="2" customFormat="1">
      <c r="A64" s="160"/>
      <c r="B64" s="51"/>
      <c r="C64" s="156"/>
      <c r="D64" s="156"/>
      <c r="E64" s="156"/>
      <c r="F64" s="156"/>
      <c r="G64" s="156"/>
      <c r="H64" s="156"/>
      <c r="I64" s="156"/>
      <c r="J64" s="156"/>
      <c r="K64" s="156"/>
      <c r="L64" s="156"/>
      <c r="M64" s="156"/>
    </row>
    <row r="65" spans="1:14" s="2" customFormat="1">
      <c r="A65" s="160" t="str">
        <f>$A$15</f>
        <v>e</v>
      </c>
      <c r="B65" s="171" t="str">
        <f>INDEX($B$11:$B$15,MATCH($A65,$A$11:$A$15,0),0)&amp;""</f>
        <v>Losses discretionary reward scheme</v>
      </c>
      <c r="C65" s="155" t="str">
        <f>'RFPR cover'!$C$14</f>
        <v>£m 12/13</v>
      </c>
      <c r="D65" s="778">
        <f>INDEX($D$11:$K$17,MATCH($A65,$A$11:$A$17,0),0)</f>
        <v>0</v>
      </c>
      <c r="E65" s="778">
        <f t="shared" ref="E65:K65" si="21">INDEX($D$11:$K$17,MATCH($A65,$A$11:$A$17,0),0)</f>
        <v>0.04</v>
      </c>
      <c r="F65" s="778">
        <f t="shared" si="21"/>
        <v>0</v>
      </c>
      <c r="G65" s="778">
        <f t="shared" si="21"/>
        <v>0</v>
      </c>
      <c r="H65" s="778">
        <f t="shared" si="21"/>
        <v>0</v>
      </c>
      <c r="I65" s="778">
        <f t="shared" si="21"/>
        <v>0</v>
      </c>
      <c r="J65" s="778">
        <f t="shared" si="21"/>
        <v>0</v>
      </c>
      <c r="K65" s="778">
        <f t="shared" si="21"/>
        <v>0</v>
      </c>
      <c r="L65" s="670">
        <f>SUM(D65:INDEX(D65:K65,0,MATCH('RFPR cover'!$C$7,$D$6:$K$6,0)))</f>
        <v>0.04</v>
      </c>
      <c r="M65" s="671">
        <f>SUM(D65:K65)</f>
        <v>0.04</v>
      </c>
    </row>
    <row r="66" spans="1:14" s="2" customFormat="1">
      <c r="A66" s="160"/>
      <c r="B66" s="35" t="s">
        <v>201</v>
      </c>
      <c r="C66" s="294" t="s">
        <v>209</v>
      </c>
      <c r="D66" s="883">
        <f>IF($C66=$B$33,$B$33,INDEX(Data!$G$14:$G$30,MATCH('R5 - Output Incentives'!D$6+RIGHT('R5 - Output Incentives'!$C66,2),Data!$C$14:$C$30,0),0))</f>
        <v>0.2</v>
      </c>
      <c r="E66" s="884">
        <f>IF($C66=$B$33,$B$33,INDEX(Data!$G$14:$G$30,MATCH('R5 - Output Incentives'!E$6+RIGHT('R5 - Output Incentives'!$C66,2),Data!$C$14:$C$30,0),0))</f>
        <v>0.19</v>
      </c>
      <c r="F66" s="884">
        <f>IF($C66=$B$33,$B$33,INDEX(Data!$G$14:$G$30,MATCH('R5 - Output Incentives'!F$6+RIGHT('R5 - Output Incentives'!$C66,2),Data!$C$14:$C$30,0),0))</f>
        <v>0.19</v>
      </c>
      <c r="G66" s="884">
        <f>IF($C66=$B$33,$B$33,INDEX(Data!$G$14:$G$30,MATCH('R5 - Output Incentives'!G$6+RIGHT('R5 - Output Incentives'!$C66,2),Data!$C$14:$C$30,0),0))</f>
        <v>0.19</v>
      </c>
      <c r="H66" s="884">
        <f>IF($C66=$B$33,$B$33,INDEX(Data!$G$14:$G$30,MATCH('R5 - Output Incentives'!H$6+RIGHT('R5 - Output Incentives'!$C66,2),Data!$C$14:$C$30,0),0))</f>
        <v>0.19</v>
      </c>
      <c r="I66" s="884">
        <f>IF($C66=$B$33,$B$33,INDEX(Data!$G$14:$G$30,MATCH('R5 - Output Incentives'!I$6+RIGHT('R5 - Output Incentives'!$C66,2),Data!$C$14:$C$30,0),0))</f>
        <v>0.19</v>
      </c>
      <c r="J66" s="884">
        <f>IF($C66=$B$33,$B$33,INDEX(Data!$G$14:$G$30,MATCH('R5 - Output Incentives'!J$6+RIGHT('R5 - Output Incentives'!$C66,2),Data!$C$14:$C$30,0),0))</f>
        <v>0.19</v>
      </c>
      <c r="K66" s="885">
        <f>IF($C66=$B$33,$B$33,INDEX(Data!$G$14:$G$30,MATCH('R5 - Output Incentives'!K$6+RIGHT('R5 - Output Incentives'!$C66,2),Data!$C$14:$C$30,0),0))</f>
        <v>0.19</v>
      </c>
      <c r="L66" s="780"/>
      <c r="M66" s="781"/>
    </row>
    <row r="67" spans="1:14" s="2" customFormat="1">
      <c r="A67" s="160"/>
      <c r="B67" s="35" t="s">
        <v>210</v>
      </c>
      <c r="C67" s="155"/>
      <c r="D67" s="609">
        <f>IFERROR(D65*(1-D66),0)</f>
        <v>0</v>
      </c>
      <c r="E67" s="610">
        <f t="shared" ref="E67:K67" si="22">IFERROR(E65*(1-E66),0)</f>
        <v>3.2400000000000005E-2</v>
      </c>
      <c r="F67" s="610">
        <f t="shared" si="22"/>
        <v>0</v>
      </c>
      <c r="G67" s="610">
        <f t="shared" si="22"/>
        <v>0</v>
      </c>
      <c r="H67" s="610">
        <f t="shared" si="22"/>
        <v>0</v>
      </c>
      <c r="I67" s="610">
        <f t="shared" si="22"/>
        <v>0</v>
      </c>
      <c r="J67" s="610">
        <f t="shared" si="22"/>
        <v>0</v>
      </c>
      <c r="K67" s="610">
        <f t="shared" si="22"/>
        <v>0</v>
      </c>
      <c r="L67" s="668">
        <f>SUM(D67:INDEX(D67:K67,0,MATCH('RFPR cover'!$C$7,$D$6:$K$6,0)))</f>
        <v>3.2400000000000005E-2</v>
      </c>
      <c r="M67" s="669">
        <f>SUM(D67:K67)</f>
        <v>3.2400000000000005E-2</v>
      </c>
    </row>
    <row r="68" spans="1:14" s="2" customFormat="1">
      <c r="A68" s="160"/>
      <c r="B68" s="51"/>
      <c r="C68" s="156"/>
      <c r="D68" s="156"/>
      <c r="E68" s="156"/>
      <c r="F68" s="156"/>
      <c r="G68" s="156"/>
      <c r="H68" s="156"/>
      <c r="I68" s="156"/>
      <c r="J68" s="156"/>
      <c r="K68" s="156"/>
      <c r="L68" s="156"/>
      <c r="M68" s="156"/>
    </row>
    <row r="69" spans="1:14" s="2" customFormat="1">
      <c r="A69" s="160" t="str">
        <f>$A$16</f>
        <v>f</v>
      </c>
      <c r="B69" s="171" t="str">
        <f>INDEX($B$11:$B$17,MATCH($A69,$A$11:$A$17,0),0)&amp;""</f>
        <v/>
      </c>
      <c r="C69" s="155" t="str">
        <f>'RFPR cover'!$C$14</f>
        <v>£m 12/13</v>
      </c>
      <c r="D69" s="778">
        <f>INDEX($D$11:$K$17,MATCH($A69,$A$11:$A$17,0),0)</f>
        <v>0</v>
      </c>
      <c r="E69" s="778">
        <f t="shared" ref="E69:K69" si="23">INDEX($D$11:$K$17,MATCH($A69,$A$11:$A$17,0),0)</f>
        <v>0</v>
      </c>
      <c r="F69" s="778">
        <f t="shared" si="23"/>
        <v>0</v>
      </c>
      <c r="G69" s="778">
        <f t="shared" si="23"/>
        <v>0</v>
      </c>
      <c r="H69" s="778">
        <f t="shared" si="23"/>
        <v>0</v>
      </c>
      <c r="I69" s="778">
        <f t="shared" si="23"/>
        <v>0</v>
      </c>
      <c r="J69" s="778">
        <f t="shared" si="23"/>
        <v>0</v>
      </c>
      <c r="K69" s="778">
        <f t="shared" si="23"/>
        <v>0</v>
      </c>
      <c r="L69" s="670">
        <f>SUM(D69:INDEX(D69:K69,0,MATCH('RFPR cover'!$C$7,$D$6:$K$6,0)))</f>
        <v>0</v>
      </c>
      <c r="M69" s="671">
        <f>SUM(D69:K69)</f>
        <v>0</v>
      </c>
    </row>
    <row r="70" spans="1:14" s="2" customFormat="1">
      <c r="A70" s="160"/>
      <c r="B70" s="35" t="s">
        <v>201</v>
      </c>
      <c r="C70" s="294" t="s">
        <v>209</v>
      </c>
      <c r="D70" s="883">
        <f>IF($C70=$B$33,$B$33,INDEX(Data!$G$14:$G$30,MATCH('R5 - Output Incentives'!D$6+RIGHT('R5 - Output Incentives'!$C70,2),Data!$C$14:$C$30,0),0))</f>
        <v>0.2</v>
      </c>
      <c r="E70" s="884">
        <f>IF($C70=$B$33,$B$33,INDEX(Data!$G$14:$G$30,MATCH('R5 - Output Incentives'!E$6+RIGHT('R5 - Output Incentives'!$C70,2),Data!$C$14:$C$30,0),0))</f>
        <v>0.19</v>
      </c>
      <c r="F70" s="884">
        <f>IF($C70=$B$33,$B$33,INDEX(Data!$G$14:$G$30,MATCH('R5 - Output Incentives'!F$6+RIGHT('R5 - Output Incentives'!$C70,2),Data!$C$14:$C$30,0),0))</f>
        <v>0.19</v>
      </c>
      <c r="G70" s="884">
        <f>IF($C70=$B$33,$B$33,INDEX(Data!$G$14:$G$30,MATCH('R5 - Output Incentives'!G$6+RIGHT('R5 - Output Incentives'!$C70,2),Data!$C$14:$C$30,0),0))</f>
        <v>0.19</v>
      </c>
      <c r="H70" s="884">
        <f>IF($C70=$B$33,$B$33,INDEX(Data!$G$14:$G$30,MATCH('R5 - Output Incentives'!H$6+RIGHT('R5 - Output Incentives'!$C70,2),Data!$C$14:$C$30,0),0))</f>
        <v>0.19</v>
      </c>
      <c r="I70" s="884">
        <f>IF($C70=$B$33,$B$33,INDEX(Data!$G$14:$G$30,MATCH('R5 - Output Incentives'!I$6+RIGHT('R5 - Output Incentives'!$C70,2),Data!$C$14:$C$30,0),0))</f>
        <v>0.19</v>
      </c>
      <c r="J70" s="884">
        <f>IF($C70=$B$33,$B$33,INDEX(Data!$G$14:$G$30,MATCH('R5 - Output Incentives'!J$6+RIGHT('R5 - Output Incentives'!$C70,2),Data!$C$14:$C$30,0),0))</f>
        <v>0.19</v>
      </c>
      <c r="K70" s="885">
        <f>IF($C70=$B$33,$B$33,INDEX(Data!$G$14:$G$30,MATCH('R5 - Output Incentives'!K$6+RIGHT('R5 - Output Incentives'!$C70,2),Data!$C$14:$C$30,0),0))</f>
        <v>0.19</v>
      </c>
      <c r="L70" s="780"/>
      <c r="M70" s="781"/>
    </row>
    <row r="71" spans="1:14" s="2" customFormat="1">
      <c r="A71" s="160"/>
      <c r="B71" s="35" t="s">
        <v>210</v>
      </c>
      <c r="C71" s="155"/>
      <c r="D71" s="609">
        <f>IFERROR(D69*(1-D70),0)</f>
        <v>0</v>
      </c>
      <c r="E71" s="610">
        <f t="shared" ref="E71:K71" si="24">IFERROR(E69*(1-E70),0)</f>
        <v>0</v>
      </c>
      <c r="F71" s="610">
        <f t="shared" si="24"/>
        <v>0</v>
      </c>
      <c r="G71" s="610">
        <f t="shared" si="24"/>
        <v>0</v>
      </c>
      <c r="H71" s="610">
        <f t="shared" si="24"/>
        <v>0</v>
      </c>
      <c r="I71" s="610">
        <f t="shared" si="24"/>
        <v>0</v>
      </c>
      <c r="J71" s="610">
        <f t="shared" si="24"/>
        <v>0</v>
      </c>
      <c r="K71" s="610">
        <f t="shared" si="24"/>
        <v>0</v>
      </c>
      <c r="L71" s="668">
        <f>SUM(D71:INDEX(D71:K71,0,MATCH('RFPR cover'!$C$7,$D$6:$K$6,0)))</f>
        <v>0</v>
      </c>
      <c r="M71" s="669">
        <f>SUM(D71:K71)</f>
        <v>0</v>
      </c>
    </row>
    <row r="72" spans="1:14" s="2" customFormat="1">
      <c r="A72" s="160"/>
      <c r="B72" s="51"/>
      <c r="C72" s="156"/>
      <c r="D72" s="156"/>
      <c r="E72" s="156"/>
      <c r="F72" s="156"/>
      <c r="G72" s="156"/>
      <c r="H72" s="156"/>
      <c r="I72" s="156"/>
      <c r="J72" s="156"/>
      <c r="K72" s="156"/>
      <c r="L72" s="156"/>
      <c r="M72" s="156"/>
    </row>
    <row r="73" spans="1:14" s="2" customFormat="1">
      <c r="A73" s="160" t="s">
        <v>478</v>
      </c>
      <c r="B73" s="171" t="str">
        <f>INDEX($B$11:$B$17,MATCH($A73,$A$11:$A$17,0),0)&amp;""</f>
        <v/>
      </c>
      <c r="C73" s="155" t="str">
        <f>'RFPR cover'!$C$14</f>
        <v>£m 12/13</v>
      </c>
      <c r="D73" s="778">
        <f>INDEX($D$11:$K$17,MATCH($A73,$A$11:$A$17,0),0)</f>
        <v>0</v>
      </c>
      <c r="E73" s="778">
        <f t="shared" ref="E73:K73" si="25">INDEX($D$11:$K$17,MATCH($A73,$A$11:$A$17,0),0)</f>
        <v>0</v>
      </c>
      <c r="F73" s="778">
        <f t="shared" si="25"/>
        <v>0</v>
      </c>
      <c r="G73" s="778">
        <f t="shared" si="25"/>
        <v>0</v>
      </c>
      <c r="H73" s="778">
        <f t="shared" si="25"/>
        <v>0</v>
      </c>
      <c r="I73" s="778">
        <f t="shared" si="25"/>
        <v>0</v>
      </c>
      <c r="J73" s="778">
        <f t="shared" si="25"/>
        <v>0</v>
      </c>
      <c r="K73" s="778">
        <f t="shared" si="25"/>
        <v>0</v>
      </c>
      <c r="L73" s="670">
        <f>SUM(D73:INDEX(D73:K73,0,MATCH('RFPR cover'!$C$7,$D$6:$K$6,0)))</f>
        <v>0</v>
      </c>
      <c r="M73" s="671">
        <f>SUM(D73:K73)</f>
        <v>0</v>
      </c>
    </row>
    <row r="74" spans="1:14" s="2" customFormat="1">
      <c r="A74" s="160"/>
      <c r="B74" s="35" t="s">
        <v>201</v>
      </c>
      <c r="C74" s="294" t="s">
        <v>209</v>
      </c>
      <c r="D74" s="883">
        <f>IF($C74=$B$33,$B$33,INDEX(Data!$G$14:$G$30,MATCH('R5 - Output Incentives'!D$6+RIGHT('R5 - Output Incentives'!$C74,2),Data!$C$14:$C$30,0),0))</f>
        <v>0.2</v>
      </c>
      <c r="E74" s="884">
        <f>IF($C74=$B$33,$B$33,INDEX(Data!$G$14:$G$30,MATCH('R5 - Output Incentives'!E$6+RIGHT('R5 - Output Incentives'!$C74,2),Data!$C$14:$C$30,0),0))</f>
        <v>0.19</v>
      </c>
      <c r="F74" s="884">
        <f>IF($C74=$B$33,$B$33,INDEX(Data!$G$14:$G$30,MATCH('R5 - Output Incentives'!F$6+RIGHT('R5 - Output Incentives'!$C74,2),Data!$C$14:$C$30,0),0))</f>
        <v>0.19</v>
      </c>
      <c r="G74" s="884">
        <f>IF($C74=$B$33,$B$33,INDEX(Data!$G$14:$G$30,MATCH('R5 - Output Incentives'!G$6+RIGHT('R5 - Output Incentives'!$C74,2),Data!$C$14:$C$30,0),0))</f>
        <v>0.19</v>
      </c>
      <c r="H74" s="884">
        <f>IF($C74=$B$33,$B$33,INDEX(Data!$G$14:$G$30,MATCH('R5 - Output Incentives'!H$6+RIGHT('R5 - Output Incentives'!$C74,2),Data!$C$14:$C$30,0),0))</f>
        <v>0.19</v>
      </c>
      <c r="I74" s="884">
        <f>IF($C74=$B$33,$B$33,INDEX(Data!$G$14:$G$30,MATCH('R5 - Output Incentives'!I$6+RIGHT('R5 - Output Incentives'!$C74,2),Data!$C$14:$C$30,0),0))</f>
        <v>0.19</v>
      </c>
      <c r="J74" s="884">
        <f>IF($C74=$B$33,$B$33,INDEX(Data!$G$14:$G$30,MATCH('R5 - Output Incentives'!J$6+RIGHT('R5 - Output Incentives'!$C74,2),Data!$C$14:$C$30,0),0))</f>
        <v>0.19</v>
      </c>
      <c r="K74" s="885">
        <f>IF($C74=$B$33,$B$33,INDEX(Data!$G$14:$G$30,MATCH('R5 - Output Incentives'!K$6+RIGHT('R5 - Output Incentives'!$C74,2),Data!$C$14:$C$30,0),0))</f>
        <v>0.19</v>
      </c>
      <c r="L74" s="780"/>
      <c r="M74" s="781"/>
    </row>
    <row r="75" spans="1:14" s="2" customFormat="1">
      <c r="A75" s="160"/>
      <c r="B75" s="35" t="s">
        <v>210</v>
      </c>
      <c r="C75" s="155"/>
      <c r="D75" s="609">
        <f>IFERROR(D73*(1-D74),0)</f>
        <v>0</v>
      </c>
      <c r="E75" s="610">
        <f t="shared" ref="E75:K75" si="26">IFERROR(E73*(1-E74),0)</f>
        <v>0</v>
      </c>
      <c r="F75" s="610">
        <f t="shared" si="26"/>
        <v>0</v>
      </c>
      <c r="G75" s="610">
        <f t="shared" si="26"/>
        <v>0</v>
      </c>
      <c r="H75" s="610">
        <f t="shared" si="26"/>
        <v>0</v>
      </c>
      <c r="I75" s="610">
        <f t="shared" si="26"/>
        <v>0</v>
      </c>
      <c r="J75" s="610">
        <f t="shared" si="26"/>
        <v>0</v>
      </c>
      <c r="K75" s="610">
        <f t="shared" si="26"/>
        <v>0</v>
      </c>
      <c r="L75" s="668">
        <f>SUM(D75:INDEX(D75:K75,0,MATCH('RFPR cover'!$C$7,$D$6:$K$6,0)))</f>
        <v>0</v>
      </c>
      <c r="M75" s="669">
        <f>SUM(D75:K75)</f>
        <v>0</v>
      </c>
    </row>
    <row r="76" spans="1:14" s="532" customFormat="1" ht="14.25" customHeight="1">
      <c r="A76" s="531"/>
      <c r="C76" s="533"/>
      <c r="D76" s="534"/>
      <c r="E76" s="534"/>
      <c r="F76" s="534"/>
      <c r="G76" s="534"/>
      <c r="H76" s="534"/>
      <c r="I76" s="534"/>
      <c r="J76" s="534"/>
      <c r="K76" s="534"/>
      <c r="L76" s="535"/>
      <c r="M76" s="535"/>
    </row>
    <row r="77" spans="1:14" s="2" customFormat="1">
      <c r="B77" s="116" t="s">
        <v>395</v>
      </c>
      <c r="C77" s="150"/>
      <c r="D77" s="133"/>
      <c r="E77" s="133"/>
      <c r="F77" s="133"/>
      <c r="G77" s="133"/>
      <c r="H77" s="133"/>
      <c r="I77" s="133"/>
      <c r="J77" s="133"/>
      <c r="K77" s="133"/>
      <c r="L77" s="81"/>
      <c r="M77" s="81"/>
      <c r="N77" s="81"/>
    </row>
    <row r="78" spans="1:14" s="2" customFormat="1">
      <c r="B78" s="367" t="s">
        <v>394</v>
      </c>
      <c r="C78" s="291"/>
      <c r="D78" s="292"/>
      <c r="E78" s="292"/>
      <c r="F78" s="292"/>
      <c r="G78" s="292"/>
      <c r="H78" s="292"/>
      <c r="I78" s="292"/>
      <c r="J78" s="292"/>
      <c r="K78" s="292"/>
      <c r="L78" s="293"/>
      <c r="M78" s="293"/>
      <c r="N78" s="293"/>
    </row>
    <row r="79" spans="1:14" s="2" customFormat="1">
      <c r="B79" s="367" t="s">
        <v>396</v>
      </c>
      <c r="C79" s="291"/>
      <c r="D79" s="292"/>
      <c r="E79" s="292"/>
      <c r="F79" s="292"/>
      <c r="G79" s="292"/>
      <c r="H79" s="292"/>
      <c r="I79" s="292"/>
      <c r="J79" s="292"/>
      <c r="K79" s="292"/>
      <c r="L79" s="293"/>
      <c r="M79" s="293"/>
      <c r="N79" s="293"/>
    </row>
    <row r="80" spans="1:14" s="532" customFormat="1">
      <c r="B80" s="537"/>
      <c r="C80" s="538"/>
      <c r="D80" s="539"/>
      <c r="E80" s="539"/>
      <c r="F80" s="539"/>
      <c r="G80" s="539"/>
      <c r="H80" s="539"/>
      <c r="I80" s="539"/>
      <c r="J80" s="539"/>
      <c r="K80" s="539"/>
    </row>
    <row r="81" spans="1:22" s="2" customFormat="1">
      <c r="B81" s="12"/>
      <c r="C81" s="540" t="s">
        <v>397</v>
      </c>
      <c r="D81" s="543" t="str">
        <f t="shared" ref="D81:K81" si="27">IF($C50=$B$33,D$6,IF(D$6-RIGHT($C50,1)&lt;$D$6,"Pre-RIIO",D$6-RIGHT($C50,1)))</f>
        <v>Pre-RIIO</v>
      </c>
      <c r="E81" s="544" t="str">
        <f t="shared" si="27"/>
        <v>Pre-RIIO</v>
      </c>
      <c r="F81" s="544">
        <f t="shared" si="27"/>
        <v>2016</v>
      </c>
      <c r="G81" s="544">
        <f t="shared" si="27"/>
        <v>2017</v>
      </c>
      <c r="H81" s="544">
        <f t="shared" si="27"/>
        <v>2018</v>
      </c>
      <c r="I81" s="544">
        <f t="shared" si="27"/>
        <v>2019</v>
      </c>
      <c r="J81" s="544">
        <f t="shared" si="27"/>
        <v>2020</v>
      </c>
      <c r="K81" s="545">
        <f t="shared" si="27"/>
        <v>2021</v>
      </c>
    </row>
    <row r="82" spans="1:22" s="2" customFormat="1">
      <c r="A82" s="3" t="str">
        <f>A11</f>
        <v>a</v>
      </c>
      <c r="B82" s="129" t="str">
        <f>B11&amp;""</f>
        <v>Broad measure of customer service</v>
      </c>
      <c r="C82" s="136" t="s">
        <v>128</v>
      </c>
      <c r="D82" s="593">
        <v>2.3880586688999994</v>
      </c>
      <c r="E82" s="638">
        <v>2.1673151658982968</v>
      </c>
      <c r="F82" s="638">
        <v>3.985476737729658</v>
      </c>
      <c r="G82" s="638">
        <v>4.128612600000003</v>
      </c>
      <c r="H82" s="616">
        <v>4.3164354743606053</v>
      </c>
      <c r="I82" s="616">
        <v>4.5178753628282449</v>
      </c>
      <c r="J82" s="616">
        <f>+H11*Data!G$34</f>
        <v>3.7750496617962601</v>
      </c>
      <c r="K82" s="616">
        <f>+I11*Data!H$34</f>
        <v>3.8208346827424129</v>
      </c>
      <c r="O82" s="944"/>
      <c r="P82" s="944"/>
      <c r="Q82" s="944"/>
      <c r="R82" s="944"/>
      <c r="S82" s="944"/>
      <c r="T82" s="944"/>
      <c r="U82" s="944"/>
      <c r="V82" s="944"/>
    </row>
    <row r="83" spans="1:22" s="2" customFormat="1">
      <c r="A83" s="3"/>
      <c r="B83" s="129"/>
      <c r="C83" s="136"/>
      <c r="D83" s="136"/>
      <c r="E83" s="136"/>
      <c r="F83" s="136"/>
      <c r="G83" s="136"/>
      <c r="H83" s="136"/>
      <c r="I83" s="136"/>
      <c r="J83" s="136"/>
      <c r="K83" s="136"/>
      <c r="L83" s="136"/>
      <c r="O83" s="944"/>
      <c r="P83" s="944"/>
      <c r="Q83" s="944"/>
      <c r="R83" s="944"/>
      <c r="S83" s="944"/>
      <c r="T83" s="944"/>
      <c r="U83" s="944"/>
      <c r="V83" s="944"/>
    </row>
    <row r="84" spans="1:22" s="2" customFormat="1">
      <c r="A84" s="3"/>
      <c r="B84" s="129"/>
      <c r="C84" s="540" t="s">
        <v>397</v>
      </c>
      <c r="D84" s="543" t="str">
        <f t="shared" ref="D84:K84" si="28">IF($C54=$B$33,D$6,IF(D$6-RIGHT($C54,1)&lt;$D$6,"Pre-RIIO",D$6-RIGHT($C54,1)))</f>
        <v>Pre-RIIO</v>
      </c>
      <c r="E84" s="544" t="str">
        <f t="shared" si="28"/>
        <v>Pre-RIIO</v>
      </c>
      <c r="F84" s="544">
        <f t="shared" si="28"/>
        <v>2016</v>
      </c>
      <c r="G84" s="544">
        <f t="shared" si="28"/>
        <v>2017</v>
      </c>
      <c r="H84" s="544">
        <f t="shared" si="28"/>
        <v>2018</v>
      </c>
      <c r="I84" s="544">
        <f t="shared" si="28"/>
        <v>2019</v>
      </c>
      <c r="J84" s="544">
        <f t="shared" si="28"/>
        <v>2020</v>
      </c>
      <c r="K84" s="545">
        <f t="shared" si="28"/>
        <v>2021</v>
      </c>
      <c r="O84" s="944"/>
      <c r="P84" s="944"/>
      <c r="Q84" s="944"/>
      <c r="R84" s="944"/>
      <c r="S84" s="944"/>
      <c r="T84" s="944"/>
      <c r="U84" s="944"/>
      <c r="V84" s="944"/>
    </row>
    <row r="85" spans="1:22" s="2" customFormat="1">
      <c r="A85" s="3" t="str">
        <f>A12</f>
        <v>b</v>
      </c>
      <c r="B85" s="129" t="str">
        <f>B12&amp;""</f>
        <v>Interruptions-related quality of service</v>
      </c>
      <c r="C85" s="136" t="s">
        <v>128</v>
      </c>
      <c r="D85" s="593">
        <v>4.9079221662150001</v>
      </c>
      <c r="E85" s="638">
        <v>5.8106222910786931</v>
      </c>
      <c r="F85" s="638">
        <v>5.8223395612175697</v>
      </c>
      <c r="G85" s="638">
        <v>4.2084352807151353</v>
      </c>
      <c r="H85" s="616">
        <v>-0.46306793557735471</v>
      </c>
      <c r="I85" s="616">
        <v>4.288804415008153</v>
      </c>
      <c r="J85" s="616">
        <v>7.194845408102184</v>
      </c>
      <c r="K85" s="616">
        <v>1.2929950528872838</v>
      </c>
      <c r="O85" s="944"/>
      <c r="P85" s="944"/>
      <c r="Q85" s="944"/>
      <c r="R85" s="944"/>
      <c r="S85" s="944"/>
      <c r="T85" s="944"/>
      <c r="U85" s="944"/>
      <c r="V85" s="944"/>
    </row>
    <row r="86" spans="1:22" s="2" customFormat="1">
      <c r="A86" s="3"/>
      <c r="B86" s="129"/>
      <c r="C86" s="136"/>
      <c r="D86" s="136"/>
      <c r="E86" s="136"/>
      <c r="F86" s="136"/>
      <c r="G86" s="136"/>
      <c r="H86" s="136"/>
      <c r="I86" s="136"/>
      <c r="J86" s="136"/>
      <c r="K86" s="136"/>
      <c r="L86" s="136"/>
      <c r="O86" s="944"/>
      <c r="P86" s="944"/>
      <c r="Q86" s="944"/>
      <c r="R86" s="944"/>
      <c r="S86" s="944"/>
      <c r="T86" s="944"/>
      <c r="U86" s="944"/>
      <c r="V86" s="944"/>
    </row>
    <row r="87" spans="1:22" s="2" customFormat="1">
      <c r="A87" s="3"/>
      <c r="B87" s="129"/>
      <c r="C87" s="540" t="s">
        <v>397</v>
      </c>
      <c r="D87" s="543" t="str">
        <f t="shared" ref="D87:K87" si="29">IF($C58=$B$33,D$6,IF(D$6-RIGHT($C58,1)&lt;$D$6,"Pre-RIIO",D$6-RIGHT($C58,1)))</f>
        <v>Pre-RIIO</v>
      </c>
      <c r="E87" s="544" t="str">
        <f t="shared" si="29"/>
        <v>Pre-RIIO</v>
      </c>
      <c r="F87" s="544" t="str">
        <f t="shared" si="29"/>
        <v>Pre-RIIO</v>
      </c>
      <c r="G87" s="544">
        <f t="shared" si="29"/>
        <v>2016</v>
      </c>
      <c r="H87" s="544">
        <f t="shared" si="29"/>
        <v>2017</v>
      </c>
      <c r="I87" s="544">
        <f t="shared" si="29"/>
        <v>2018</v>
      </c>
      <c r="J87" s="544">
        <f t="shared" si="29"/>
        <v>2019</v>
      </c>
      <c r="K87" s="545">
        <f t="shared" si="29"/>
        <v>2020</v>
      </c>
      <c r="O87" s="944"/>
      <c r="P87" s="944"/>
      <c r="Q87" s="944"/>
      <c r="R87" s="944"/>
      <c r="S87" s="944"/>
      <c r="T87" s="944"/>
      <c r="U87" s="944"/>
      <c r="V87" s="944"/>
    </row>
    <row r="88" spans="1:22" s="2" customFormat="1">
      <c r="A88" s="3" t="str">
        <f>A13</f>
        <v>c</v>
      </c>
      <c r="B88" s="129" t="str">
        <f>B13&amp;""</f>
        <v>Incentive on connections engagement</v>
      </c>
      <c r="C88" s="136" t="s">
        <v>128</v>
      </c>
      <c r="D88" s="593">
        <v>0</v>
      </c>
      <c r="E88" s="638">
        <v>0</v>
      </c>
      <c r="F88" s="638">
        <v>0</v>
      </c>
      <c r="G88" s="638">
        <v>0</v>
      </c>
      <c r="H88" s="616">
        <v>0</v>
      </c>
      <c r="I88" s="616">
        <v>0</v>
      </c>
      <c r="J88" s="616">
        <v>0</v>
      </c>
      <c r="K88" s="616">
        <v>0</v>
      </c>
      <c r="O88" s="944"/>
      <c r="P88" s="944"/>
      <c r="Q88" s="944"/>
      <c r="R88" s="944"/>
      <c r="S88" s="944"/>
      <c r="T88" s="944"/>
      <c r="U88" s="944"/>
      <c r="V88" s="944"/>
    </row>
    <row r="89" spans="1:22" s="2" customFormat="1">
      <c r="A89" s="3"/>
      <c r="B89" s="129"/>
      <c r="C89" s="136"/>
      <c r="D89" s="136"/>
      <c r="E89" s="136"/>
      <c r="F89" s="136"/>
      <c r="G89" s="136"/>
      <c r="H89" s="136"/>
      <c r="I89" s="136"/>
      <c r="J89" s="136"/>
      <c r="K89" s="136"/>
      <c r="L89" s="136"/>
      <c r="O89" s="944"/>
      <c r="P89" s="944"/>
      <c r="Q89" s="944"/>
      <c r="R89" s="944"/>
      <c r="S89" s="944"/>
      <c r="T89" s="944"/>
      <c r="U89" s="944"/>
      <c r="V89" s="944"/>
    </row>
    <row r="90" spans="1:22" s="2" customFormat="1">
      <c r="A90" s="3"/>
      <c r="B90" s="129"/>
      <c r="C90" s="540" t="s">
        <v>397</v>
      </c>
      <c r="D90" s="543" t="str">
        <f t="shared" ref="D90:K90" si="30">IF($C62=$B$33,D$6,IF(D$6-RIGHT($C62,1)&lt;$D$6,"Pre-RIIO",D$6-RIGHT($C62,1)))</f>
        <v>Pre-RIIO</v>
      </c>
      <c r="E90" s="544" t="str">
        <f t="shared" si="30"/>
        <v>Pre-RIIO</v>
      </c>
      <c r="F90" s="544">
        <f t="shared" si="30"/>
        <v>2016</v>
      </c>
      <c r="G90" s="544">
        <f t="shared" si="30"/>
        <v>2017</v>
      </c>
      <c r="H90" s="544">
        <f t="shared" si="30"/>
        <v>2018</v>
      </c>
      <c r="I90" s="544">
        <f t="shared" si="30"/>
        <v>2019</v>
      </c>
      <c r="J90" s="544">
        <f t="shared" si="30"/>
        <v>2020</v>
      </c>
      <c r="K90" s="545">
        <f t="shared" si="30"/>
        <v>2021</v>
      </c>
      <c r="O90" s="944"/>
      <c r="P90" s="944"/>
      <c r="Q90" s="944"/>
      <c r="R90" s="944"/>
      <c r="S90" s="944"/>
      <c r="T90" s="944"/>
      <c r="U90" s="944"/>
      <c r="V90" s="944"/>
    </row>
    <row r="91" spans="1:22" s="2" customFormat="1">
      <c r="A91" s="3" t="str">
        <f>A14</f>
        <v>d</v>
      </c>
      <c r="B91" s="129" t="str">
        <f>B14&amp;""</f>
        <v>Time to Connect Incentive</v>
      </c>
      <c r="C91" s="136" t="s">
        <v>128</v>
      </c>
      <c r="D91" s="593">
        <v>0</v>
      </c>
      <c r="E91" s="638">
        <v>0</v>
      </c>
      <c r="F91" s="638">
        <v>1.2039896658833147</v>
      </c>
      <c r="G91" s="638">
        <v>1.0317740999999998</v>
      </c>
      <c r="H91" s="616">
        <v>1.348276693573107</v>
      </c>
      <c r="I91" s="616">
        <v>1.3894742004700111</v>
      </c>
      <c r="J91" s="616">
        <v>1.4254435475630938</v>
      </c>
      <c r="K91" s="616">
        <f>+I14*Data!H$34</f>
        <v>0.85590788167712317</v>
      </c>
      <c r="O91" s="944"/>
      <c r="P91" s="944"/>
      <c r="Q91" s="944"/>
      <c r="R91" s="944"/>
      <c r="S91" s="944"/>
      <c r="T91" s="944"/>
      <c r="U91" s="944"/>
      <c r="V91" s="944"/>
    </row>
    <row r="92" spans="1:22" s="2" customFormat="1">
      <c r="A92" s="3"/>
      <c r="B92" s="129"/>
      <c r="C92" s="136"/>
      <c r="D92" s="136"/>
      <c r="E92" s="136"/>
      <c r="F92" s="136"/>
      <c r="G92" s="136"/>
      <c r="H92" s="136"/>
      <c r="I92" s="136"/>
      <c r="J92" s="136"/>
      <c r="K92" s="136"/>
      <c r="L92" s="136"/>
      <c r="O92" s="944"/>
      <c r="P92" s="944"/>
      <c r="Q92" s="944"/>
      <c r="R92" s="944"/>
      <c r="S92" s="944"/>
      <c r="T92" s="944"/>
      <c r="U92" s="944"/>
      <c r="V92" s="944"/>
    </row>
    <row r="93" spans="1:22" s="2" customFormat="1">
      <c r="A93" s="3"/>
      <c r="B93" s="129"/>
      <c r="C93" s="540" t="s">
        <v>397</v>
      </c>
      <c r="D93" s="543" t="str">
        <f>IF($C66=$B$33,D$6,IF(D$6-RIGHT($C66,1)&lt;$D$6,"Pre-RIIO",D$6-RIGHT($C66,1)))</f>
        <v>Pre-RIIO</v>
      </c>
      <c r="E93" s="544">
        <f t="shared" ref="E93:K93" si="31">IF($C66=$B$33,E$6,IF(E$6-RIGHT($C66,1)&lt;$D$6,"Pre-RIIO",E$6-RIGHT($C66,1)))</f>
        <v>2016</v>
      </c>
      <c r="F93" s="544">
        <f t="shared" si="31"/>
        <v>2017</v>
      </c>
      <c r="G93" s="544">
        <f t="shared" si="31"/>
        <v>2018</v>
      </c>
      <c r="H93" s="544">
        <f t="shared" si="31"/>
        <v>2019</v>
      </c>
      <c r="I93" s="544">
        <f t="shared" si="31"/>
        <v>2020</v>
      </c>
      <c r="J93" s="544">
        <f t="shared" si="31"/>
        <v>2021</v>
      </c>
      <c r="K93" s="545">
        <f t="shared" si="31"/>
        <v>2022</v>
      </c>
      <c r="O93" s="944"/>
      <c r="P93" s="944"/>
      <c r="Q93" s="944"/>
      <c r="R93" s="944"/>
      <c r="S93" s="944"/>
      <c r="T93" s="944"/>
      <c r="U93" s="944"/>
      <c r="V93" s="944"/>
    </row>
    <row r="94" spans="1:22" s="2" customFormat="1">
      <c r="A94" s="3" t="str">
        <f>A15</f>
        <v>e</v>
      </c>
      <c r="B94" s="129" t="str">
        <f>B15&amp;""</f>
        <v>Losses discretionary reward scheme</v>
      </c>
      <c r="C94" s="136" t="s">
        <v>128</v>
      </c>
      <c r="D94" s="593">
        <v>0</v>
      </c>
      <c r="E94" s="638">
        <v>0</v>
      </c>
      <c r="F94" s="638">
        <v>4.4839999999999998E-2</v>
      </c>
      <c r="G94" s="638">
        <v>0</v>
      </c>
      <c r="H94" s="616">
        <v>0</v>
      </c>
      <c r="I94" s="616">
        <v>0</v>
      </c>
      <c r="J94" s="616">
        <v>0</v>
      </c>
      <c r="K94" s="616">
        <v>0</v>
      </c>
      <c r="O94" s="944"/>
      <c r="P94" s="944"/>
      <c r="Q94" s="944"/>
      <c r="R94" s="944"/>
      <c r="S94" s="944"/>
      <c r="T94" s="944"/>
      <c r="U94" s="944"/>
      <c r="V94" s="944"/>
    </row>
    <row r="95" spans="1:22" s="2" customFormat="1">
      <c r="A95" s="3"/>
      <c r="B95" s="129"/>
      <c r="C95" s="136"/>
      <c r="D95" s="136"/>
      <c r="E95" s="136"/>
      <c r="F95" s="136"/>
      <c r="G95" s="136"/>
      <c r="H95" s="136"/>
      <c r="I95" s="136"/>
      <c r="J95" s="136"/>
      <c r="K95" s="136"/>
      <c r="L95" s="136"/>
      <c r="O95" s="944"/>
      <c r="P95" s="944"/>
      <c r="Q95" s="944"/>
      <c r="R95" s="944"/>
      <c r="S95" s="944"/>
      <c r="T95" s="944"/>
      <c r="U95" s="944"/>
      <c r="V95" s="944"/>
    </row>
    <row r="96" spans="1:22" s="2" customFormat="1">
      <c r="A96" s="3"/>
      <c r="B96" s="129"/>
      <c r="C96" s="540" t="s">
        <v>397</v>
      </c>
      <c r="D96" s="543" t="str">
        <f>IF($C70=$B$33,D$6,IF(D$6-RIGHT($C70,1)&lt;$D$6,"Pre-RIIO",D$6-RIGHT($C70,1)))</f>
        <v>Pre-RIIO</v>
      </c>
      <c r="E96" s="543">
        <f t="shared" ref="E96:K96" si="32">IF($C70=$B$33,E$6,IF(E$6-RIGHT($C70,1)&lt;$D$6,"Pre-RIIO",E$6-RIGHT($C70,1)))</f>
        <v>2016</v>
      </c>
      <c r="F96" s="543">
        <f t="shared" si="32"/>
        <v>2017</v>
      </c>
      <c r="G96" s="543">
        <f t="shared" si="32"/>
        <v>2018</v>
      </c>
      <c r="H96" s="543">
        <f t="shared" si="32"/>
        <v>2019</v>
      </c>
      <c r="I96" s="543">
        <f t="shared" si="32"/>
        <v>2020</v>
      </c>
      <c r="J96" s="543">
        <f t="shared" si="32"/>
        <v>2021</v>
      </c>
      <c r="K96" s="543">
        <f t="shared" si="32"/>
        <v>2022</v>
      </c>
      <c r="O96" s="944"/>
      <c r="P96" s="944"/>
      <c r="Q96" s="944"/>
      <c r="R96" s="944"/>
      <c r="S96" s="944"/>
      <c r="T96" s="944"/>
      <c r="U96" s="944"/>
      <c r="V96" s="944"/>
    </row>
    <row r="97" spans="1:22" s="2" customFormat="1">
      <c r="A97" s="3" t="str">
        <f>A16</f>
        <v>f</v>
      </c>
      <c r="B97" s="129" t="str">
        <f>B16&amp;""</f>
        <v/>
      </c>
      <c r="C97" s="136" t="s">
        <v>128</v>
      </c>
      <c r="D97" s="637"/>
      <c r="E97" s="638"/>
      <c r="F97" s="638"/>
      <c r="G97" s="638"/>
      <c r="H97" s="616"/>
      <c r="I97" s="616"/>
      <c r="J97" s="616"/>
      <c r="K97" s="616"/>
      <c r="O97" s="944"/>
      <c r="P97" s="944"/>
      <c r="Q97" s="944"/>
      <c r="R97" s="944"/>
      <c r="S97" s="944"/>
      <c r="T97" s="944"/>
      <c r="U97" s="944"/>
      <c r="V97" s="944"/>
    </row>
    <row r="98" spans="1:22" s="2" customFormat="1">
      <c r="A98" s="3"/>
      <c r="B98" s="129"/>
      <c r="C98" s="136"/>
      <c r="D98" s="136"/>
      <c r="E98" s="136"/>
      <c r="F98" s="136"/>
      <c r="G98" s="136"/>
      <c r="H98" s="136"/>
      <c r="I98" s="136"/>
      <c r="J98" s="136"/>
      <c r="K98" s="136"/>
      <c r="L98" s="136"/>
      <c r="O98" s="944"/>
      <c r="P98" s="944"/>
      <c r="Q98" s="944"/>
      <c r="R98" s="944"/>
      <c r="S98" s="944"/>
      <c r="T98" s="944"/>
      <c r="U98" s="944"/>
      <c r="V98" s="944"/>
    </row>
    <row r="99" spans="1:22" s="2" customFormat="1">
      <c r="A99" s="3"/>
      <c r="B99" s="129"/>
      <c r="C99" s="540" t="s">
        <v>397</v>
      </c>
      <c r="D99" s="543" t="str">
        <f>IF($C74=$B$33,D$6,IF(D$6-RIGHT($C74,1)&lt;$D$6,"Pre-RIIO",D$6-RIGHT($C74,1)))</f>
        <v>Pre-RIIO</v>
      </c>
      <c r="E99" s="543">
        <f t="shared" ref="E99:K99" si="33">IF($C74=$B$33,E$6,IF(E$6-RIGHT($C74,1)&lt;$D$6,"Pre-RIIO",E$6-RIGHT($C74,1)))</f>
        <v>2016</v>
      </c>
      <c r="F99" s="543">
        <f t="shared" si="33"/>
        <v>2017</v>
      </c>
      <c r="G99" s="543">
        <f t="shared" si="33"/>
        <v>2018</v>
      </c>
      <c r="H99" s="543">
        <f t="shared" si="33"/>
        <v>2019</v>
      </c>
      <c r="I99" s="543">
        <f t="shared" si="33"/>
        <v>2020</v>
      </c>
      <c r="J99" s="543">
        <f t="shared" si="33"/>
        <v>2021</v>
      </c>
      <c r="K99" s="543">
        <f t="shared" si="33"/>
        <v>2022</v>
      </c>
      <c r="O99" s="944"/>
      <c r="P99" s="944"/>
      <c r="Q99" s="944"/>
      <c r="R99" s="944"/>
      <c r="S99" s="944"/>
      <c r="T99" s="944"/>
      <c r="U99" s="944"/>
      <c r="V99" s="944"/>
    </row>
    <row r="100" spans="1:22" s="2" customFormat="1">
      <c r="A100" s="3" t="str">
        <f>A17</f>
        <v>g</v>
      </c>
      <c r="B100" s="129" t="str">
        <f>B17&amp;""</f>
        <v/>
      </c>
      <c r="C100" s="136" t="s">
        <v>128</v>
      </c>
      <c r="D100" s="637"/>
      <c r="E100" s="638"/>
      <c r="F100" s="638"/>
      <c r="G100" s="638"/>
      <c r="H100" s="616"/>
      <c r="I100" s="616"/>
      <c r="J100" s="616"/>
      <c r="K100" s="616"/>
      <c r="O100" s="944"/>
      <c r="P100" s="944"/>
      <c r="Q100" s="944"/>
      <c r="R100" s="944"/>
      <c r="S100" s="944"/>
      <c r="T100" s="944"/>
      <c r="U100" s="944"/>
      <c r="V100" s="944"/>
    </row>
    <row r="101" spans="1:22" s="2" customFormat="1">
      <c r="A101" s="3"/>
      <c r="B101" s="129"/>
      <c r="C101" s="136"/>
      <c r="D101" s="136"/>
      <c r="E101" s="136"/>
      <c r="F101" s="136"/>
      <c r="G101" s="136"/>
      <c r="H101" s="136"/>
      <c r="I101" s="136"/>
      <c r="J101" s="136"/>
      <c r="K101" s="136"/>
      <c r="L101" s="136"/>
      <c r="M101" s="136"/>
    </row>
    <row r="102" spans="1:22" s="2" customFormat="1">
      <c r="B102" s="12" t="s">
        <v>158</v>
      </c>
      <c r="C102" s="157" t="s">
        <v>128</v>
      </c>
      <c r="D102" s="609">
        <f>SUM(D82,D85,D88,D91,D94,D97,D100)</f>
        <v>7.2959808351149995</v>
      </c>
      <c r="E102" s="609">
        <f t="shared" ref="E102:K102" si="34">SUM(E82,E85,E88,E91,E94,E97,E100)</f>
        <v>7.9779374569769903</v>
      </c>
      <c r="F102" s="609">
        <f t="shared" si="34"/>
        <v>11.056645964830542</v>
      </c>
      <c r="G102" s="609">
        <f t="shared" si="34"/>
        <v>9.3688219807151381</v>
      </c>
      <c r="H102" s="610">
        <f>SUM(H82,H85,H88,H91,H94,H97,H100)</f>
        <v>5.2016442323563572</v>
      </c>
      <c r="I102" s="610">
        <f t="shared" si="34"/>
        <v>10.196153978306409</v>
      </c>
      <c r="J102" s="610">
        <f t="shared" si="34"/>
        <v>12.395338617461537</v>
      </c>
      <c r="K102" s="610">
        <f t="shared" si="34"/>
        <v>5.9697376173068202</v>
      </c>
    </row>
    <row r="103" spans="1:22" s="2" customFormat="1">
      <c r="C103" s="136"/>
    </row>
    <row r="104" spans="1:22" s="2" customFormat="1">
      <c r="A104" s="35"/>
      <c r="B104" s="12" t="s">
        <v>372</v>
      </c>
      <c r="C104" s="156"/>
      <c r="D104" s="156"/>
      <c r="E104" s="156"/>
      <c r="F104" s="156"/>
      <c r="G104" s="156"/>
      <c r="H104" s="156"/>
      <c r="I104" s="156"/>
      <c r="J104" s="156"/>
      <c r="K104" s="156"/>
      <c r="L104" s="156"/>
      <c r="M104" s="156"/>
    </row>
    <row r="105" spans="1:22" s="2" customFormat="1">
      <c r="A105" s="269" t="str">
        <f>A82</f>
        <v>a</v>
      </c>
      <c r="B105" s="942" t="str">
        <f>+B21</f>
        <v xml:space="preserve">2019/20 and 2020/21 SECV award forecasts have been decreased to reflect the 2021/22 award. </v>
      </c>
      <c r="C105" s="942"/>
      <c r="D105" s="942"/>
      <c r="E105" s="942"/>
      <c r="F105" s="942"/>
      <c r="G105" s="942"/>
      <c r="H105" s="942"/>
      <c r="I105" s="942"/>
      <c r="J105" s="942"/>
      <c r="K105" s="942"/>
      <c r="L105" s="942"/>
      <c r="M105" s="942"/>
    </row>
    <row r="106" spans="1:22" s="2" customFormat="1">
      <c r="A106" s="269" t="str">
        <f>A85</f>
        <v>b</v>
      </c>
      <c r="B106" s="942" t="str">
        <f t="shared" ref="B106:B109" si="35">+B22</f>
        <v>The 2021 actuals have been updated following final Ofgem approval of Interruptions related quality of service performance in October 2021. This has decreased the Output Incentive in 2021 by -£0.205m. 2022 actuals are subject to change until Ofgem confirm our performance KPIs later in 2022.</v>
      </c>
      <c r="C106" s="942"/>
      <c r="D106" s="942"/>
      <c r="E106" s="942"/>
      <c r="F106" s="942"/>
      <c r="G106" s="942"/>
      <c r="H106" s="942"/>
      <c r="I106" s="942"/>
      <c r="J106" s="942"/>
      <c r="K106" s="942"/>
      <c r="L106" s="942"/>
      <c r="M106" s="942"/>
    </row>
    <row r="107" spans="1:22" s="2" customFormat="1">
      <c r="A107" s="269" t="str">
        <f>A88</f>
        <v>c</v>
      </c>
      <c r="B107" s="942">
        <f t="shared" si="35"/>
        <v>0</v>
      </c>
      <c r="C107" s="942"/>
      <c r="D107" s="942"/>
      <c r="E107" s="942"/>
      <c r="F107" s="942"/>
      <c r="G107" s="942"/>
      <c r="H107" s="942"/>
      <c r="I107" s="942"/>
      <c r="J107" s="942"/>
      <c r="K107" s="942"/>
      <c r="L107" s="942"/>
      <c r="M107" s="942"/>
    </row>
    <row r="108" spans="1:22" s="2" customFormat="1">
      <c r="A108" s="269" t="str">
        <f>A91</f>
        <v>d</v>
      </c>
      <c r="B108" s="942" t="str">
        <f t="shared" si="35"/>
        <v>The 2021 actuals have been updated following final Ofgem approval of Time to Connect Incentives. This has decreased the Output Incentive in 2021 by -£0.019m. 2022 actuals are subject to change until Ofgem confirm our performance KPIs later in 2022.</v>
      </c>
      <c r="C108" s="942"/>
      <c r="D108" s="942"/>
      <c r="E108" s="942"/>
      <c r="F108" s="942"/>
      <c r="G108" s="942"/>
      <c r="H108" s="942"/>
      <c r="I108" s="942"/>
      <c r="J108" s="942"/>
      <c r="K108" s="942"/>
      <c r="L108" s="942"/>
      <c r="M108" s="942"/>
    </row>
    <row r="109" spans="1:22" s="2" customFormat="1">
      <c r="A109" s="269" t="str">
        <f>A94</f>
        <v>e</v>
      </c>
      <c r="B109" s="942">
        <f t="shared" si="35"/>
        <v>0</v>
      </c>
      <c r="C109" s="942"/>
      <c r="D109" s="942"/>
      <c r="E109" s="942"/>
      <c r="F109" s="942"/>
      <c r="G109" s="942"/>
      <c r="H109" s="942"/>
      <c r="I109" s="942"/>
      <c r="J109" s="942"/>
      <c r="K109" s="942"/>
      <c r="L109" s="942"/>
      <c r="M109" s="942"/>
    </row>
    <row r="110" spans="1:22" s="2" customFormat="1">
      <c r="A110" s="269" t="str">
        <f>A97</f>
        <v>f</v>
      </c>
      <c r="B110" s="1028"/>
      <c r="C110" s="1028"/>
      <c r="D110" s="1028"/>
      <c r="E110" s="1028"/>
      <c r="F110" s="1028"/>
      <c r="G110" s="1028"/>
      <c r="H110" s="1028"/>
      <c r="I110" s="1028"/>
      <c r="J110" s="1028"/>
      <c r="K110" s="1028"/>
      <c r="L110" s="1028"/>
      <c r="M110" s="1028"/>
    </row>
    <row r="111" spans="1:22" s="2" customFormat="1">
      <c r="A111" s="269" t="str">
        <f>A100</f>
        <v>g</v>
      </c>
      <c r="B111" s="1028"/>
      <c r="C111" s="1028"/>
      <c r="D111" s="1028"/>
      <c r="E111" s="1028"/>
      <c r="F111" s="1028"/>
      <c r="G111" s="1028"/>
      <c r="H111" s="1028"/>
      <c r="I111" s="1028"/>
      <c r="J111" s="1028"/>
      <c r="K111" s="1028"/>
      <c r="L111" s="1028"/>
      <c r="M111" s="1028"/>
    </row>
    <row r="112" spans="1:22" s="532" customFormat="1">
      <c r="A112" s="531"/>
      <c r="C112" s="533"/>
      <c r="D112" s="534"/>
      <c r="E112" s="534"/>
      <c r="F112" s="534"/>
      <c r="G112" s="534"/>
      <c r="H112" s="534"/>
      <c r="I112" s="534"/>
      <c r="J112" s="534"/>
      <c r="K112" s="534"/>
      <c r="L112" s="535"/>
      <c r="M112" s="535"/>
    </row>
    <row r="113" spans="1:14" s="532" customFormat="1">
      <c r="A113" s="531"/>
      <c r="C113" s="533"/>
      <c r="D113" s="533"/>
      <c r="E113" s="533"/>
      <c r="F113" s="533"/>
      <c r="G113" s="533"/>
      <c r="H113" s="533"/>
      <c r="I113" s="533"/>
      <c r="J113" s="533"/>
      <c r="K113" s="533"/>
      <c r="L113" s="533"/>
      <c r="M113" s="533"/>
    </row>
    <row r="114" spans="1:14" s="2" customFormat="1">
      <c r="A114" s="81"/>
      <c r="B114" s="81"/>
      <c r="C114" s="150"/>
      <c r="D114" s="81"/>
      <c r="E114" s="81"/>
      <c r="F114" s="81"/>
      <c r="G114" s="81"/>
      <c r="H114" s="81"/>
      <c r="I114" s="81"/>
      <c r="J114" s="81"/>
      <c r="K114" s="81"/>
      <c r="L114" s="81"/>
      <c r="M114" s="81"/>
      <c r="N114" s="81"/>
    </row>
  </sheetData>
  <mergeCells count="7">
    <mergeCell ref="B110:M110"/>
    <mergeCell ref="B111:M111"/>
    <mergeCell ref="B21:M21"/>
    <mergeCell ref="B22:M22"/>
    <mergeCell ref="B23:M23"/>
    <mergeCell ref="B24:M24"/>
    <mergeCell ref="B25:M25"/>
  </mergeCells>
  <conditionalFormatting sqref="D6:K6">
    <cfRule type="expression" dxfId="72" priority="31">
      <formula>AND(D$5="Actuals",E$5="Forecast")</formula>
    </cfRule>
  </conditionalFormatting>
  <conditionalFormatting sqref="D5:K5">
    <cfRule type="expression" dxfId="71"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247F6B-F6E9-4D92-A90E-8A3B08A35507}">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3.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C285FE4-1466-4BF7-8FA9-67F63A3D57B8}">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35b5cbd-7b0b-4440-92cd-b510cab4ec67"/>
    <ds:schemaRef ds:uri="b1b6b1d3-9b1c-419f-ba2e-fefc168d435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draft_RFPR_reporting_pack_template_v2.0</dc:title>
  <dc:subject/>
  <dc:creator>Mick Watson</dc:creator>
  <cp:lastModifiedBy>Bartlam, Katherine</cp:lastModifiedBy>
  <cp:lastPrinted>2021-06-17T19:59:39Z</cp:lastPrinted>
  <dcterms:created xsi:type="dcterms:W3CDTF">2018-06-13T08:32:09Z</dcterms:created>
  <dcterms:modified xsi:type="dcterms:W3CDTF">2022-07-27T22:45:26Z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y fmtid="{D5CDD505-2E9C-101B-9397-08002B2CF9AE}" pid="16" name="SV_QUERY_LIST_4F35BF76-6C0D-4D9B-82B2-816C12CF3733">
    <vt:lpwstr>empty_477D106A-C0D6-4607-AEBD-E2C9D60EA279</vt:lpwstr>
  </property>
  <property fmtid="{D5CDD505-2E9C-101B-9397-08002B2CF9AE}" pid="17" name="SV_HIDDEN_GRID_QUERY_LIST_4F35BF76-6C0D-4D9B-82B2-816C12CF3733">
    <vt:lpwstr>empty_477D106A-C0D6-4607-AEBD-E2C9D60EA279</vt:lpwstr>
  </property>
</Properties>
</file>