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1 22\RFPR\FOR WEBSITE\"/>
    </mc:Choice>
  </mc:AlternateContent>
  <bookViews>
    <workbookView xWindow="0" yWindow="0" windowWidth="22872" windowHeight="4488"/>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 r:id="rId2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0" l="1"/>
  <c r="D24" i="10"/>
  <c r="D18" i="10"/>
  <c r="D29" i="10"/>
  <c r="E16" i="10"/>
  <c r="E18" i="10"/>
  <c r="E21" i="10"/>
  <c r="E24" i="10"/>
  <c r="E29" i="10"/>
  <c r="F16" i="10"/>
  <c r="F18" i="10"/>
  <c r="F21" i="10"/>
  <c r="F24" i="10"/>
  <c r="F29" i="10"/>
  <c r="G16" i="10"/>
  <c r="G18" i="10"/>
  <c r="G21" i="10"/>
  <c r="G24" i="10"/>
  <c r="G29" i="10"/>
  <c r="H16" i="10"/>
  <c r="H18" i="10"/>
  <c r="H21" i="10"/>
  <c r="H24" i="10"/>
  <c r="H29" i="10"/>
  <c r="I16" i="10"/>
  <c r="I18" i="10"/>
  <c r="I21" i="10"/>
  <c r="I24" i="10"/>
  <c r="I29" i="10"/>
  <c r="J16" i="10"/>
  <c r="J18" i="10"/>
  <c r="J21" i="10"/>
  <c r="J24" i="10"/>
  <c r="J29" i="10"/>
  <c r="J40" i="10"/>
  <c r="J43" i="10"/>
  <c r="J47" i="10"/>
  <c r="J45" i="10"/>
  <c r="J49" i="10"/>
  <c r="J86" i="29"/>
  <c r="I38" i="10"/>
  <c r="J38" i="10"/>
  <c r="J88" i="29"/>
  <c r="J51" i="29"/>
  <c r="J89" i="29"/>
  <c r="J82" i="5"/>
  <c r="J102" i="5"/>
  <c r="J15" i="4"/>
  <c r="K82" i="5"/>
  <c r="K91" i="5"/>
  <c r="K102" i="5"/>
  <c r="K15" i="4"/>
  <c r="J26" i="4"/>
  <c r="J28" i="4"/>
  <c r="J45" i="4"/>
  <c r="E19" i="29"/>
  <c r="E102" i="5"/>
  <c r="E22" i="29"/>
  <c r="E35" i="29"/>
  <c r="E38" i="29"/>
  <c r="F19" i="29"/>
  <c r="F102" i="5"/>
  <c r="F22" i="29"/>
  <c r="F35" i="29"/>
  <c r="F38" i="29"/>
  <c r="G19" i="29"/>
  <c r="G102" i="5"/>
  <c r="G22" i="29"/>
  <c r="G35" i="29"/>
  <c r="G38" i="29"/>
  <c r="H19" i="29"/>
  <c r="H102" i="5"/>
  <c r="H22" i="29"/>
  <c r="H35" i="29"/>
  <c r="H38" i="29"/>
  <c r="I19" i="29"/>
  <c r="I102" i="5"/>
  <c r="I22" i="29"/>
  <c r="I35" i="29"/>
  <c r="I38" i="29"/>
  <c r="J22" i="29"/>
  <c r="J35" i="29"/>
  <c r="J38" i="29"/>
  <c r="K22" i="29"/>
  <c r="K35" i="29"/>
  <c r="K38" i="29"/>
  <c r="E40" i="10"/>
  <c r="E43" i="10"/>
  <c r="E47" i="10"/>
  <c r="E45" i="10"/>
  <c r="E49" i="10"/>
  <c r="E86" i="29"/>
  <c r="D38" i="10"/>
  <c r="E38" i="10"/>
  <c r="E88" i="29"/>
  <c r="E51" i="29"/>
  <c r="F40" i="10"/>
  <c r="F43" i="10"/>
  <c r="F47" i="10"/>
  <c r="F45" i="10"/>
  <c r="F49" i="10"/>
  <c r="F86" i="29"/>
  <c r="F38" i="10"/>
  <c r="F88" i="29"/>
  <c r="F51" i="29"/>
  <c r="G40" i="10"/>
  <c r="G43" i="10"/>
  <c r="G47" i="10"/>
  <c r="G45" i="10"/>
  <c r="G49" i="10"/>
  <c r="G86" i="29"/>
  <c r="G38" i="10"/>
  <c r="G88" i="29"/>
  <c r="G51" i="29"/>
  <c r="H40" i="10"/>
  <c r="H43" i="10"/>
  <c r="H47" i="10"/>
  <c r="H45" i="10"/>
  <c r="H49" i="10"/>
  <c r="H86" i="29"/>
  <c r="H38" i="10"/>
  <c r="H88" i="29"/>
  <c r="H51" i="29"/>
  <c r="I40" i="10"/>
  <c r="I43" i="10"/>
  <c r="I47" i="10"/>
  <c r="I45" i="10"/>
  <c r="I49" i="10"/>
  <c r="I86" i="29"/>
  <c r="I88" i="29"/>
  <c r="I51" i="29"/>
  <c r="K16" i="10"/>
  <c r="K18" i="10"/>
  <c r="K21" i="10"/>
  <c r="K24" i="10"/>
  <c r="K29" i="10"/>
  <c r="T84" i="28"/>
  <c r="K40" i="10"/>
  <c r="K43" i="10"/>
  <c r="K47" i="10"/>
  <c r="K45" i="10"/>
  <c r="K49" i="10"/>
  <c r="K86" i="29"/>
  <c r="K38" i="10"/>
  <c r="K88" i="29"/>
  <c r="K51" i="29"/>
  <c r="E89" i="29"/>
  <c r="F89" i="29"/>
  <c r="G89" i="29"/>
  <c r="H89" i="29"/>
  <c r="I89" i="29"/>
  <c r="K89" i="29"/>
  <c r="E69" i="29"/>
  <c r="E50" i="29"/>
  <c r="E52" i="29"/>
  <c r="E54" i="29"/>
  <c r="E82" i="29"/>
  <c r="E61" i="1"/>
  <c r="F69" i="29"/>
  <c r="F50" i="29"/>
  <c r="F52" i="29"/>
  <c r="F54" i="29"/>
  <c r="F82" i="29"/>
  <c r="F61" i="1"/>
  <c r="G69" i="29"/>
  <c r="G50" i="29"/>
  <c r="G52" i="29"/>
  <c r="G54" i="29"/>
  <c r="G82" i="29"/>
  <c r="G61" i="1"/>
  <c r="H69" i="29"/>
  <c r="H50" i="29"/>
  <c r="H52" i="29"/>
  <c r="H54" i="29"/>
  <c r="H82" i="29"/>
  <c r="H61" i="1"/>
  <c r="I69" i="29"/>
  <c r="I50" i="29"/>
  <c r="I52" i="29"/>
  <c r="I54" i="29"/>
  <c r="I82" i="29"/>
  <c r="I61" i="1"/>
  <c r="J69" i="29"/>
  <c r="J50" i="29"/>
  <c r="J52" i="29"/>
  <c r="J54" i="29"/>
  <c r="J82" i="29"/>
  <c r="J61" i="1"/>
  <c r="K69" i="29"/>
  <c r="K50" i="29"/>
  <c r="K52" i="29"/>
  <c r="K54" i="29"/>
  <c r="K82" i="29"/>
  <c r="K61" i="1"/>
  <c r="D40" i="10"/>
  <c r="D43" i="10"/>
  <c r="D47" i="10"/>
  <c r="D45" i="10"/>
  <c r="D49" i="10"/>
  <c r="D86" i="29"/>
  <c r="D88" i="29"/>
  <c r="D51" i="29"/>
  <c r="D19" i="29"/>
  <c r="D102" i="5"/>
  <c r="D22" i="29"/>
  <c r="D35" i="29"/>
  <c r="D38" i="29"/>
  <c r="D89" i="29"/>
  <c r="D69" i="29"/>
  <c r="D50" i="29"/>
  <c r="D52" i="29"/>
  <c r="D54" i="29"/>
  <c r="D82" i="29"/>
  <c r="D61" i="1"/>
  <c r="E46" i="10"/>
  <c r="E65" i="1"/>
  <c r="F46" i="10"/>
  <c r="F65" i="1"/>
  <c r="G46" i="10"/>
  <c r="G65" i="1"/>
  <c r="H46" i="10"/>
  <c r="H65" i="1"/>
  <c r="I46" i="10"/>
  <c r="I65" i="1"/>
  <c r="J46" i="10"/>
  <c r="J65" i="1"/>
  <c r="K46" i="10"/>
  <c r="K65" i="1"/>
  <c r="D46" i="10"/>
  <c r="D65" i="1"/>
  <c r="D14" i="2"/>
  <c r="D19" i="2"/>
  <c r="D28" i="2"/>
  <c r="D31" i="2"/>
  <c r="D35" i="2"/>
  <c r="D49" i="1"/>
  <c r="E14" i="2"/>
  <c r="E19" i="2"/>
  <c r="E28" i="2"/>
  <c r="E31" i="2"/>
  <c r="E35" i="2"/>
  <c r="E49" i="1"/>
  <c r="F14" i="2"/>
  <c r="F19" i="2"/>
  <c r="F28" i="2"/>
  <c r="F31" i="2"/>
  <c r="F35" i="2"/>
  <c r="F49" i="1"/>
  <c r="G14" i="2"/>
  <c r="G19" i="2"/>
  <c r="G28" i="2"/>
  <c r="G31" i="2"/>
  <c r="G35" i="2"/>
  <c r="G49" i="1"/>
  <c r="H14" i="2"/>
  <c r="H19" i="2"/>
  <c r="H28" i="2"/>
  <c r="H31" i="2"/>
  <c r="H35" i="2"/>
  <c r="H49" i="1"/>
  <c r="I14" i="2"/>
  <c r="I19" i="2"/>
  <c r="I28" i="2"/>
  <c r="I31" i="2"/>
  <c r="I35" i="2"/>
  <c r="I49" i="1"/>
  <c r="J14" i="2"/>
  <c r="J19" i="2"/>
  <c r="J28" i="2"/>
  <c r="J31" i="2"/>
  <c r="J35" i="2"/>
  <c r="J49" i="1"/>
  <c r="M11" i="1"/>
  <c r="M12" i="1"/>
  <c r="D49" i="5"/>
  <c r="D51" i="5"/>
  <c r="D39" i="5"/>
  <c r="D51" i="1"/>
  <c r="E49" i="5"/>
  <c r="E51" i="5"/>
  <c r="E39" i="5"/>
  <c r="E51" i="1"/>
  <c r="F49" i="5"/>
  <c r="F51" i="5"/>
  <c r="F39" i="5"/>
  <c r="F51" i="1"/>
  <c r="G49" i="5"/>
  <c r="G51" i="5"/>
  <c r="G39" i="5"/>
  <c r="G51" i="1"/>
  <c r="H49" i="5"/>
  <c r="H51" i="5"/>
  <c r="H39" i="5"/>
  <c r="H51" i="1"/>
  <c r="I49" i="5"/>
  <c r="I51" i="5"/>
  <c r="I39" i="5"/>
  <c r="I51" i="1"/>
  <c r="J49" i="5"/>
  <c r="J51" i="5"/>
  <c r="J39" i="5"/>
  <c r="J51" i="1"/>
  <c r="M13" i="1"/>
  <c r="D53" i="5"/>
  <c r="D55" i="5"/>
  <c r="D40" i="5"/>
  <c r="D52" i="1"/>
  <c r="E53" i="5"/>
  <c r="E55" i="5"/>
  <c r="E40" i="5"/>
  <c r="E52" i="1"/>
  <c r="F53" i="5"/>
  <c r="F55" i="5"/>
  <c r="F40" i="5"/>
  <c r="F52" i="1"/>
  <c r="G53" i="5"/>
  <c r="G55" i="5"/>
  <c r="G40" i="5"/>
  <c r="G52" i="1"/>
  <c r="H53" i="5"/>
  <c r="H55" i="5"/>
  <c r="H40" i="5"/>
  <c r="H52" i="1"/>
  <c r="I53" i="5"/>
  <c r="I55" i="5"/>
  <c r="I40" i="5"/>
  <c r="I52" i="1"/>
  <c r="J53" i="5"/>
  <c r="J55" i="5"/>
  <c r="J40" i="5"/>
  <c r="J52" i="1"/>
  <c r="M14" i="1"/>
  <c r="D57" i="5"/>
  <c r="D59" i="5"/>
  <c r="D41" i="5"/>
  <c r="D53" i="1"/>
  <c r="E57" i="5"/>
  <c r="E59" i="5"/>
  <c r="E41" i="5"/>
  <c r="E53" i="1"/>
  <c r="F57" i="5"/>
  <c r="F59" i="5"/>
  <c r="F41" i="5"/>
  <c r="F53" i="1"/>
  <c r="G57" i="5"/>
  <c r="G59" i="5"/>
  <c r="G41" i="5"/>
  <c r="G53" i="1"/>
  <c r="H57" i="5"/>
  <c r="H59" i="5"/>
  <c r="H41" i="5"/>
  <c r="H53" i="1"/>
  <c r="I57" i="5"/>
  <c r="I59" i="5"/>
  <c r="I41" i="5"/>
  <c r="I53" i="1"/>
  <c r="J57" i="5"/>
  <c r="J59" i="5"/>
  <c r="J41" i="5"/>
  <c r="J53" i="1"/>
  <c r="M15" i="1"/>
  <c r="D61" i="5"/>
  <c r="D63" i="5"/>
  <c r="D42" i="5"/>
  <c r="D54" i="1"/>
  <c r="E61" i="5"/>
  <c r="E63" i="5"/>
  <c r="E42" i="5"/>
  <c r="E54" i="1"/>
  <c r="F61" i="5"/>
  <c r="F63" i="5"/>
  <c r="F42" i="5"/>
  <c r="F54" i="1"/>
  <c r="G61" i="5"/>
  <c r="G63" i="5"/>
  <c r="G42" i="5"/>
  <c r="G54" i="1"/>
  <c r="H61" i="5"/>
  <c r="H63" i="5"/>
  <c r="H42" i="5"/>
  <c r="H54" i="1"/>
  <c r="I61" i="5"/>
  <c r="I63" i="5"/>
  <c r="I42" i="5"/>
  <c r="I54" i="1"/>
  <c r="J61" i="5"/>
  <c r="J63" i="5"/>
  <c r="J42" i="5"/>
  <c r="J54" i="1"/>
  <c r="M16" i="1"/>
  <c r="D65" i="5"/>
  <c r="D67" i="5"/>
  <c r="D43" i="5"/>
  <c r="D55" i="1"/>
  <c r="E65" i="5"/>
  <c r="E67" i="5"/>
  <c r="E43" i="5"/>
  <c r="E55" i="1"/>
  <c r="F65" i="5"/>
  <c r="F67" i="5"/>
  <c r="F43" i="5"/>
  <c r="F55" i="1"/>
  <c r="G65" i="5"/>
  <c r="G67" i="5"/>
  <c r="G43" i="5"/>
  <c r="G55" i="1"/>
  <c r="H65" i="5"/>
  <c r="H67" i="5"/>
  <c r="H43" i="5"/>
  <c r="H55" i="1"/>
  <c r="I65" i="5"/>
  <c r="I67" i="5"/>
  <c r="I43" i="5"/>
  <c r="I55" i="1"/>
  <c r="J65" i="5"/>
  <c r="J67" i="5"/>
  <c r="J43" i="5"/>
  <c r="J55" i="1"/>
  <c r="M17" i="1"/>
  <c r="J28" i="3"/>
  <c r="J56" i="1"/>
  <c r="D28" i="3"/>
  <c r="D56" i="1"/>
  <c r="E28" i="3"/>
  <c r="E56" i="1"/>
  <c r="F28" i="3"/>
  <c r="F56" i="1"/>
  <c r="G28" i="3"/>
  <c r="G56" i="1"/>
  <c r="H28" i="3"/>
  <c r="H56" i="1"/>
  <c r="I28" i="3"/>
  <c r="I56" i="1"/>
  <c r="M18" i="1"/>
  <c r="I20" i="20"/>
  <c r="I21" i="20"/>
  <c r="I14" i="20"/>
  <c r="I16" i="20"/>
  <c r="I8" i="20"/>
  <c r="I57" i="1"/>
  <c r="D14" i="20"/>
  <c r="D16" i="20"/>
  <c r="D21" i="20"/>
  <c r="D8" i="20"/>
  <c r="D57" i="1"/>
  <c r="E14" i="20"/>
  <c r="E16" i="20"/>
  <c r="E21" i="20"/>
  <c r="E8" i="20"/>
  <c r="E57" i="1"/>
  <c r="F14" i="20"/>
  <c r="F16" i="20"/>
  <c r="F21" i="20"/>
  <c r="F8" i="20"/>
  <c r="F57" i="1"/>
  <c r="G14" i="20"/>
  <c r="G16" i="20"/>
  <c r="G21" i="20"/>
  <c r="G8" i="20"/>
  <c r="G57" i="1"/>
  <c r="H14" i="20"/>
  <c r="H16" i="20"/>
  <c r="H21" i="20"/>
  <c r="H8" i="20"/>
  <c r="H57" i="1"/>
  <c r="M19" i="1"/>
  <c r="D50" i="10"/>
  <c r="D48" i="1"/>
  <c r="E50" i="10"/>
  <c r="E48" i="1"/>
  <c r="F50" i="10"/>
  <c r="F48" i="1"/>
  <c r="G50" i="10"/>
  <c r="G48" i="1"/>
  <c r="H50" i="10"/>
  <c r="H48" i="1"/>
  <c r="I50" i="10"/>
  <c r="I48" i="1"/>
  <c r="J50" i="10"/>
  <c r="J48" i="1"/>
  <c r="M10" i="1"/>
  <c r="D59" i="1"/>
  <c r="E59" i="1"/>
  <c r="F59" i="1"/>
  <c r="G59" i="1"/>
  <c r="H59" i="1"/>
  <c r="I59" i="1"/>
  <c r="J59" i="1"/>
  <c r="M21" i="1"/>
  <c r="M22" i="1"/>
  <c r="D66" i="1"/>
  <c r="E66" i="1"/>
  <c r="F66" i="1"/>
  <c r="G66" i="1"/>
  <c r="H66" i="1"/>
  <c r="I66" i="1"/>
  <c r="J66" i="1"/>
  <c r="K66" i="1"/>
  <c r="K19" i="20"/>
  <c r="K20" i="20"/>
  <c r="K21" i="20"/>
  <c r="K8" i="20"/>
  <c r="K57" i="1"/>
  <c r="M57" i="1"/>
  <c r="N57" i="1"/>
  <c r="K53" i="5"/>
  <c r="K55" i="5"/>
  <c r="K40" i="5"/>
  <c r="K52" i="1"/>
  <c r="K57" i="5"/>
  <c r="K59" i="5"/>
  <c r="K41" i="5"/>
  <c r="K53" i="1"/>
  <c r="K61" i="5"/>
  <c r="K63" i="5"/>
  <c r="K42" i="5"/>
  <c r="K54" i="1"/>
  <c r="K49" i="5"/>
  <c r="K51" i="5"/>
  <c r="K39" i="5"/>
  <c r="K51" i="1"/>
  <c r="M53" i="1"/>
  <c r="N53" i="1"/>
  <c r="K65" i="5"/>
  <c r="K67" i="5"/>
  <c r="K43" i="5"/>
  <c r="K55" i="1"/>
  <c r="M55" i="1"/>
  <c r="N55" i="1"/>
  <c r="M52" i="1"/>
  <c r="N52" i="1"/>
  <c r="M54" i="1"/>
  <c r="N54" i="1"/>
  <c r="J18" i="5"/>
  <c r="N51" i="1"/>
  <c r="M51" i="1"/>
  <c r="J14" i="4"/>
  <c r="J18" i="2"/>
  <c r="J12" i="3"/>
  <c r="J17" i="4"/>
  <c r="J17" i="3"/>
  <c r="J18" i="4"/>
  <c r="K11" i="3"/>
  <c r="K28" i="3"/>
  <c r="K56" i="1"/>
  <c r="J91" i="2"/>
  <c r="J90" i="2"/>
  <c r="J92" i="2"/>
  <c r="M56" i="1"/>
  <c r="N56" i="1"/>
  <c r="K14" i="2"/>
  <c r="K19" i="2"/>
  <c r="K28" i="2"/>
  <c r="K31" i="2"/>
  <c r="K35" i="2"/>
  <c r="K49" i="1"/>
  <c r="K63" i="29"/>
  <c r="K71" i="29"/>
  <c r="J63" i="29"/>
  <c r="J71" i="29"/>
  <c r="H63" i="29"/>
  <c r="H71" i="29"/>
  <c r="G63" i="29"/>
  <c r="G71" i="29"/>
  <c r="F63" i="29"/>
  <c r="F71" i="29"/>
  <c r="E63" i="29"/>
  <c r="E71" i="29"/>
  <c r="E75" i="29"/>
  <c r="G75" i="29"/>
  <c r="H75" i="29"/>
  <c r="J75" i="29"/>
  <c r="F75" i="29"/>
  <c r="K75" i="29"/>
  <c r="D63" i="29"/>
  <c r="D71" i="29"/>
  <c r="I63" i="29"/>
  <c r="I71" i="29"/>
  <c r="I75" i="29"/>
  <c r="D75" i="29"/>
  <c r="M49" i="1"/>
  <c r="N49" i="1"/>
  <c r="D58" i="1"/>
  <c r="E58" i="1"/>
  <c r="F58" i="1"/>
  <c r="G58" i="1"/>
  <c r="H58" i="1"/>
  <c r="I58" i="1"/>
  <c r="J11" i="1"/>
  <c r="J13" i="1"/>
  <c r="N36" i="1"/>
  <c r="J16" i="1"/>
  <c r="N34" i="1"/>
  <c r="J19" i="1"/>
  <c r="J14" i="1"/>
  <c r="J17" i="1"/>
  <c r="J15" i="1"/>
  <c r="J12" i="1"/>
  <c r="J18" i="1"/>
  <c r="K50" i="10"/>
  <c r="K48" i="1"/>
  <c r="J10" i="1"/>
  <c r="J58" i="1"/>
  <c r="M48" i="1"/>
  <c r="N10" i="1"/>
  <c r="M20" i="1"/>
  <c r="N18" i="1"/>
  <c r="N19" i="1"/>
  <c r="N14" i="1"/>
  <c r="N15" i="1"/>
  <c r="N17" i="1"/>
  <c r="N12" i="1"/>
  <c r="N30" i="1"/>
  <c r="N13" i="1"/>
  <c r="N31" i="1"/>
  <c r="N16" i="1"/>
  <c r="N33" i="1"/>
  <c r="N35" i="1"/>
  <c r="J20" i="1"/>
  <c r="N38" i="1"/>
  <c r="N37" i="1"/>
  <c r="N11" i="1"/>
  <c r="N32" i="1"/>
  <c r="M50" i="1"/>
  <c r="M58" i="1"/>
  <c r="N48" i="1"/>
  <c r="N29" i="1"/>
  <c r="N20" i="1"/>
  <c r="N39" i="1"/>
  <c r="K58" i="1"/>
  <c r="N58" i="1"/>
  <c r="K59" i="1"/>
  <c r="M59" i="1"/>
  <c r="J21" i="1"/>
  <c r="N21" i="1"/>
  <c r="N59" i="1"/>
  <c r="J22" i="1"/>
  <c r="M61" i="1"/>
  <c r="D87" i="29"/>
  <c r="D90" i="29"/>
  <c r="D60" i="1"/>
  <c r="E87" i="29"/>
  <c r="E90" i="29"/>
  <c r="E60" i="1"/>
  <c r="F87" i="29"/>
  <c r="F90" i="29"/>
  <c r="F60" i="1"/>
  <c r="G87" i="29"/>
  <c r="G90" i="29"/>
  <c r="G60" i="1"/>
  <c r="H87" i="29"/>
  <c r="H90" i="29"/>
  <c r="H60" i="1"/>
  <c r="I87" i="29"/>
  <c r="I90" i="29"/>
  <c r="I60" i="1"/>
  <c r="J87" i="29"/>
  <c r="J90" i="29"/>
  <c r="J60" i="1"/>
  <c r="K87" i="29"/>
  <c r="K90" i="29"/>
  <c r="K60" i="1"/>
  <c r="N40" i="1"/>
  <c r="M23" i="1"/>
  <c r="J23" i="1"/>
  <c r="N22" i="1"/>
  <c r="N61" i="1"/>
  <c r="D42" i="29"/>
  <c r="D80" i="29"/>
  <c r="D84" i="29"/>
  <c r="D62" i="1"/>
  <c r="E42" i="29"/>
  <c r="E80" i="29"/>
  <c r="E84" i="29"/>
  <c r="E62" i="1"/>
  <c r="F42" i="29"/>
  <c r="F80" i="29"/>
  <c r="F84" i="29"/>
  <c r="F62" i="1"/>
  <c r="G42" i="29"/>
  <c r="G80" i="29"/>
  <c r="G84" i="29"/>
  <c r="G62" i="1"/>
  <c r="H42" i="29"/>
  <c r="H80" i="29"/>
  <c r="H84" i="29"/>
  <c r="H62" i="1"/>
  <c r="I42" i="29"/>
  <c r="I80" i="29"/>
  <c r="I84" i="29"/>
  <c r="I62" i="1"/>
  <c r="J42" i="29"/>
  <c r="J80" i="29"/>
  <c r="J84" i="29"/>
  <c r="J62" i="1"/>
  <c r="K42" i="29"/>
  <c r="K80" i="29"/>
  <c r="K84" i="29"/>
  <c r="K62" i="1"/>
  <c r="N41" i="1"/>
  <c r="N42" i="1"/>
  <c r="N23" i="1"/>
  <c r="J11" i="20"/>
  <c r="J43" i="28"/>
  <c r="F26" i="28"/>
  <c r="I13" i="11"/>
  <c r="J62" i="10"/>
  <c r="K17" i="3"/>
  <c r="B109" i="5"/>
  <c r="B108" i="5"/>
  <c r="B107" i="5"/>
  <c r="B106" i="5"/>
  <c r="B105" i="5"/>
  <c r="J20" i="20"/>
  <c r="B21" i="1"/>
  <c r="B3" i="1"/>
  <c r="J21" i="20"/>
  <c r="K14" i="20"/>
  <c r="J14" i="20"/>
  <c r="A3" i="20"/>
  <c r="A2" i="20"/>
  <c r="D36" i="19"/>
  <c r="D35" i="19"/>
  <c r="K19" i="19"/>
  <c r="J19" i="19"/>
  <c r="I19" i="19"/>
  <c r="H19" i="19"/>
  <c r="G19" i="19"/>
  <c r="F19" i="19"/>
  <c r="E19" i="19"/>
  <c r="D19" i="19"/>
  <c r="A3" i="19"/>
  <c r="A2" i="19"/>
  <c r="K13" i="11"/>
  <c r="J13" i="11"/>
  <c r="H13" i="11"/>
  <c r="G13" i="11"/>
  <c r="F13" i="11"/>
  <c r="E13" i="11"/>
  <c r="D13" i="11"/>
  <c r="B3" i="11"/>
  <c r="A3" i="11"/>
  <c r="A2" i="11"/>
  <c r="K19" i="29"/>
  <c r="J19" i="29"/>
  <c r="A3" i="29"/>
  <c r="A2" i="29"/>
  <c r="K28" i="10"/>
  <c r="J28" i="10"/>
  <c r="I28" i="10"/>
  <c r="H28" i="10"/>
  <c r="G28" i="10"/>
  <c r="F28" i="10"/>
  <c r="E28" i="10"/>
  <c r="D28" i="10"/>
  <c r="A3" i="10"/>
  <c r="A2" i="10"/>
  <c r="I17" i="3"/>
  <c r="I18" i="4"/>
  <c r="H17" i="3"/>
  <c r="H18" i="4"/>
  <c r="G17" i="3"/>
  <c r="G18" i="4"/>
  <c r="F17" i="3"/>
  <c r="F18" i="4"/>
  <c r="E17" i="3"/>
  <c r="E18" i="4"/>
  <c r="D17" i="3"/>
  <c r="D18" i="4"/>
  <c r="I12" i="3"/>
  <c r="I17" i="4"/>
  <c r="H12" i="3"/>
  <c r="H17" i="4"/>
  <c r="G12" i="3"/>
  <c r="G17" i="4"/>
  <c r="F12" i="3"/>
  <c r="F17" i="4"/>
  <c r="E12" i="3"/>
  <c r="E17" i="4"/>
  <c r="D12" i="3"/>
  <c r="D17" i="4"/>
  <c r="B3" i="3"/>
  <c r="A3" i="3"/>
  <c r="A2" i="3"/>
  <c r="A111" i="5"/>
  <c r="A110" i="5"/>
  <c r="A109" i="5"/>
  <c r="A108" i="5"/>
  <c r="A107" i="5"/>
  <c r="A106" i="5"/>
  <c r="A105" i="5"/>
  <c r="I15" i="4"/>
  <c r="H15" i="4"/>
  <c r="G15" i="4"/>
  <c r="F15" i="4"/>
  <c r="E15" i="4"/>
  <c r="D15" i="4"/>
  <c r="A100" i="5"/>
  <c r="A97" i="5"/>
  <c r="A94" i="5"/>
  <c r="A91" i="5"/>
  <c r="A88" i="5"/>
  <c r="A85" i="5"/>
  <c r="A82" i="5"/>
  <c r="K73" i="5"/>
  <c r="J73" i="5"/>
  <c r="I73" i="5"/>
  <c r="H73" i="5"/>
  <c r="G73" i="5"/>
  <c r="F73" i="5"/>
  <c r="E73" i="5"/>
  <c r="D73" i="5"/>
  <c r="K69" i="5"/>
  <c r="J69" i="5"/>
  <c r="I69" i="5"/>
  <c r="H69" i="5"/>
  <c r="G69" i="5"/>
  <c r="F69" i="5"/>
  <c r="E69" i="5"/>
  <c r="D69" i="5"/>
  <c r="A69" i="5"/>
  <c r="A65" i="5"/>
  <c r="A61" i="5"/>
  <c r="A57" i="5"/>
  <c r="A53" i="5"/>
  <c r="A49" i="5"/>
  <c r="A45" i="5"/>
  <c r="A44" i="5"/>
  <c r="A43" i="5"/>
  <c r="A42" i="5"/>
  <c r="A41" i="5"/>
  <c r="A40" i="5"/>
  <c r="A39" i="5"/>
  <c r="A25" i="5"/>
  <c r="A24" i="5"/>
  <c r="A23" i="5"/>
  <c r="A22" i="5"/>
  <c r="A21" i="5"/>
  <c r="K18" i="5"/>
  <c r="I18" i="5"/>
  <c r="H18" i="5"/>
  <c r="G18" i="5"/>
  <c r="F18" i="5"/>
  <c r="E18" i="5"/>
  <c r="D18" i="5"/>
  <c r="M17" i="5"/>
  <c r="M16" i="5"/>
  <c r="M15" i="5"/>
  <c r="M13"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c r="J44" i="2"/>
  <c r="I44" i="2"/>
  <c r="I58" i="2"/>
  <c r="H44" i="2"/>
  <c r="H58" i="2"/>
  <c r="G44" i="2"/>
  <c r="F44" i="2"/>
  <c r="F46" i="2"/>
  <c r="E44" i="2"/>
  <c r="E58" i="2"/>
  <c r="D44" i="2"/>
  <c r="M42" i="2"/>
  <c r="K42" i="2"/>
  <c r="J42" i="2"/>
  <c r="I42" i="2"/>
  <c r="H42" i="2"/>
  <c r="G42" i="2"/>
  <c r="F42" i="2"/>
  <c r="E42" i="2"/>
  <c r="D42" i="2"/>
  <c r="M41" i="2"/>
  <c r="M40" i="2"/>
  <c r="M27" i="2"/>
  <c r="M26" i="2"/>
  <c r="M23" i="2"/>
  <c r="M22" i="2"/>
  <c r="K16" i="2"/>
  <c r="J16" i="2"/>
  <c r="I16" i="2"/>
  <c r="H16" i="2"/>
  <c r="G16" i="2"/>
  <c r="F16" i="2"/>
  <c r="E16" i="2"/>
  <c r="D16" i="2"/>
  <c r="M13" i="2"/>
  <c r="L6" i="2"/>
  <c r="A3" i="2"/>
  <c r="A2" i="2"/>
  <c r="K80" i="15"/>
  <c r="K78" i="15"/>
  <c r="H78" i="15"/>
  <c r="G78" i="15"/>
  <c r="F78" i="15"/>
  <c r="E78" i="15"/>
  <c r="D78" i="15"/>
  <c r="K48" i="15"/>
  <c r="K46" i="15"/>
  <c r="J46" i="15"/>
  <c r="I46" i="15"/>
  <c r="H46" i="15"/>
  <c r="G46" i="15"/>
  <c r="F46" i="15"/>
  <c r="E46" i="15"/>
  <c r="D46" i="15"/>
  <c r="K23" i="15"/>
  <c r="K18" i="15"/>
  <c r="J18" i="15"/>
  <c r="J23" i="15"/>
  <c r="I18" i="15"/>
  <c r="H18" i="15"/>
  <c r="H23" i="15"/>
  <c r="G18" i="15"/>
  <c r="G23" i="15"/>
  <c r="F18" i="15"/>
  <c r="F23" i="15"/>
  <c r="E18" i="15"/>
  <c r="E23" i="15"/>
  <c r="D18" i="15"/>
  <c r="D23" i="15"/>
  <c r="A3" i="15"/>
  <c r="A2" i="15"/>
  <c r="K68" i="4"/>
  <c r="K66" i="4"/>
  <c r="K64" i="4"/>
  <c r="I64" i="4"/>
  <c r="H64" i="4"/>
  <c r="G64" i="4"/>
  <c r="F64" i="4"/>
  <c r="E64" i="4"/>
  <c r="D64" i="4"/>
  <c r="K45" i="4"/>
  <c r="I45" i="4"/>
  <c r="H45" i="4"/>
  <c r="H66" i="4"/>
  <c r="H68" i="4"/>
  <c r="G45" i="4"/>
  <c r="F45" i="4"/>
  <c r="E45" i="4"/>
  <c r="D45" i="4"/>
  <c r="K28" i="4"/>
  <c r="K18" i="4"/>
  <c r="K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c r="C13" i="13"/>
  <c r="D6" i="15"/>
  <c r="C12" i="13"/>
  <c r="C11" i="13"/>
  <c r="C10" i="13"/>
  <c r="C6" i="13"/>
  <c r="E156" i="28"/>
  <c r="A3" i="13"/>
  <c r="A2" i="13"/>
  <c r="J48" i="15"/>
  <c r="F66" i="4"/>
  <c r="F68" i="4"/>
  <c r="K15" i="20"/>
  <c r="K16" i="20"/>
  <c r="J15" i="20"/>
  <c r="J16" i="20"/>
  <c r="I23" i="15"/>
  <c r="I48" i="15"/>
  <c r="E66" i="4"/>
  <c r="E68" i="4"/>
  <c r="I66" i="4"/>
  <c r="I68" i="4"/>
  <c r="D66" i="4"/>
  <c r="D68" i="4"/>
  <c r="I26" i="4"/>
  <c r="I28" i="4"/>
  <c r="G66" i="4"/>
  <c r="G68" i="4"/>
  <c r="H48" i="15"/>
  <c r="H80" i="15"/>
  <c r="D26" i="4"/>
  <c r="D28" i="4"/>
  <c r="D48" i="15"/>
  <c r="D80" i="15"/>
  <c r="G26" i="4"/>
  <c r="G28" i="4"/>
  <c r="E26" i="4"/>
  <c r="E28" i="4"/>
  <c r="F26" i="4"/>
  <c r="F28" i="4"/>
  <c r="M69" i="5"/>
  <c r="M73" i="5"/>
  <c r="H26" i="4"/>
  <c r="H28" i="4"/>
  <c r="F48" i="15"/>
  <c r="F80" i="15"/>
  <c r="M65" i="5"/>
  <c r="E48" i="15"/>
  <c r="E80" i="15"/>
  <c r="G48" i="15"/>
  <c r="G80" i="15"/>
  <c r="I59" i="2"/>
  <c r="K46" i="2"/>
  <c r="K18" i="2"/>
  <c r="G30" i="2"/>
  <c r="F47" i="2"/>
  <c r="E46" i="2"/>
  <c r="E62" i="2"/>
  <c r="I46" i="2"/>
  <c r="I62" i="2"/>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c r="D6" i="11"/>
  <c r="D6" i="29"/>
  <c r="D5" i="29"/>
  <c r="D6" i="4"/>
  <c r="D6" i="1"/>
  <c r="D6" i="2"/>
  <c r="D6" i="5"/>
  <c r="B48" i="28"/>
  <c r="B10" i="2"/>
  <c r="B88" i="2"/>
  <c r="B149" i="28"/>
  <c r="E158" i="28"/>
  <c r="C48" i="1"/>
  <c r="C53" i="1"/>
  <c r="C12" i="2"/>
  <c r="F58" i="2"/>
  <c r="F62" i="2"/>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c r="B116" i="2"/>
  <c r="E152" i="28"/>
  <c r="E155" i="28"/>
  <c r="C52" i="1"/>
  <c r="C57" i="1"/>
  <c r="D30" i="2"/>
  <c r="H30" i="2"/>
  <c r="C18" i="2"/>
  <c r="C24" i="2"/>
  <c r="C27" i="2"/>
  <c r="I30" i="2"/>
  <c r="G58" i="2"/>
  <c r="G59" i="2"/>
  <c r="K58" i="2"/>
  <c r="K59" i="2"/>
  <c r="K63" i="2"/>
  <c r="G46" i="2"/>
  <c r="G62" i="2"/>
  <c r="G47" i="2"/>
  <c r="E30" i="2"/>
  <c r="D59" i="2"/>
  <c r="D46" i="2"/>
  <c r="H59" i="2"/>
  <c r="H46" i="2"/>
  <c r="H62" i="2"/>
  <c r="H47" i="2"/>
  <c r="F30" i="2"/>
  <c r="D47" i="2"/>
  <c r="D58" i="2"/>
  <c r="E47" i="2"/>
  <c r="I47" i="2"/>
  <c r="I63" i="2"/>
  <c r="M57" i="5"/>
  <c r="K62" i="2"/>
  <c r="G63" i="2"/>
  <c r="D50" i="15"/>
  <c r="B153" i="28"/>
  <c r="B11" i="5"/>
  <c r="I64" i="2"/>
  <c r="F63" i="2"/>
  <c r="M58" i="2"/>
  <c r="M59" i="2"/>
  <c r="E63" i="2"/>
  <c r="E64" i="2"/>
  <c r="K64" i="2"/>
  <c r="D78" i="2"/>
  <c r="E6" i="2"/>
  <c r="D5" i="2"/>
  <c r="D77" i="2"/>
  <c r="D5" i="20"/>
  <c r="E6" i="20"/>
  <c r="F6" i="15"/>
  <c r="E5" i="15"/>
  <c r="E50" i="15"/>
  <c r="D5" i="1"/>
  <c r="E6" i="1"/>
  <c r="E6" i="29"/>
  <c r="E5" i="29"/>
  <c r="E6" i="10"/>
  <c r="E5" i="10"/>
  <c r="D36" i="10"/>
  <c r="D63" i="2"/>
  <c r="M47" i="2"/>
  <c r="G64" i="2"/>
  <c r="H63" i="2"/>
  <c r="D62" i="2"/>
  <c r="M46" i="2"/>
  <c r="B159" i="28"/>
  <c r="B17" i="5"/>
  <c r="B160" i="28"/>
  <c r="B156" i="28"/>
  <c r="B14" i="5"/>
  <c r="B157" i="28"/>
  <c r="B15" i="5"/>
  <c r="B154" i="28"/>
  <c r="B12" i="5"/>
  <c r="B155" i="28"/>
  <c r="B13" i="5"/>
  <c r="B158" i="28"/>
  <c r="B16" i="5"/>
  <c r="J62" i="2"/>
  <c r="D5" i="4"/>
  <c r="E6" i="4"/>
  <c r="D5" i="3"/>
  <c r="E6" i="3"/>
  <c r="J63" i="2"/>
  <c r="D99" i="5"/>
  <c r="D93" i="5"/>
  <c r="D87" i="5"/>
  <c r="D81" i="5"/>
  <c r="D96" i="5"/>
  <c r="D90" i="5"/>
  <c r="D84" i="5"/>
  <c r="D66" i="5"/>
  <c r="D50" i="5"/>
  <c r="D70" i="5"/>
  <c r="D71" i="5"/>
  <c r="D58" i="5"/>
  <c r="D74" i="5"/>
  <c r="D75" i="5"/>
  <c r="D62" i="5"/>
  <c r="D5" i="5"/>
  <c r="E6" i="5"/>
  <c r="D54" i="5"/>
  <c r="E6" i="11"/>
  <c r="D5" i="11"/>
  <c r="D5" i="19"/>
  <c r="E6" i="19"/>
  <c r="D33" i="28"/>
  <c r="C36" i="28"/>
  <c r="C35" i="28"/>
  <c r="D34" i="10"/>
  <c r="C34" i="28"/>
  <c r="C32" i="28"/>
  <c r="F64" i="2"/>
  <c r="J64" i="2"/>
  <c r="D79" i="2"/>
  <c r="D50" i="1"/>
  <c r="B49" i="5"/>
  <c r="B82" i="5"/>
  <c r="B39" i="5"/>
  <c r="B51" i="1"/>
  <c r="B94" i="5"/>
  <c r="B65" i="5"/>
  <c r="B43" i="5"/>
  <c r="B55" i="1"/>
  <c r="M63" i="2"/>
  <c r="E78" i="2"/>
  <c r="E77" i="2"/>
  <c r="E5" i="2"/>
  <c r="F6" i="2"/>
  <c r="E33" i="28"/>
  <c r="D36" i="28"/>
  <c r="D35" i="28"/>
  <c r="E34" i="10"/>
  <c r="D34" i="28"/>
  <c r="D32" i="28"/>
  <c r="F6" i="11"/>
  <c r="E5" i="11"/>
  <c r="F6" i="4"/>
  <c r="E5" i="4"/>
  <c r="B97" i="5"/>
  <c r="B44" i="5"/>
  <c r="B69" i="5"/>
  <c r="B91" i="5"/>
  <c r="B61" i="5"/>
  <c r="B42" i="5"/>
  <c r="B54" i="1"/>
  <c r="M62" i="2"/>
  <c r="D64" i="2"/>
  <c r="F6" i="29"/>
  <c r="F5" i="29"/>
  <c r="H64" i="2"/>
  <c r="D35" i="10"/>
  <c r="D40" i="29"/>
  <c r="D14" i="19"/>
  <c r="D86" i="2"/>
  <c r="F6" i="19"/>
  <c r="E5" i="19"/>
  <c r="E96" i="5"/>
  <c r="E90" i="5"/>
  <c r="E84" i="5"/>
  <c r="E99" i="5"/>
  <c r="E70" i="5"/>
  <c r="E71" i="5"/>
  <c r="E44" i="5"/>
  <c r="E54" i="5"/>
  <c r="F6" i="5"/>
  <c r="E81" i="5"/>
  <c r="E87" i="5"/>
  <c r="E74" i="5"/>
  <c r="E75" i="5"/>
  <c r="E45" i="5"/>
  <c r="E62" i="5"/>
  <c r="E93" i="5"/>
  <c r="E66" i="5"/>
  <c r="E50" i="5"/>
  <c r="E5" i="5"/>
  <c r="E58" i="5"/>
  <c r="B57" i="5"/>
  <c r="B88" i="5"/>
  <c r="B41" i="5"/>
  <c r="B53" i="1"/>
  <c r="F6" i="10"/>
  <c r="F5" i="10"/>
  <c r="F6" i="1"/>
  <c r="E5" i="1"/>
  <c r="G6" i="15"/>
  <c r="F5" i="15"/>
  <c r="F50" i="15"/>
  <c r="D45" i="5"/>
  <c r="D44" i="5"/>
  <c r="F6" i="3"/>
  <c r="E5" i="3"/>
  <c r="B85" i="5"/>
  <c r="B40" i="5"/>
  <c r="B52" i="1"/>
  <c r="B53" i="5"/>
  <c r="B100" i="5"/>
  <c r="B73" i="5"/>
  <c r="B45" i="5"/>
  <c r="F6" i="20"/>
  <c r="E5" i="20"/>
  <c r="B33" i="1"/>
  <c r="B14" i="1"/>
  <c r="D46" i="5"/>
  <c r="G6" i="19"/>
  <c r="F5" i="19"/>
  <c r="G6" i="4"/>
  <c r="F5" i="4"/>
  <c r="E35" i="10"/>
  <c r="E14" i="19"/>
  <c r="E40" i="29"/>
  <c r="E86" i="2"/>
  <c r="E79" i="2"/>
  <c r="B36" i="1"/>
  <c r="B17" i="1"/>
  <c r="B35" i="1"/>
  <c r="B16" i="1"/>
  <c r="F77" i="2"/>
  <c r="G6" i="2"/>
  <c r="F78" i="2"/>
  <c r="F5" i="2"/>
  <c r="G6" i="20"/>
  <c r="F5" i="20"/>
  <c r="G5" i="15"/>
  <c r="H6" i="15"/>
  <c r="G6" i="1"/>
  <c r="F5" i="1"/>
  <c r="B34" i="1"/>
  <c r="B15" i="1"/>
  <c r="F96" i="5"/>
  <c r="F90" i="5"/>
  <c r="F84" i="5"/>
  <c r="F99" i="5"/>
  <c r="F93" i="5"/>
  <c r="F87" i="5"/>
  <c r="F81" i="5"/>
  <c r="F58" i="5"/>
  <c r="F5" i="5"/>
  <c r="F74" i="5"/>
  <c r="F75" i="5"/>
  <c r="F66" i="5"/>
  <c r="F70" i="5"/>
  <c r="F71" i="5"/>
  <c r="F54" i="5"/>
  <c r="G6" i="5"/>
  <c r="F62" i="5"/>
  <c r="F50" i="5"/>
  <c r="D119" i="2"/>
  <c r="D131" i="2"/>
  <c r="D100" i="2"/>
  <c r="D130" i="2"/>
  <c r="D132" i="2"/>
  <c r="D103" i="2"/>
  <c r="D91" i="2"/>
  <c r="D118" i="2"/>
  <c r="D104" i="2"/>
  <c r="D128" i="2"/>
  <c r="D133" i="2"/>
  <c r="D102" i="2"/>
  <c r="D101" i="2"/>
  <c r="D105" i="2"/>
  <c r="D129" i="2"/>
  <c r="D23" i="29"/>
  <c r="F5" i="11"/>
  <c r="G6" i="11"/>
  <c r="G6" i="3"/>
  <c r="F5" i="3"/>
  <c r="G6" i="10"/>
  <c r="G5" i="10"/>
  <c r="E46" i="5"/>
  <c r="G6" i="29"/>
  <c r="G5" i="29"/>
  <c r="M64" i="2"/>
  <c r="E36" i="28"/>
  <c r="E35" i="28"/>
  <c r="F34" i="10"/>
  <c r="E34" i="28"/>
  <c r="E32" i="28"/>
  <c r="F33" i="28"/>
  <c r="B32" i="1"/>
  <c r="B13" i="1"/>
  <c r="E23" i="29"/>
  <c r="F14" i="19"/>
  <c r="F35" i="10"/>
  <c r="F86" i="2"/>
  <c r="F40" i="29"/>
  <c r="H6" i="3"/>
  <c r="G5" i="3"/>
  <c r="D120" i="2"/>
  <c r="I6" i="15"/>
  <c r="H5" i="15"/>
  <c r="H6" i="19"/>
  <c r="G5" i="19"/>
  <c r="D106" i="2"/>
  <c r="G99" i="5"/>
  <c r="G93" i="5"/>
  <c r="G87" i="5"/>
  <c r="G81" i="5"/>
  <c r="G74" i="5"/>
  <c r="G75" i="5"/>
  <c r="G45" i="5"/>
  <c r="G62" i="5"/>
  <c r="G84" i="5"/>
  <c r="G90" i="5"/>
  <c r="G70" i="5"/>
  <c r="G71" i="5"/>
  <c r="G44" i="5"/>
  <c r="G96" i="5"/>
  <c r="G58" i="5"/>
  <c r="G66" i="5"/>
  <c r="H6" i="5"/>
  <c r="G50" i="5"/>
  <c r="G54" i="5"/>
  <c r="G5" i="5"/>
  <c r="F45" i="5"/>
  <c r="G50" i="15"/>
  <c r="F79" i="2"/>
  <c r="F50" i="1"/>
  <c r="H6" i="4"/>
  <c r="G5" i="4"/>
  <c r="G33" i="28"/>
  <c r="F36" i="28"/>
  <c r="F35" i="28"/>
  <c r="G34" i="10"/>
  <c r="F34" i="28"/>
  <c r="F32" i="28"/>
  <c r="H6" i="29"/>
  <c r="H5" i="29"/>
  <c r="H6" i="11"/>
  <c r="G5" i="11"/>
  <c r="D134" i="2"/>
  <c r="H6" i="20"/>
  <c r="G5" i="20"/>
  <c r="G77" i="2"/>
  <c r="G78" i="2"/>
  <c r="H6" i="2"/>
  <c r="G5" i="2"/>
  <c r="E102" i="2"/>
  <c r="E119" i="2"/>
  <c r="E105" i="2"/>
  <c r="E101" i="2"/>
  <c r="E128" i="2"/>
  <c r="E131" i="2"/>
  <c r="E100" i="2"/>
  <c r="E130" i="2"/>
  <c r="E132" i="2"/>
  <c r="E103" i="2"/>
  <c r="E91" i="2"/>
  <c r="E118" i="2"/>
  <c r="E104" i="2"/>
  <c r="E133" i="2"/>
  <c r="E129" i="2"/>
  <c r="H6" i="10"/>
  <c r="H5" i="10"/>
  <c r="F44" i="5"/>
  <c r="H6" i="1"/>
  <c r="G5" i="1"/>
  <c r="E50" i="1"/>
  <c r="E120" i="2"/>
  <c r="E125" i="2"/>
  <c r="G79" i="2"/>
  <c r="G50" i="1"/>
  <c r="F46" i="5"/>
  <c r="H5" i="1"/>
  <c r="I6" i="1"/>
  <c r="I6" i="10"/>
  <c r="I5" i="10"/>
  <c r="E106" i="2"/>
  <c r="G14" i="19"/>
  <c r="G86" i="2"/>
  <c r="G35" i="10"/>
  <c r="G40" i="29"/>
  <c r="H5" i="4"/>
  <c r="I6" i="4"/>
  <c r="D109" i="2"/>
  <c r="D108" i="2"/>
  <c r="J6" i="15"/>
  <c r="I5" i="15"/>
  <c r="G46" i="5"/>
  <c r="H5" i="3"/>
  <c r="I6" i="3"/>
  <c r="H5" i="19"/>
  <c r="I6" i="19"/>
  <c r="F103" i="2"/>
  <c r="F128" i="2"/>
  <c r="F133" i="2"/>
  <c r="F102" i="2"/>
  <c r="F129" i="2"/>
  <c r="F119" i="2"/>
  <c r="F101" i="2"/>
  <c r="F118" i="2"/>
  <c r="F105" i="2"/>
  <c r="F100" i="2"/>
  <c r="F130" i="2"/>
  <c r="F132" i="2"/>
  <c r="F131" i="2"/>
  <c r="F91" i="2"/>
  <c r="F104" i="2"/>
  <c r="E134" i="2"/>
  <c r="D136" i="2"/>
  <c r="D137" i="2"/>
  <c r="I6" i="11"/>
  <c r="H5" i="11"/>
  <c r="I6" i="29"/>
  <c r="I5" i="29"/>
  <c r="F23" i="29"/>
  <c r="H78" i="2"/>
  <c r="I6" i="2"/>
  <c r="H77" i="2"/>
  <c r="H5" i="2"/>
  <c r="H5" i="20"/>
  <c r="I6" i="20"/>
  <c r="H33" i="28"/>
  <c r="G32" i="28"/>
  <c r="G35" i="28"/>
  <c r="H34" i="10"/>
  <c r="G34" i="28"/>
  <c r="G36" i="28"/>
  <c r="H99" i="5"/>
  <c r="H93" i="5"/>
  <c r="H87" i="5"/>
  <c r="H81" i="5"/>
  <c r="H96" i="5"/>
  <c r="H90" i="5"/>
  <c r="H84" i="5"/>
  <c r="H66" i="5"/>
  <c r="H50" i="5"/>
  <c r="H70" i="5"/>
  <c r="H71" i="5"/>
  <c r="H58" i="5"/>
  <c r="H74" i="5"/>
  <c r="H75" i="5"/>
  <c r="H62" i="5"/>
  <c r="H54" i="5"/>
  <c r="H5" i="5"/>
  <c r="I6" i="5"/>
  <c r="H50" i="15"/>
  <c r="D125" i="2"/>
  <c r="D124" i="2"/>
  <c r="E124" i="2"/>
  <c r="G23" i="29"/>
  <c r="D140" i="2"/>
  <c r="D141" i="2"/>
  <c r="F106" i="2"/>
  <c r="F109" i="2"/>
  <c r="I33" i="28"/>
  <c r="H32" i="28"/>
  <c r="H35" i="28"/>
  <c r="I34" i="10"/>
  <c r="H36" i="28"/>
  <c r="H34" i="28"/>
  <c r="H79" i="2"/>
  <c r="F120" i="2"/>
  <c r="F134" i="2"/>
  <c r="J6" i="19"/>
  <c r="I5" i="19"/>
  <c r="G133" i="2"/>
  <c r="G102" i="2"/>
  <c r="G129" i="2"/>
  <c r="G91" i="2"/>
  <c r="G100" i="2"/>
  <c r="G104" i="2"/>
  <c r="G105" i="2"/>
  <c r="G101" i="2"/>
  <c r="G128" i="2"/>
  <c r="G130" i="2"/>
  <c r="G132" i="2"/>
  <c r="G131" i="2"/>
  <c r="G119" i="2"/>
  <c r="G118" i="2"/>
  <c r="G103" i="2"/>
  <c r="E109" i="2"/>
  <c r="E108" i="2"/>
  <c r="H44" i="5"/>
  <c r="H14" i="19"/>
  <c r="H35" i="10"/>
  <c r="H40" i="29"/>
  <c r="H86" i="2"/>
  <c r="J6" i="20"/>
  <c r="I5" i="20"/>
  <c r="J6" i="10"/>
  <c r="J5" i="10"/>
  <c r="J6" i="1"/>
  <c r="I5" i="1"/>
  <c r="I96" i="5"/>
  <c r="I90" i="5"/>
  <c r="I84" i="5"/>
  <c r="I81" i="5"/>
  <c r="I70" i="5"/>
  <c r="I71" i="5"/>
  <c r="I44" i="5"/>
  <c r="I54" i="5"/>
  <c r="J6" i="5"/>
  <c r="I87" i="5"/>
  <c r="I93" i="5"/>
  <c r="I74" i="5"/>
  <c r="I75" i="5"/>
  <c r="I45" i="5"/>
  <c r="I62" i="5"/>
  <c r="I99" i="5"/>
  <c r="I66" i="5"/>
  <c r="I50" i="5"/>
  <c r="I58" i="5"/>
  <c r="I5" i="5"/>
  <c r="H45" i="5"/>
  <c r="J6" i="11"/>
  <c r="I5" i="11"/>
  <c r="I50" i="15"/>
  <c r="I78" i="2"/>
  <c r="I77" i="2"/>
  <c r="I5" i="2"/>
  <c r="J6" i="2"/>
  <c r="J6" i="29"/>
  <c r="J5" i="29"/>
  <c r="E137" i="2"/>
  <c r="E141" i="2"/>
  <c r="E136" i="2"/>
  <c r="J6" i="3"/>
  <c r="I5" i="3"/>
  <c r="K6" i="15"/>
  <c r="K5" i="15"/>
  <c r="J5" i="15"/>
  <c r="J6" i="4"/>
  <c r="I5" i="4"/>
  <c r="E140" i="2"/>
  <c r="E142" i="2"/>
  <c r="H23" i="29"/>
  <c r="D142" i="2"/>
  <c r="F108" i="2"/>
  <c r="K6" i="3"/>
  <c r="K5" i="3"/>
  <c r="J5" i="3"/>
  <c r="I46" i="5"/>
  <c r="K6" i="19"/>
  <c r="K5" i="19"/>
  <c r="J5" i="19"/>
  <c r="H50" i="1"/>
  <c r="I14" i="19"/>
  <c r="I40" i="29"/>
  <c r="I86" i="2"/>
  <c r="I35" i="10"/>
  <c r="I32" i="28"/>
  <c r="J33" i="28"/>
  <c r="K6" i="10"/>
  <c r="K5" i="10"/>
  <c r="J32" i="10"/>
  <c r="K6" i="20"/>
  <c r="K5" i="20"/>
  <c r="J5" i="20"/>
  <c r="F136" i="2"/>
  <c r="F137" i="2"/>
  <c r="K6" i="29"/>
  <c r="K5" i="29"/>
  <c r="I79" i="2"/>
  <c r="H101" i="2"/>
  <c r="H130" i="2"/>
  <c r="H132" i="2"/>
  <c r="H131" i="2"/>
  <c r="H100" i="2"/>
  <c r="H118" i="2"/>
  <c r="H104" i="2"/>
  <c r="H103" i="2"/>
  <c r="H91" i="2"/>
  <c r="H102" i="2"/>
  <c r="H129" i="2"/>
  <c r="H128" i="2"/>
  <c r="H105" i="2"/>
  <c r="H119" i="2"/>
  <c r="H133" i="2"/>
  <c r="H46" i="5"/>
  <c r="F125" i="2"/>
  <c r="F124" i="2"/>
  <c r="K50" i="15"/>
  <c r="K6" i="4"/>
  <c r="K5" i="4"/>
  <c r="J5" i="4"/>
  <c r="J77" i="2"/>
  <c r="J78" i="2"/>
  <c r="K6" i="2"/>
  <c r="L56" i="2"/>
  <c r="J5" i="2"/>
  <c r="L47" i="2"/>
  <c r="L13" i="2"/>
  <c r="L51" i="2"/>
  <c r="L63" i="2"/>
  <c r="L22" i="2"/>
  <c r="L58" i="2"/>
  <c r="L27" i="2"/>
  <c r="J5" i="11"/>
  <c r="K6" i="11"/>
  <c r="K5" i="11"/>
  <c r="J96" i="5"/>
  <c r="J90" i="5"/>
  <c r="J84" i="5"/>
  <c r="J99" i="5"/>
  <c r="J93" i="5"/>
  <c r="J87" i="5"/>
  <c r="J81" i="5"/>
  <c r="J58" i="5"/>
  <c r="J5" i="5"/>
  <c r="J74" i="5"/>
  <c r="J75" i="5"/>
  <c r="J66" i="5"/>
  <c r="J70" i="5"/>
  <c r="J71" i="5"/>
  <c r="J54" i="5"/>
  <c r="J50" i="5"/>
  <c r="J62" i="5"/>
  <c r="K6" i="5"/>
  <c r="L16" i="5"/>
  <c r="L57" i="5"/>
  <c r="K6" i="1"/>
  <c r="J5" i="1"/>
  <c r="L41" i="2"/>
  <c r="L46" i="2"/>
  <c r="G120" i="2"/>
  <c r="G134" i="2"/>
  <c r="G106" i="2"/>
  <c r="L26" i="2"/>
  <c r="L53" i="2"/>
  <c r="I78" i="15"/>
  <c r="I80" i="15"/>
  <c r="K12" i="3"/>
  <c r="K17" i="4"/>
  <c r="L23" i="2"/>
  <c r="L17" i="5"/>
  <c r="L40" i="2"/>
  <c r="L42" i="2"/>
  <c r="L50" i="2"/>
  <c r="L69" i="5"/>
  <c r="L62" i="2"/>
  <c r="L52" i="2"/>
  <c r="L65" i="5"/>
  <c r="L59" i="2"/>
  <c r="L73" i="5"/>
  <c r="L64" i="2"/>
  <c r="L13" i="5"/>
  <c r="L55" i="2"/>
  <c r="L54" i="2"/>
  <c r="L15" i="5"/>
  <c r="J79" i="2"/>
  <c r="J50" i="1"/>
  <c r="K99" i="5"/>
  <c r="K93" i="5"/>
  <c r="K87" i="5"/>
  <c r="K81" i="5"/>
  <c r="K84" i="5"/>
  <c r="K74" i="5"/>
  <c r="K75" i="5"/>
  <c r="K45" i="5"/>
  <c r="K62" i="5"/>
  <c r="K90" i="5"/>
  <c r="K96" i="5"/>
  <c r="K70" i="5"/>
  <c r="K71" i="5"/>
  <c r="K54" i="5"/>
  <c r="K58" i="5"/>
  <c r="K5" i="5"/>
  <c r="K66" i="5"/>
  <c r="L67" i="5"/>
  <c r="K50" i="5"/>
  <c r="L75" i="5"/>
  <c r="J44" i="5"/>
  <c r="L71" i="5"/>
  <c r="L59" i="5"/>
  <c r="F140" i="2"/>
  <c r="H120" i="2"/>
  <c r="K32" i="10"/>
  <c r="I101" i="2"/>
  <c r="I119" i="2"/>
  <c r="I105" i="2"/>
  <c r="I132" i="2"/>
  <c r="I131" i="2"/>
  <c r="I100" i="2"/>
  <c r="I130" i="2"/>
  <c r="I128" i="2"/>
  <c r="I118" i="2"/>
  <c r="I102" i="2"/>
  <c r="I104" i="2"/>
  <c r="I103" i="2"/>
  <c r="I91" i="2"/>
  <c r="I133" i="2"/>
  <c r="I129" i="2"/>
  <c r="G137" i="2"/>
  <c r="G136" i="2"/>
  <c r="G124" i="2"/>
  <c r="G125" i="2"/>
  <c r="K77" i="2"/>
  <c r="K78" i="2"/>
  <c r="K5" i="2"/>
  <c r="L77" i="2"/>
  <c r="F141" i="2"/>
  <c r="I23" i="29"/>
  <c r="J45" i="5"/>
  <c r="L45" i="5"/>
  <c r="H106" i="2"/>
  <c r="I50" i="1"/>
  <c r="G109" i="2"/>
  <c r="G108" i="2"/>
  <c r="K5" i="1"/>
  <c r="H134" i="2"/>
  <c r="J32" i="28"/>
  <c r="G141" i="2"/>
  <c r="L79" i="2"/>
  <c r="K79" i="2"/>
  <c r="K50" i="1"/>
  <c r="M75" i="5"/>
  <c r="G140" i="2"/>
  <c r="M59" i="5"/>
  <c r="I120" i="2"/>
  <c r="I125" i="2"/>
  <c r="F142" i="2"/>
  <c r="H109" i="2"/>
  <c r="H108" i="2"/>
  <c r="I106" i="2"/>
  <c r="H136" i="2"/>
  <c r="H137" i="2"/>
  <c r="H125" i="2"/>
  <c r="H124" i="2"/>
  <c r="L43" i="5"/>
  <c r="M67" i="5"/>
  <c r="K44" i="5"/>
  <c r="M44" i="5"/>
  <c r="M71" i="5"/>
  <c r="M45" i="5"/>
  <c r="M77" i="2"/>
  <c r="I134" i="2"/>
  <c r="M41" i="5"/>
  <c r="L41" i="5"/>
  <c r="N50" i="1"/>
  <c r="L44" i="5"/>
  <c r="G142" i="2"/>
  <c r="M79" i="2"/>
  <c r="I124" i="2"/>
  <c r="I109" i="2"/>
  <c r="I108" i="2"/>
  <c r="H141" i="2"/>
  <c r="K46" i="5"/>
  <c r="I136" i="2"/>
  <c r="I137" i="2"/>
  <c r="I141" i="2"/>
  <c r="H140" i="2"/>
  <c r="M43" i="5"/>
  <c r="I140" i="2"/>
  <c r="I142" i="2"/>
  <c r="K82" i="15"/>
  <c r="H142" i="2"/>
  <c r="K26" i="4"/>
  <c r="H90" i="2"/>
  <c r="F90" i="2"/>
  <c r="E90" i="2"/>
  <c r="I90" i="2"/>
  <c r="E18" i="2"/>
  <c r="E34" i="2"/>
  <c r="F81" i="15"/>
  <c r="F82" i="15"/>
  <c r="F92" i="2"/>
  <c r="F18" i="2"/>
  <c r="F34" i="2"/>
  <c r="E81" i="15"/>
  <c r="E82" i="15"/>
  <c r="E92" i="2"/>
  <c r="H18" i="2"/>
  <c r="H34" i="2"/>
  <c r="D90" i="2"/>
  <c r="H81" i="15"/>
  <c r="H92" i="2"/>
  <c r="H82" i="15"/>
  <c r="G90" i="2"/>
  <c r="H70" i="2"/>
  <c r="E96" i="2"/>
  <c r="E112" i="2"/>
  <c r="E97" i="2"/>
  <c r="E113" i="2"/>
  <c r="E148" i="2"/>
  <c r="E70" i="2"/>
  <c r="E69" i="2"/>
  <c r="E36" i="2"/>
  <c r="I92" i="2"/>
  <c r="I81" i="15"/>
  <c r="I82" i="15"/>
  <c r="F97" i="2"/>
  <c r="F113" i="2"/>
  <c r="F148" i="2"/>
  <c r="F96" i="2"/>
  <c r="F112" i="2"/>
  <c r="H97" i="2"/>
  <c r="H113" i="2"/>
  <c r="H148" i="2"/>
  <c r="H96" i="2"/>
  <c r="H112" i="2"/>
  <c r="G81" i="15"/>
  <c r="G92" i="2"/>
  <c r="G82" i="15"/>
  <c r="G18" i="2"/>
  <c r="G34" i="2"/>
  <c r="D18" i="2"/>
  <c r="F70" i="2"/>
  <c r="I18" i="2"/>
  <c r="I34" i="2"/>
  <c r="D82" i="15"/>
  <c r="D81" i="15"/>
  <c r="D92" i="2"/>
  <c r="H69" i="2"/>
  <c r="H36" i="2"/>
  <c r="F69" i="2"/>
  <c r="F36" i="2"/>
  <c r="F71" i="2"/>
  <c r="H71" i="2"/>
  <c r="E71" i="2"/>
  <c r="D34" i="2"/>
  <c r="G36" i="2"/>
  <c r="G69" i="2"/>
  <c r="I70" i="2"/>
  <c r="F147" i="2"/>
  <c r="F149" i="2"/>
  <c r="F114" i="2"/>
  <c r="G70" i="2"/>
  <c r="H114" i="2"/>
  <c r="H147" i="2"/>
  <c r="H149" i="2"/>
  <c r="I69" i="2"/>
  <c r="I36" i="2"/>
  <c r="G97" i="2"/>
  <c r="G113" i="2"/>
  <c r="G148" i="2"/>
  <c r="G96" i="2"/>
  <c r="G112" i="2"/>
  <c r="E114" i="2"/>
  <c r="E147" i="2"/>
  <c r="E149" i="2"/>
  <c r="D97" i="2"/>
  <c r="D96" i="2"/>
  <c r="I97" i="2"/>
  <c r="I113" i="2"/>
  <c r="I148" i="2"/>
  <c r="I96" i="2"/>
  <c r="I112" i="2"/>
  <c r="G71" i="2"/>
  <c r="D113" i="2"/>
  <c r="D70" i="2"/>
  <c r="D112" i="2"/>
  <c r="I71" i="2"/>
  <c r="D69" i="2"/>
  <c r="D36" i="2"/>
  <c r="I114" i="2"/>
  <c r="I147" i="2"/>
  <c r="I149" i="2"/>
  <c r="G114" i="2"/>
  <c r="G147" i="2"/>
  <c r="G149" i="2"/>
  <c r="D114" i="2"/>
  <c r="D147" i="2"/>
  <c r="D148" i="2"/>
  <c r="D71" i="2"/>
  <c r="D149" i="2"/>
  <c r="M12" i="5"/>
  <c r="L12" i="5"/>
  <c r="M53" i="5"/>
  <c r="L53" i="5"/>
  <c r="L55" i="5"/>
  <c r="M55" i="5"/>
  <c r="L40" i="5"/>
  <c r="M40" i="5"/>
  <c r="F27" i="28"/>
  <c r="J35" i="28"/>
  <c r="K34" i="10"/>
  <c r="I35" i="28"/>
  <c r="J34" i="10"/>
  <c r="M12" i="2"/>
  <c r="M14" i="2"/>
  <c r="L12" i="2"/>
  <c r="L14" i="2"/>
  <c r="M18" i="2"/>
  <c r="L18" i="2"/>
  <c r="M19" i="2"/>
  <c r="L19" i="2"/>
  <c r="J78" i="15"/>
  <c r="J80" i="15"/>
  <c r="I36" i="28"/>
  <c r="E27" i="28"/>
  <c r="I34" i="28"/>
  <c r="J86" i="2"/>
  <c r="J35" i="10"/>
  <c r="J14" i="19"/>
  <c r="J8" i="20"/>
  <c r="J57" i="1"/>
  <c r="J40" i="29"/>
  <c r="J23" i="29"/>
  <c r="J36" i="28"/>
  <c r="J34" i="28"/>
  <c r="K35" i="10"/>
  <c r="K40" i="29"/>
  <c r="K23" i="29"/>
  <c r="K14" i="19"/>
  <c r="K86" i="2"/>
  <c r="J119" i="2"/>
  <c r="J128" i="2"/>
  <c r="J105" i="2"/>
  <c r="L105" i="2"/>
  <c r="J101" i="2"/>
  <c r="L101" i="2"/>
  <c r="J133" i="2"/>
  <c r="L133" i="2"/>
  <c r="J104" i="2"/>
  <c r="L104" i="2"/>
  <c r="J130" i="2"/>
  <c r="L130" i="2"/>
  <c r="J131" i="2"/>
  <c r="L131" i="2"/>
  <c r="J100" i="2"/>
  <c r="J118" i="2"/>
  <c r="L118" i="2"/>
  <c r="J129" i="2"/>
  <c r="L129" i="2"/>
  <c r="J132" i="2"/>
  <c r="L132" i="2"/>
  <c r="L100" i="2"/>
  <c r="J134" i="2"/>
  <c r="L128" i="2"/>
  <c r="L90" i="2"/>
  <c r="J81" i="15"/>
  <c r="J82" i="15"/>
  <c r="J120" i="2"/>
  <c r="L119" i="2"/>
  <c r="L120" i="2"/>
  <c r="K105" i="2"/>
  <c r="M105" i="2"/>
  <c r="K118" i="2"/>
  <c r="M118" i="2"/>
  <c r="K101" i="2"/>
  <c r="M101" i="2"/>
  <c r="K132" i="2"/>
  <c r="M132" i="2"/>
  <c r="K129" i="2"/>
  <c r="M129" i="2"/>
  <c r="K128" i="2"/>
  <c r="M128" i="2"/>
  <c r="K91" i="2"/>
  <c r="M91" i="2"/>
  <c r="K131" i="2"/>
  <c r="M131" i="2"/>
  <c r="K130" i="2"/>
  <c r="M130" i="2"/>
  <c r="K119" i="2"/>
  <c r="K104" i="2"/>
  <c r="M104" i="2"/>
  <c r="K90" i="2"/>
  <c r="K100" i="2"/>
  <c r="M100" i="2"/>
  <c r="K133" i="2"/>
  <c r="M133" i="2"/>
  <c r="L91" i="2"/>
  <c r="L92" i="2"/>
  <c r="K81" i="15"/>
  <c r="M90" i="2"/>
  <c r="M92" i="2"/>
  <c r="K120" i="2"/>
  <c r="M119" i="2"/>
  <c r="M120" i="2"/>
  <c r="J136" i="2"/>
  <c r="L136" i="2"/>
  <c r="J137" i="2"/>
  <c r="L137" i="2"/>
  <c r="L134" i="2"/>
  <c r="K92" i="2"/>
  <c r="J96" i="2"/>
  <c r="J97" i="2"/>
  <c r="K134" i="2"/>
  <c r="J124" i="2"/>
  <c r="J125" i="2"/>
  <c r="M134" i="2"/>
  <c r="K136" i="2"/>
  <c r="M136" i="2"/>
  <c r="K137" i="2"/>
  <c r="M137" i="2"/>
  <c r="K124" i="2"/>
  <c r="K125" i="2"/>
  <c r="J141" i="2"/>
  <c r="L141" i="2"/>
  <c r="L125" i="2"/>
  <c r="L97" i="2"/>
  <c r="J140" i="2"/>
  <c r="L124" i="2"/>
  <c r="L96" i="2"/>
  <c r="K96" i="2"/>
  <c r="K97" i="2"/>
  <c r="K140" i="2"/>
  <c r="M140" i="2"/>
  <c r="M124" i="2"/>
  <c r="M97" i="2"/>
  <c r="M125" i="2"/>
  <c r="K141" i="2"/>
  <c r="M141" i="2"/>
  <c r="L140" i="2"/>
  <c r="J142" i="2"/>
  <c r="L142" i="2"/>
  <c r="M96" i="2"/>
  <c r="K142" i="2"/>
  <c r="M142" i="2"/>
  <c r="J50" i="15"/>
  <c r="J64" i="4"/>
  <c r="J66" i="4"/>
  <c r="J68" i="4"/>
  <c r="M14" i="5"/>
  <c r="L14" i="5"/>
  <c r="M61" i="5"/>
  <c r="L61" i="5"/>
  <c r="L63" i="5"/>
  <c r="M63" i="5"/>
  <c r="L42" i="5"/>
  <c r="M42" i="5"/>
  <c r="L11" i="5"/>
  <c r="L18" i="5"/>
  <c r="M11" i="5"/>
  <c r="M18" i="5"/>
  <c r="L49" i="5"/>
  <c r="M49" i="5"/>
  <c r="M51" i="5"/>
  <c r="L51" i="5"/>
  <c r="L39" i="5"/>
  <c r="L46" i="5"/>
  <c r="M39" i="5"/>
  <c r="M46" i="5"/>
  <c r="J46" i="5"/>
  <c r="K103" i="2"/>
  <c r="M25" i="2"/>
  <c r="J103" i="2"/>
  <c r="L25" i="2"/>
  <c r="K102" i="2"/>
  <c r="K106" i="2"/>
  <c r="L103" i="2"/>
  <c r="M103" i="2"/>
  <c r="K30" i="2"/>
  <c r="K34" i="2"/>
  <c r="K109" i="2"/>
  <c r="K113" i="2"/>
  <c r="K148" i="2"/>
  <c r="K108" i="2"/>
  <c r="K112" i="2"/>
  <c r="K114" i="2"/>
  <c r="K147" i="2"/>
  <c r="K149" i="2"/>
  <c r="K36" i="2"/>
  <c r="K69" i="2"/>
  <c r="K70" i="2"/>
  <c r="K71" i="2"/>
  <c r="J68" i="10"/>
  <c r="J70" i="10"/>
  <c r="M24" i="2"/>
  <c r="J102" i="2"/>
  <c r="L24" i="2"/>
  <c r="M28" i="2"/>
  <c r="L28" i="2"/>
  <c r="J30" i="2"/>
  <c r="M102" i="2"/>
  <c r="L102" i="2"/>
  <c r="J106" i="2"/>
  <c r="J65" i="10"/>
  <c r="J67" i="10"/>
  <c r="L31" i="2"/>
  <c r="M31" i="2"/>
  <c r="M30" i="2"/>
  <c r="J34" i="2"/>
  <c r="L30" i="2"/>
  <c r="J108" i="2"/>
  <c r="L106" i="2"/>
  <c r="M106" i="2"/>
  <c r="J109" i="2"/>
  <c r="M34" i="2"/>
  <c r="J69" i="2"/>
  <c r="J36" i="2"/>
  <c r="L34" i="2"/>
  <c r="L109" i="2"/>
  <c r="M109" i="2"/>
  <c r="J113" i="2"/>
  <c r="M35" i="2"/>
  <c r="L35" i="2"/>
  <c r="J70" i="2"/>
  <c r="J112" i="2"/>
  <c r="M108" i="2"/>
  <c r="L108" i="2"/>
  <c r="J148" i="2"/>
  <c r="L113" i="2"/>
  <c r="M113" i="2"/>
  <c r="J147" i="2"/>
  <c r="J114" i="2"/>
  <c r="L112" i="2"/>
  <c r="M112" i="2"/>
  <c r="L70" i="2"/>
  <c r="M70" i="2"/>
  <c r="L36" i="2"/>
  <c r="M36" i="2"/>
  <c r="M69" i="2"/>
  <c r="L69" i="2"/>
  <c r="J71" i="2"/>
  <c r="L114" i="2"/>
  <c r="M114" i="2"/>
  <c r="J149" i="2"/>
  <c r="L147" i="2"/>
  <c r="M147" i="2"/>
  <c r="M148" i="2"/>
  <c r="L148" i="2"/>
  <c r="M71" i="2"/>
  <c r="L71" i="2"/>
  <c r="M149" i="2"/>
  <c r="L149" i="2"/>
  <c r="I31" i="10"/>
  <c r="J31" i="10"/>
  <c r="F31" i="10"/>
  <c r="D31" i="10"/>
  <c r="G31" i="10"/>
  <c r="H31" i="10"/>
  <c r="K31" i="10"/>
  <c r="E31" i="10"/>
  <c r="D32" i="10"/>
  <c r="E32" i="10"/>
  <c r="D35" i="1"/>
  <c r="D34" i="1"/>
  <c r="D36" i="1"/>
  <c r="D32" i="1"/>
  <c r="D37" i="1"/>
  <c r="D30" i="1"/>
  <c r="D38" i="1"/>
  <c r="D33" i="1"/>
  <c r="D31" i="1"/>
  <c r="D53" i="10"/>
  <c r="D54" i="10"/>
  <c r="D55" i="10"/>
  <c r="F32" i="10"/>
  <c r="D48" i="29"/>
  <c r="D57" i="10"/>
  <c r="D51" i="10"/>
  <c r="E53" i="10"/>
  <c r="D58" i="10"/>
  <c r="D12" i="1"/>
  <c r="D18" i="1"/>
  <c r="D11" i="1"/>
  <c r="D14" i="1"/>
  <c r="D19" i="1"/>
  <c r="D13" i="1"/>
  <c r="D17" i="1"/>
  <c r="D15" i="1"/>
  <c r="D16" i="1"/>
  <c r="G32" i="10"/>
  <c r="E54" i="10"/>
  <c r="E37" i="1"/>
  <c r="E30" i="1"/>
  <c r="E31" i="1"/>
  <c r="E38" i="1"/>
  <c r="E36" i="1"/>
  <c r="E35" i="1"/>
  <c r="E33" i="1"/>
  <c r="E32" i="1"/>
  <c r="E34" i="1"/>
  <c r="D10" i="1"/>
  <c r="D29" i="1"/>
  <c r="H32" i="10"/>
  <c r="E19" i="1"/>
  <c r="E11" i="1"/>
  <c r="E16" i="1"/>
  <c r="E15" i="1"/>
  <c r="E14" i="1"/>
  <c r="E18" i="1"/>
  <c r="E13" i="1"/>
  <c r="E17" i="1"/>
  <c r="E12" i="1"/>
  <c r="E55" i="10"/>
  <c r="F48" i="29"/>
  <c r="E58" i="10"/>
  <c r="E51" i="10"/>
  <c r="E57" i="10"/>
  <c r="E48" i="29"/>
  <c r="F53" i="10"/>
  <c r="F54" i="10"/>
  <c r="D59" i="10"/>
  <c r="E59" i="10"/>
  <c r="F14" i="1"/>
  <c r="F19" i="1"/>
  <c r="F15" i="1"/>
  <c r="F17" i="1"/>
  <c r="F12" i="1"/>
  <c r="F16" i="1"/>
  <c r="F13" i="1"/>
  <c r="F11" i="1"/>
  <c r="F18" i="1"/>
  <c r="F58" i="10"/>
  <c r="G54" i="10"/>
  <c r="D39" i="1"/>
  <c r="G53" i="10"/>
  <c r="F55" i="10"/>
  <c r="F30" i="1"/>
  <c r="F38" i="1"/>
  <c r="F37" i="1"/>
  <c r="F35" i="1"/>
  <c r="F33" i="1"/>
  <c r="F36" i="1"/>
  <c r="F34" i="1"/>
  <c r="F31" i="1"/>
  <c r="F32" i="1"/>
  <c r="F57" i="10"/>
  <c r="F59" i="10"/>
  <c r="F51" i="10"/>
  <c r="D20" i="1"/>
  <c r="E10" i="1"/>
  <c r="E29" i="1"/>
  <c r="I32" i="10"/>
  <c r="G48" i="29"/>
  <c r="E21" i="1"/>
  <c r="D21" i="1"/>
  <c r="G55" i="10"/>
  <c r="F10" i="1"/>
  <c r="F29" i="1"/>
  <c r="H48" i="29"/>
  <c r="G32" i="1"/>
  <c r="G36" i="1"/>
  <c r="G38" i="1"/>
  <c r="G35" i="1"/>
  <c r="G33" i="1"/>
  <c r="G37" i="1"/>
  <c r="G31" i="1"/>
  <c r="G34" i="1"/>
  <c r="G30" i="1"/>
  <c r="J64" i="10"/>
  <c r="J71" i="10"/>
  <c r="J75" i="10"/>
  <c r="E39" i="1"/>
  <c r="G51" i="10"/>
  <c r="G57" i="10"/>
  <c r="G13" i="1"/>
  <c r="G19" i="1"/>
  <c r="G18" i="1"/>
  <c r="G16" i="1"/>
  <c r="G15" i="1"/>
  <c r="G11" i="1"/>
  <c r="G12" i="1"/>
  <c r="G17" i="1"/>
  <c r="G14" i="1"/>
  <c r="H53" i="10"/>
  <c r="G58" i="10"/>
  <c r="H54" i="10"/>
  <c r="E20" i="1"/>
  <c r="H37" i="1"/>
  <c r="H31" i="1"/>
  <c r="H30" i="1"/>
  <c r="H35" i="1"/>
  <c r="H32" i="1"/>
  <c r="H34" i="1"/>
  <c r="H38" i="1"/>
  <c r="H36" i="1"/>
  <c r="H33" i="1"/>
  <c r="H12" i="1"/>
  <c r="H19" i="1"/>
  <c r="H11" i="1"/>
  <c r="H14" i="1"/>
  <c r="H17" i="1"/>
  <c r="H18" i="1"/>
  <c r="H16" i="1"/>
  <c r="H13" i="1"/>
  <c r="H15" i="1"/>
  <c r="H55" i="10"/>
  <c r="F39" i="1"/>
  <c r="F20" i="1"/>
  <c r="G10" i="1"/>
  <c r="G29" i="1"/>
  <c r="I53" i="10"/>
  <c r="G59" i="10"/>
  <c r="H57" i="10"/>
  <c r="H51" i="10"/>
  <c r="D40" i="1"/>
  <c r="H58" i="10"/>
  <c r="I54" i="10"/>
  <c r="J73" i="10"/>
  <c r="J74" i="10"/>
  <c r="I55" i="10"/>
  <c r="H59" i="10"/>
  <c r="I58" i="10"/>
  <c r="E40" i="1"/>
  <c r="G39" i="1"/>
  <c r="I48" i="29"/>
  <c r="G20" i="1"/>
  <c r="D22" i="1"/>
  <c r="D41" i="1"/>
  <c r="D63" i="1"/>
  <c r="I57" i="10"/>
  <c r="I59" i="10"/>
  <c r="I51" i="10"/>
  <c r="H10" i="1"/>
  <c r="H29" i="1"/>
  <c r="I13" i="1"/>
  <c r="I11" i="1"/>
  <c r="I16" i="1"/>
  <c r="I15" i="1"/>
  <c r="I19" i="1"/>
  <c r="I17" i="1"/>
  <c r="I14" i="1"/>
  <c r="I12" i="1"/>
  <c r="I18" i="1"/>
  <c r="D42" i="1"/>
  <c r="E22" i="1"/>
  <c r="E41" i="1"/>
  <c r="I32" i="1"/>
  <c r="I36" i="1"/>
  <c r="I34" i="1"/>
  <c r="I30" i="1"/>
  <c r="I38" i="1"/>
  <c r="I35" i="1"/>
  <c r="I33" i="1"/>
  <c r="I31" i="1"/>
  <c r="I37" i="1"/>
  <c r="M32" i="1"/>
  <c r="M37" i="1"/>
  <c r="M35" i="1"/>
  <c r="M38" i="1"/>
  <c r="M31" i="1"/>
  <c r="M36" i="1"/>
  <c r="M34" i="1"/>
  <c r="M33" i="1"/>
  <c r="F21" i="1"/>
  <c r="I10" i="1"/>
  <c r="I29" i="1"/>
  <c r="E63" i="1"/>
  <c r="F40" i="1"/>
  <c r="H39" i="1"/>
  <c r="J53" i="10"/>
  <c r="J37" i="1"/>
  <c r="J32" i="1"/>
  <c r="J36" i="1"/>
  <c r="J31" i="1"/>
  <c r="J34" i="1"/>
  <c r="J35" i="1"/>
  <c r="J33" i="1"/>
  <c r="J38" i="1"/>
  <c r="J30" i="1"/>
  <c r="M30" i="1"/>
  <c r="H21" i="1"/>
  <c r="H20" i="1"/>
  <c r="D23" i="1"/>
  <c r="E42" i="1"/>
  <c r="J54" i="10"/>
  <c r="J48" i="29"/>
  <c r="J55" i="10"/>
  <c r="K53" i="10"/>
  <c r="K54" i="10"/>
  <c r="I39" i="1"/>
  <c r="J51" i="10"/>
  <c r="J57" i="10"/>
  <c r="I20" i="1"/>
  <c r="E23" i="1"/>
  <c r="G21" i="1"/>
  <c r="J58" i="10"/>
  <c r="K48" i="29"/>
  <c r="K55" i="10"/>
  <c r="H40" i="1"/>
  <c r="J59" i="10"/>
  <c r="K58" i="10"/>
  <c r="K16" i="1"/>
  <c r="K19" i="1"/>
  <c r="K14" i="1"/>
  <c r="K17" i="1"/>
  <c r="K18" i="1"/>
  <c r="K13" i="1"/>
  <c r="K12" i="1"/>
  <c r="K15" i="1"/>
  <c r="K11" i="1"/>
  <c r="K51" i="10"/>
  <c r="K57" i="10"/>
  <c r="I40" i="1"/>
  <c r="K32" i="1"/>
  <c r="K34" i="1"/>
  <c r="K37" i="1"/>
  <c r="K33" i="1"/>
  <c r="K38" i="1"/>
  <c r="K31" i="1"/>
  <c r="K35" i="1"/>
  <c r="K36" i="1"/>
  <c r="K30" i="1"/>
  <c r="G40" i="1"/>
  <c r="F22" i="1"/>
  <c r="F41" i="1"/>
  <c r="F63" i="1"/>
  <c r="I21" i="1"/>
  <c r="J29" i="1"/>
  <c r="M29" i="1"/>
  <c r="H63" i="1"/>
  <c r="K59" i="10"/>
  <c r="G63" i="1"/>
  <c r="K10" i="1"/>
  <c r="K29" i="1"/>
  <c r="F42" i="1"/>
  <c r="F23" i="1"/>
  <c r="M39" i="1"/>
  <c r="G22" i="1"/>
  <c r="G41" i="1"/>
  <c r="J39" i="1"/>
  <c r="H22" i="1"/>
  <c r="H41" i="1"/>
  <c r="I63" i="1"/>
  <c r="K21" i="1"/>
  <c r="H23" i="1"/>
  <c r="K39" i="1"/>
  <c r="G42" i="1"/>
  <c r="K20" i="1"/>
  <c r="M40" i="1"/>
  <c r="H42" i="1"/>
  <c r="I41" i="1"/>
  <c r="I22" i="1"/>
  <c r="G23" i="1"/>
  <c r="I23" i="1"/>
  <c r="M60" i="1"/>
  <c r="I42" i="1"/>
  <c r="J40" i="1"/>
  <c r="J63" i="1"/>
  <c r="N60" i="1"/>
  <c r="K63" i="1"/>
  <c r="K40" i="1"/>
  <c r="M62" i="1"/>
  <c r="J41" i="1"/>
  <c r="M41" i="1"/>
  <c r="J42" i="1"/>
  <c r="M42" i="1"/>
  <c r="N62" i="1"/>
  <c r="M63" i="1"/>
  <c r="K22" i="1"/>
  <c r="K41" i="1"/>
  <c r="K42" i="1"/>
  <c r="N63" i="1"/>
  <c r="K23" i="1"/>
</calcChain>
</file>

<file path=xl/sharedStrings.xml><?xml version="1.0" encoding="utf-8"?>
<sst xmlns="http://schemas.openxmlformats.org/spreadsheetml/2006/main" count="1501" uniqueCount="671">
  <si>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</si>
  <si>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</si>
  <si>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</si>
  <si>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</si>
  <si>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</si>
  <si>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</si>
  <si>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</si>
  <si>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</si>
  <si>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</si>
  <si>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</si>
  <si>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</si>
  <si>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</si>
  <si>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</si>
  <si>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</si>
  <si>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</si>
  <si>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</si>
  <si>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</si>
  <si>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</si>
  <si>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</si>
  <si>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</si>
  <si>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</si>
  <si>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</si>
  <si>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</si>
  <si>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</si>
  <si>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</si>
  <si>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</si>
  <si>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</si>
  <si>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</si>
  <si>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</si>
  <si>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</si>
  <si>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</si>
  <si>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</si>
  <si>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</si>
  <si>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</si>
  <si>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</si>
  <si>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</si>
  <si>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</si>
  <si>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</si>
  <si>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</si>
  <si>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</si>
  <si>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</si>
  <si>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</si>
  <si>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</si>
  <si>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</si>
  <si>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</si>
  <si>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</si>
  <si>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</si>
  <si>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</si>
  <si>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</si>
  <si>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</si>
  <si>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</si>
  <si>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</si>
  <si>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</si>
  <si>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</si>
  <si>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</si>
  <si>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</si>
  <si>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</si>
  <si>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</si>
  <si>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</si>
  <si>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</si>
  <si>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</si>
  <si>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</si>
  <si>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</si>
  <si>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</si>
  <si>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</si>
  <si>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</si>
  <si>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</si>
  <si>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</si>
  <si>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</si>
  <si>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</si>
  <si>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</si>
  <si>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</si>
  <si>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</si>
  <si>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</si>
  <si>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</si>
  <si>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</si>
  <si>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</si>
  <si>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</si>
  <si>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</si>
  <si>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</si>
  <si>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</si>
  <si>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</si>
  <si>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</si>
  <si>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</si>
  <si>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</si>
  <si>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</si>
  <si>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</si>
  <si>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</si>
  <si>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</si>
  <si>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</si>
  <si>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</si>
  <si>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</si>
  <si>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</si>
  <si>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</si>
  <si>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</si>
  <si>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</si>
  <si>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</si>
  <si>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</si>
  <si>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</si>
  <si>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</si>
  <si>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</si>
  <si>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</si>
  <si>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</si>
  <si>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</si>
  <si>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</si>
  <si>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</si>
  <si>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</si>
  <si>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</si>
  <si>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</si>
  <si>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</si>
  <si>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</si>
  <si>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</si>
  <si>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</si>
  <si>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</si>
  <si>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</si>
  <si>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</si>
  <si>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</si>
  <si>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</si>
  <si>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</si>
  <si>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</si>
  <si>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</si>
  <si>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</si>
  <si>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</si>
  <si>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</si>
  <si>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</si>
  <si>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</si>
  <si>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</si>
  <si>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</si>
  <si>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</si>
  <si>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</si>
  <si>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</si>
  <si>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</si>
  <si>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</si>
  <si>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</si>
  <si>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</si>
  <si>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</si>
  <si>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</si>
  <si>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</si>
  <si>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</si>
  <si>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</si>
  <si>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</si>
  <si>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</si>
  <si>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</si>
  <si>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</si>
  <si>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</si>
  <si>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</si>
  <si>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</si>
  <si>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</si>
  <si>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</si>
  <si>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</si>
  <si>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</si>
  <si>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</si>
  <si>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</si>
  <si>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</si>
  <si>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</si>
  <si>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</si>
  <si>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</si>
  <si>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</si>
  <si>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</si>
  <si>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</si>
  <si>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</si>
  <si>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</si>
  <si>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</si>
  <si>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</si>
  <si>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</si>
  <si>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</si>
  <si>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</si>
  <si>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</si>
  <si>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</si>
  <si>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</si>
  <si>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</si>
  <si>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</si>
  <si>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</si>
  <si>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</si>
  <si>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</si>
  <si>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</si>
  <si>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</si>
  <si>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</si>
  <si>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</si>
  <si>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</si>
  <si>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</si>
  <si>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</si>
  <si>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</si>
  <si>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</si>
  <si>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</si>
  <si>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</si>
  <si>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</si>
  <si>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</si>
  <si>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</si>
  <si>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</si>
  <si>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</si>
  <si>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</si>
  <si>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</si>
  <si>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</si>
  <si>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</si>
  <si>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</si>
  <si>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</si>
  <si>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</si>
  <si>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</si>
  <si>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</si>
  <si>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</si>
  <si>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</si>
  <si>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</si>
  <si>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</si>
  <si>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</si>
  <si>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</si>
  <si>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</si>
  <si>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</si>
  <si>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</si>
  <si>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</si>
  <si>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</si>
  <si>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</si>
  <si>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</si>
  <si>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</si>
  <si>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</si>
  <si>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</si>
  <si>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</si>
  <si>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</si>
  <si>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</si>
  <si>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</si>
  <si>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</si>
  <si>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</si>
  <si>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</si>
  <si>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</si>
  <si>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</si>
  <si>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</si>
  <si>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</si>
  <si>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</si>
  <si>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</si>
  <si>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</si>
  <si>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</si>
  <si>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</si>
  <si>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</si>
  <si>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</si>
  <si>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</si>
  <si>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</si>
  <si>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</si>
  <si>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</si>
  <si>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</si>
  <si>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</si>
  <si>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</si>
  <si>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</si>
  <si>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</si>
  <si>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</si>
  <si>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</si>
  <si>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</si>
  <si>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</si>
  <si>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</si>
  <si>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</si>
  <si>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</si>
  <si>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</si>
  <si>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</si>
  <si>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</si>
  <si>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</si>
  <si>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</si>
  <si>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</si>
  <si>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</si>
  <si>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</si>
  <si>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</si>
  <si>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</si>
  <si>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</si>
  <si>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</si>
  <si>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</si>
  <si>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</si>
  <si>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</si>
  <si>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</si>
  <si>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</si>
  <si>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</si>
  <si>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</si>
  <si>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</si>
  <si>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</si>
  <si>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</si>
  <si>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</si>
  <si>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</si>
  <si>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</si>
  <si>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</si>
  <si>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</si>
  <si>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</si>
  <si>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</si>
  <si>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</si>
  <si>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</si>
  <si>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</si>
  <si>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</si>
  <si>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</si>
  <si>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</si>
  <si>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</si>
  <si>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</si>
  <si>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</si>
  <si>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</si>
  <si>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</si>
  <si>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</si>
  <si>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</si>
  <si>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</si>
  <si>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</si>
  <si>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</si>
  <si>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</si>
  <si>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</si>
  <si>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</si>
  <si>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</si>
  <si>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</si>
  <si>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</si>
  <si>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</si>
  <si>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</si>
  <si>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</si>
  <si>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</si>
  <si>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</si>
  <si>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</si>
  <si>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</si>
  <si>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</si>
  <si>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</si>
  <si>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</si>
  <si>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</si>
  <si>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</si>
  <si>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</si>
  <si>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</si>
  <si>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</si>
  <si>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</si>
  <si>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</si>
  <si>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</si>
  <si>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</si>
  <si>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</si>
  <si>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</si>
  <si>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</si>
  <si>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</si>
  <si>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</si>
  <si>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</si>
  <si>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</si>
  <si>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</si>
  <si>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</si>
  <si>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</si>
  <si>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</si>
  <si>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</si>
  <si>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</si>
  <si>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</si>
  <si>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</si>
  <si>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</si>
  <si>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</si>
  <si>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</si>
  <si>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</si>
  <si>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</si>
  <si>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</si>
  <si>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</si>
  <si>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</si>
  <si>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</si>
  <si>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</si>
  <si>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</si>
  <si>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</si>
  <si>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</si>
  <si>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</si>
  <si>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</si>
  <si>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</si>
  <si>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</si>
  <si>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</si>
  <si>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</si>
  <si>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</si>
  <si>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</si>
  <si>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</si>
  <si>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</si>
  <si>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</si>
  <si>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</si>
  <si>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</si>
  <si>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</si>
  <si>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</si>
  <si>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</si>
  <si>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</si>
  <si>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</si>
  <si>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</si>
  <si>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</si>
  <si>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</si>
  <si>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</si>
  <si>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</si>
  <si>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</si>
  <si>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</si>
  <si>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</si>
  <si>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</si>
  <si>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</si>
  <si>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</si>
  <si>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</si>
  <si>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</si>
  <si>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</si>
  <si>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</si>
  <si>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</si>
  <si>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</si>
  <si>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</si>
  <si>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</si>
  <si>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</si>
  <si>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</si>
  <si>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</si>
  <si>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</si>
  <si>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</si>
  <si>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</si>
  <si>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</si>
  <si>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</si>
  <si>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</si>
  <si>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</si>
  <si>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</si>
  <si>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</si>
  <si>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</si>
  <si>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</si>
  <si>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</si>
  <si>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</si>
  <si>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</si>
  <si>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</si>
  <si>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</si>
  <si>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</si>
  <si>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</si>
  <si>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</si>
  <si>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</si>
  <si>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</si>
  <si>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</si>
  <si>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</si>
  <si>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</si>
  <si>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</si>
  <si>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</si>
  <si>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</si>
  <si>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</si>
  <si>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</si>
  <si>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</si>
  <si>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</si>
  <si>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</si>
  <si>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</si>
  <si>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</si>
  <si>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</si>
  <si>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</si>
  <si>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</si>
  <si>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</si>
  <si>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</si>
  <si>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</si>
  <si>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</si>
  <si>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</si>
  <si>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</si>
  <si>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</si>
  <si>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</si>
  <si>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</si>
  <si>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</si>
  <si>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</si>
  <si>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</si>
  <si>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</si>
  <si>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</si>
  <si>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</si>
  <si>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</si>
  <si>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</si>
  <si>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</si>
  <si>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</si>
  <si>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</si>
  <si>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</si>
  <si>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</si>
  <si>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</si>
  <si>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</si>
  <si>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</si>
  <si>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</si>
  <si>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</si>
  <si>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</si>
  <si>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</si>
  <si>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</si>
  <si>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</si>
  <si>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</si>
  <si>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</si>
  <si>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</si>
  <si>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</si>
  <si>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</si>
  <si>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</si>
  <si>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</si>
  <si>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</si>
  <si>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</si>
  <si>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</si>
  <si>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</si>
  <si>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</si>
  <si>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</si>
  <si>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</si>
  <si>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</si>
  <si>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</si>
  <si>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</si>
  <si>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</si>
  <si>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</si>
  <si>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</si>
  <si>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</si>
  <si>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</si>
  <si>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</si>
  <si>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</si>
  <si>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</si>
  <si>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</si>
  <si>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</si>
  <si>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</si>
  <si>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</si>
  <si>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</si>
  <si>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</si>
  <si>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</si>
  <si>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</si>
  <si>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</si>
  <si>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</si>
  <si>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</si>
  <si>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</si>
  <si>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</si>
  <si>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</si>
  <si>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</si>
  <si>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</si>
  <si>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</si>
  <si>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</si>
  <si>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</si>
  <si>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</si>
  <si>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</si>
  <si>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</si>
  <si>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</si>
  <si>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</si>
  <si>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</si>
  <si>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</si>
  <si>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</si>
  <si>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</si>
  <si>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</si>
  <si>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</si>
  <si>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</si>
  <si>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</si>
  <si>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</si>
  <si>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</si>
  <si>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</si>
  <si>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</si>
  <si>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</si>
  <si>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</si>
  <si>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</si>
  <si>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</si>
  <si>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</si>
  <si>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</si>
  <si>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</si>
  <si>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</si>
  <si>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</si>
  <si>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</si>
  <si>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</si>
  <si>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</si>
  <si>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</si>
  <si>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</si>
  <si>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</si>
  <si>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</si>
  <si>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</si>
  <si>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</si>
  <si>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</si>
  <si>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</si>
  <si>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</si>
  <si>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</si>
  <si>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</si>
  <si>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</si>
  <si>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</si>
  <si>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</si>
  <si>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</si>
  <si>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</si>
  <si>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</si>
  <si>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</si>
  <si>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</si>
  <si>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</si>
  <si>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</si>
  <si>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</si>
  <si>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</si>
  <si>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</si>
  <si>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</si>
  <si>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</si>
  <si>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</si>
  <si>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</si>
  <si>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</si>
  <si>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</si>
  <si>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</si>
  <si>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</si>
  <si>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</si>
  <si>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</si>
  <si>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</si>
  <si>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</si>
  <si>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</si>
  <si>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</si>
  <si>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</si>
  <si>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</si>
  <si>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</si>
  <si>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</si>
  <si>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</si>
  <si>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</si>
  <si>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</si>
  <si>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</si>
  <si>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</si>
  <si>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</si>
  <si>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</si>
  <si>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</si>
  <si>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</si>
  <si>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</si>
  <si>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</si>
  <si>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</si>
  <si>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</si>
  <si>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</si>
  <si>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</si>
  <si>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</si>
  <si>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</si>
  <si>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</si>
  <si>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</si>
  <si>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</si>
  <si>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</si>
  <si>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</si>
  <si>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</si>
  <si>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</si>
  <si>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</si>
  <si>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</si>
  <si>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</si>
  <si>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</si>
  <si>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</si>
  <si>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</si>
  <si>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</si>
  <si>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</si>
  <si>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</si>
  <si>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</si>
  <si>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</si>
  <si>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</si>
  <si>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</si>
  <si>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</si>
  <si>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</si>
  <si>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</si>
  <si>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</si>
  <si>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</si>
  <si>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</si>
  <si>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</si>
  <si>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</si>
  <si>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</si>
  <si>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</si>
  <si>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</si>
  <si>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</si>
  <si>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</si>
  <si>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</si>
  <si>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</si>
  <si>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</si>
  <si>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</si>
  <si>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</si>
  <si>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</si>
  <si>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</si>
  <si>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</si>
  <si>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</si>
  <si>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</si>
  <si>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</si>
  <si>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</si>
  <si>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</si>
  <si>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</si>
  <si>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</si>
  <si>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</si>
  <si>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TIM neutral Green recovery adjustment to Totex allowance</t>
  </si>
  <si>
    <t>Priority Service Register (PSR) fine</t>
  </si>
  <si>
    <t>Remove Rail Electrification EV adj due to not being in Corp Model RAV</t>
  </si>
  <si>
    <t>Revised Opening RAV</t>
  </si>
  <si>
    <t>Net Additions</t>
  </si>
  <si>
    <t>5BD Lag SONIA</t>
  </si>
  <si>
    <t>R5</t>
  </si>
  <si>
    <t>Nominal</t>
  </si>
  <si>
    <t xml:space="preserve">Price base in cell D26 corrected to read "Nominal", rather than 2012/13 prices. </t>
  </si>
  <si>
    <t>In the 2020/21 submission, 2021/22 values were forecast values; these have now been updated in the 2021/22 submission with actual values. Similarly, forecast data for 2022/23 has been updated in the 2021/22 submission to reflect more recent views of forecast performance.</t>
  </si>
  <si>
    <t xml:space="preserve">General </t>
  </si>
  <si>
    <t>May 2022 Publication</t>
  </si>
  <si>
    <t xml:space="preserve">Following the AIP and finalisation of the 2021 PCFM in November 2021 the 2020/21 TIM neutral and Smart meter allowance adjustments have now been updated. This requires a prior year restatement of RFPR values in Totex allowances in cell I13 and Enduring values adjustment in I24 due to the balance previously reported within I24 now being factored into the allowance in I13. Overall net impact being zero. </t>
  </si>
  <si>
    <t>R4-Totex</t>
  </si>
  <si>
    <t>The 2021 actuals have been updated following final Ofgem approval of Time to Connect Incentives. This has decreased the Output Incentive in 2021 by -£0.004m. 2022 actuals are subject to change until Ofgem confirm our performance KPIs later in 2022.</t>
  </si>
  <si>
    <t>2022 actuals are subject to change until Ofgem confirm our performance KPIs later in 2022.</t>
  </si>
  <si>
    <t>An additional loan of £22k has been added in to row 39 which had been omitted from previous years' RFPR submissions.</t>
  </si>
  <si>
    <t>SOLR and bad debt claims not in P&amp;L (20/21); difference in accounting between stats and RRP (21/22)</t>
  </si>
  <si>
    <t xml:space="preserve">Updated cells E26 and F26 following confirmation of Financial Year Average RPI (RPIt) and Year end RPI indices from Stephanie Fernandes at Ofgem on the 21/06/22.
Updated cells I39 to J39 following confirmation of the May 2022 publication associated to the M3 New Forecasts RPI following confirmation from Stephanie Fernandes at Ofgem on the 21/06/22. Additionally the associated hyperlink in K39 has been updated accordingly.
Updated cells L63 and L64 to correspond to the 2022/23 cost of debt per the November 2021 AIP PCFM, as confirmed via email by Penny Harandy at Ofgem on 11/07/22. </t>
  </si>
  <si>
    <t>2021 values have been updated in the R5-Output incentive table, cells I12 and I14, following final Ofgem approval of Interruptions related quality of service performance in October 2020 and Time to Connect Incentive. This has decreased the Output Incentive in 2021 by -£0.0m.</t>
  </si>
  <si>
    <t>2019/20 and 2020/21 values in cells H11 and I11 in table R5-Output incentives table has been updated. 2019/20 and 2020/21 SECV award forecasts now reflect the 2021/22 award. These values flow through to calculations in cell J82 and K82 of table R5.</t>
  </si>
  <si>
    <t>R10</t>
  </si>
  <si>
    <t>Prior year adjustments have been applied with small movements (&lt;0.1m), to reflect the inclusion of data from the most recent CT600 submissions, and the tax allowance per the latest PCFM, as required.</t>
  </si>
  <si>
    <t xml:space="preserve">WPD remain in discussion with Ofgem regarding the 2019/20 and 2020/21 SECV incentive awards. 2019/20 and 2020/21 SECV award forecasts have been decreased from the 2020/21 submission to reflect the 2021/22 award. </t>
  </si>
  <si>
    <t>(Profit)/Loss on disposal of FA</t>
  </si>
  <si>
    <t>Flexibility correction in capex</t>
  </si>
  <si>
    <t>Customer Contributions reported in Statutory Revenue</t>
  </si>
  <si>
    <t>OK</t>
  </si>
  <si>
    <t/>
  </si>
  <si>
    <t>Actuals</t>
  </si>
  <si>
    <t>Forecast</t>
  </si>
  <si>
    <t>Cumulative to 2022</t>
  </si>
  <si>
    <t>Adjustment to align incentives with latest submitted Revenue Return (remove 19/20 SECV)</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</si>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</sst>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2">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_-;\-* #,##0.0_-;_-* &quot;-&quot;?_-;_-@_-"/>
    <numFmt numFmtId="354" formatCode="0.0000000000000000%"/>
  </numFmts>
  <fonts count="265">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u val="singleAccounting"/>
      <sz val="10"/>
      <color rgb="FFFF0000"/>
      <name val="Verdana"/>
      <family val="2"/>
    </font>
    <font>
      <b/>
      <u/>
      <sz val="10"/>
      <color rgb="FFFF0000"/>
      <name val="Verdana"/>
      <family val="2"/>
    </font>
    <font>
      <u/>
      <sz val="10"/>
      <color theme="1"/>
      <name val="Verdana"/>
      <family val="2"/>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44">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medium">
        <color rgb="FF808080"/>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40">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43" fontId="0" fillId="0" borderId="0" xfId="0" applyNumberFormat="1" applyAlignment="1">
      <alignment horizontal="left" vertical="top"/>
    </xf>
    <xf numFmtId="172" fontId="0" fillId="0" borderId="0" xfId="0" applyNumberFormat="1" applyAlignment="1">
      <alignment horizontal="left" vertical="top"/>
    </xf>
    <xf numFmtId="9" fontId="0" fillId="0" borderId="0" xfId="77" applyFont="1"/>
    <xf numFmtId="354" fontId="0" fillId="0" borderId="0" xfId="77" applyNumberFormat="1" applyFont="1"/>
    <xf numFmtId="0" fontId="5" fillId="0" borderId="104" xfId="7" applyFont="1" applyBorder="1" applyAlignment="1">
      <alignment horizontal="center"/>
    </xf>
    <xf numFmtId="9" fontId="0" fillId="0" borderId="105" xfId="0" applyNumberFormat="1" applyBorder="1" applyAlignment="1">
      <alignment horizontal="center"/>
    </xf>
    <xf numFmtId="173" fontId="5" fillId="36" borderId="74" xfId="75" applyNumberFormat="1" applyFont="1" applyFill="1" applyBorder="1" applyAlignment="1" applyProtection="1">
      <alignment horizontal="center"/>
    </xf>
    <xf numFmtId="173" fontId="5" fillId="116" borderId="90" xfId="7" applyNumberFormat="1" applyFont="1" applyFill="1" applyBorder="1" applyAlignment="1">
      <alignment horizontal="center"/>
    </xf>
    <xf numFmtId="10" fontId="2" fillId="3" borderId="136" xfId="0" applyNumberFormat="1" applyFont="1" applyFill="1" applyBorder="1" applyAlignment="1">
      <alignment horizontal="right" vertical="center"/>
    </xf>
    <xf numFmtId="10" fontId="2" fillId="3" borderId="137" xfId="0" applyNumberFormat="1" applyFont="1" applyFill="1" applyBorder="1" applyAlignment="1">
      <alignment horizontal="right" vertical="center"/>
    </xf>
    <xf numFmtId="173" fontId="5" fillId="52" borderId="68" xfId="7" applyNumberFormat="1" applyFont="1" applyFill="1" applyBorder="1" applyAlignment="1">
      <alignment horizontal="center"/>
    </xf>
    <xf numFmtId="350" fontId="0" fillId="0" borderId="0" xfId="0" applyNumberFormat="1" applyAlignment="1">
      <alignment horizontal="left" vertical="top"/>
    </xf>
    <xf numFmtId="353" fontId="0" fillId="0" borderId="0" xfId="0" applyNumberFormat="1" applyAlignment="1">
      <alignment horizontal="left" vertical="top"/>
    </xf>
    <xf numFmtId="0" fontId="5" fillId="42" borderId="68" xfId="0" applyFont="1" applyFill="1" applyBorder="1" applyAlignment="1">
      <alignment horizontal="left" vertical="top" wrapText="1"/>
    </xf>
    <xf numFmtId="351" fontId="24" fillId="0" borderId="0" xfId="0" applyNumberFormat="1" applyFont="1"/>
    <xf numFmtId="43" fontId="262" fillId="0" borderId="0" xfId="0" applyNumberFormat="1" applyFont="1" applyAlignment="1">
      <alignment horizontal="left" vertical="top"/>
    </xf>
    <xf numFmtId="0" fontId="264" fillId="0" borderId="0" xfId="0" applyFont="1" applyAlignment="1">
      <alignment horizontal="left" vertical="top"/>
    </xf>
    <xf numFmtId="178" fontId="0" fillId="0" borderId="0" xfId="0" applyNumberFormat="1"/>
    <xf numFmtId="0" fontId="263" fillId="0" borderId="0" xfId="0" applyFont="1"/>
    <xf numFmtId="173" fontId="0" fillId="0" borderId="0" xfId="0" applyNumberFormat="1" applyAlignment="1">
      <alignment horizontal="left" vertical="top"/>
    </xf>
    <xf numFmtId="0" fontId="0" fillId="0" borderId="139" xfId="0" applyBorder="1"/>
    <xf numFmtId="0" fontId="0" fillId="0" borderId="21" xfId="0" applyBorder="1"/>
    <xf numFmtId="176" fontId="0" fillId="0" borderId="0" xfId="0" applyNumberFormat="1" applyAlignment="1">
      <alignment horizontal="left" vertical="top"/>
    </xf>
    <xf numFmtId="10" fontId="5" fillId="38" borderId="68" xfId="77" applyNumberFormat="1" applyFont="1" applyFill="1" applyBorder="1" applyProtection="1"/>
    <xf numFmtId="10" fontId="5" fillId="38" borderId="74" xfId="77" applyNumberFormat="1" applyFont="1" applyFill="1" applyBorder="1" applyProtection="1"/>
    <xf numFmtId="43" fontId="0" fillId="0" borderId="0" xfId="0" applyNumberFormat="1"/>
    <xf numFmtId="0" fontId="3" fillId="0" borderId="138" xfId="0" applyFont="1" applyBorder="1" applyAlignment="1" applyProtection="1">
      <alignment horizontal="center" vertical="center"/>
      <protection locked="0"/>
    </xf>
    <xf numFmtId="172" fontId="24" fillId="0" borderId="139" xfId="1" applyNumberFormat="1" applyFont="1" applyBorder="1" applyAlignment="1" applyProtection="1">
      <alignment horizontal="center" vertical="center"/>
      <protection locked="0"/>
    </xf>
    <xf numFmtId="0" fontId="24" fillId="0" borderId="139" xfId="0" applyFont="1" applyBorder="1" applyAlignment="1" applyProtection="1">
      <alignment horizontal="left" vertical="center"/>
      <protection locked="0"/>
    </xf>
    <xf numFmtId="0" fontId="0" fillId="0" borderId="139" xfId="0" applyBorder="1" applyAlignment="1">
      <alignment horizontal="left" indent="1"/>
    </xf>
    <xf numFmtId="0" fontId="0" fillId="0" borderId="140" xfId="0" applyBorder="1"/>
    <xf numFmtId="0" fontId="3" fillId="0" borderId="141" xfId="0" applyFont="1" applyBorder="1" applyAlignment="1" applyProtection="1">
      <alignment horizontal="center" vertical="center"/>
      <protection locked="0"/>
    </xf>
    <xf numFmtId="172" fontId="0" fillId="0" borderId="0" xfId="1" applyNumberFormat="1" applyFont="1" applyBorder="1"/>
    <xf numFmtId="0" fontId="0" fillId="0" borderId="142" xfId="0" applyBorder="1"/>
    <xf numFmtId="0" fontId="0" fillId="0" borderId="141" xfId="0" applyBorder="1"/>
    <xf numFmtId="172" fontId="3" fillId="0" borderId="0" xfId="1" applyNumberFormat="1" applyFont="1" applyBorder="1"/>
    <xf numFmtId="0" fontId="3" fillId="0" borderId="0" xfId="0" applyFont="1" applyBorder="1"/>
    <xf numFmtId="0" fontId="0" fillId="0" borderId="143" xfId="0" applyBorder="1"/>
    <xf numFmtId="0" fontId="0" fillId="0" borderId="21" xfId="0" applyBorder="1" applyAlignment="1">
      <alignment horizontal="left" indent="1"/>
    </xf>
    <xf numFmtId="0" fontId="0" fillId="0" borderId="137" xfId="0" applyBorder="1"/>
    <xf numFmtId="173" fontId="0" fillId="52" borderId="64" xfId="0" applyNumberFormat="1" applyFill="1" applyBorder="1" applyAlignment="1">
      <alignment horizontal="right" vertical="top"/>
    </xf>
    <xf numFmtId="175" fontId="5" fillId="3" borderId="9" xfId="75" applyNumberFormat="1" applyFont="1" applyFill="1" applyBorder="1" applyAlignment="1" applyProtection="1">
      <alignment vertical="center"/>
    </xf>
    <xf numFmtId="172" fontId="0" fillId="3" borderId="101" xfId="0" applyNumberFormat="1" applyFill="1" applyBorder="1" applyAlignment="1">
      <alignment horizontal="right" vertical="top"/>
    </xf>
    <xf numFmtId="178" fontId="0" fillId="0" borderId="0" xfId="0" applyNumberFormat="1" applyAlignment="1">
      <alignment horizontal="right" vertical="top"/>
    </xf>
    <xf numFmtId="0" fontId="0" fillId="0" borderId="68" xfId="0" quotePrefix="1" applyFill="1" applyBorder="1" applyAlignment="1">
      <alignment horizontal="left" vertical="top" wrapText="1" indent="1"/>
    </xf>
    <xf numFmtId="0" fontId="0" fillId="0" borderId="68" xfId="0" applyFill="1" applyBorder="1" applyAlignment="1">
      <alignment horizontal="left" vertical="top" wrapText="1"/>
    </xf>
    <xf numFmtId="0" fontId="5" fillId="0" borderId="68" xfId="0" applyFont="1" applyFill="1" applyBorder="1" applyAlignment="1">
      <alignment horizontal="left" vertical="top" wrapText="1"/>
    </xf>
    <xf numFmtId="43" fontId="24" fillId="0" borderId="0" xfId="0" applyNumberFormat="1" applyFont="1" applyAlignment="1">
      <alignment horizontal="left" vertical="top"/>
    </xf>
    <xf numFmtId="0" fontId="5" fillId="3" borderId="30" xfId="2" applyNumberFormat="1" applyFont="1" applyFill="1" applyBorder="1" applyAlignment="1">
      <alignment horizontal="center" vertical="center"/>
    </xf>
    <xf numFmtId="0" fontId="0" fillId="3" borderId="0" xfId="0" applyFont="1" applyFill="1" applyAlignment="1">
      <alignment horizontal="left" vertical="top"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35"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97">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D1%20RRPs\RRP%202019%2020\RFPR\FOR%20RESUBMISSION%2012102020\FINANCE%20BRIEF%20APRIL%2022\ED1%20-%20WPD%20SWALES%20submissio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Change log"/>
      <sheetName val="R1 - RoRE"/>
      <sheetName val="R2 - Revenue"/>
      <sheetName val="R3 - Rec to totex"/>
      <sheetName val="R4 - Totex"/>
      <sheetName val="R5 - Output Incentives"/>
      <sheetName val="R6 - Innovation"/>
      <sheetName val="R7 - Financing"/>
      <sheetName val="R7a - Financing input"/>
      <sheetName val="R8 - Net Debt"/>
      <sheetName val="R8a - Net Debt input"/>
      <sheetName val="R9 - RAV"/>
      <sheetName val="R10 - Tax"/>
      <sheetName val="R11 - Dividends"/>
      <sheetName val="R12 - Pensions"/>
      <sheetName val="R13 - Other Activitie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hyperlink" Target="FINANCE%20BRIEF%20APRIL%2022/RE%20%20PSR%20investigation%20fine.ms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1076294/Forecomp_May_2022__002_.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tabSelected="1" workbookViewId="0">
      <selection activeCell="F7" sqref="F7"/>
    </sheetView>
  </sheetViews>
  <sheetFormatPr defaultRowHeight="12.6"/>
  <cols>
    <col min="1" max="1" width="8.36328125" customWidth="1"/>
    <col min="2" max="2" width="27.08984375" customWidth="1"/>
    <col min="3" max="6" width="14.08984375" customWidth="1"/>
    <col min="7" max="7" width="14.08984375" style="213" customWidth="1"/>
    <col min="8" max="11" width="14.08984375" customWidth="1"/>
  </cols>
  <sheetData>
    <row r="1" spans="1:11" s="31" customFormat="1" ht="21">
      <c r="A1" s="898" t="s">
        <v>307</v>
      </c>
      <c r="B1" s="899"/>
      <c r="C1" s="899"/>
      <c r="D1" s="900"/>
      <c r="E1" s="901"/>
      <c r="F1" s="899"/>
      <c r="G1" s="902"/>
      <c r="H1" s="899"/>
      <c r="I1" s="899"/>
      <c r="J1" s="899"/>
      <c r="K1" s="899"/>
    </row>
    <row r="2" spans="1:11" s="31" customFormat="1" ht="21">
      <c r="A2" s="898" t="str">
        <f>'RFPR cover'!C5</f>
        <v>WPD-WMID</v>
      </c>
      <c r="B2" s="899"/>
      <c r="C2" s="899"/>
      <c r="D2" s="901"/>
      <c r="E2" s="901"/>
      <c r="F2" s="899"/>
      <c r="G2" s="902"/>
      <c r="H2" s="899"/>
      <c r="I2" s="899"/>
      <c r="J2" s="899"/>
      <c r="K2" s="899"/>
    </row>
    <row r="3" spans="1:11" s="31" customFormat="1" ht="21">
      <c r="A3" s="898">
        <f>'RFPR cover'!C7</f>
        <v>2022</v>
      </c>
      <c r="B3" s="899"/>
      <c r="C3" s="899"/>
      <c r="D3" s="901"/>
      <c r="E3" s="901"/>
      <c r="F3" s="899"/>
      <c r="G3" s="902"/>
      <c r="H3" s="899"/>
      <c r="I3" s="899"/>
      <c r="J3" s="899"/>
      <c r="K3" s="899"/>
    </row>
    <row r="4" spans="1:11" ht="13.8">
      <c r="A4" s="30"/>
      <c r="B4" s="30"/>
      <c r="C4" s="30"/>
      <c r="D4" s="30"/>
      <c r="E4" s="30"/>
      <c r="H4" s="10"/>
      <c r="I4" s="10"/>
      <c r="J4" s="10"/>
    </row>
    <row r="5" spans="1:11" ht="13.5" customHeight="1">
      <c r="A5" s="30"/>
      <c r="B5" s="78" t="s">
        <v>62</v>
      </c>
      <c r="C5" s="45" t="s">
        <v>247</v>
      </c>
      <c r="D5" s="339"/>
      <c r="E5" s="19"/>
      <c r="F5" s="11"/>
      <c r="G5" s="548" t="s">
        <v>0</v>
      </c>
      <c r="H5" s="10"/>
      <c r="I5" s="10"/>
      <c r="J5" s="10"/>
    </row>
    <row r="6" spans="1:11" ht="13.5" customHeight="1">
      <c r="A6" s="30"/>
      <c r="B6" s="78" t="s">
        <v>189</v>
      </c>
      <c r="C6" s="83" t="str">
        <f>INDEX(Data!$A$73:$A$100,MATCH($C$5,Data!$B$73:$B$100,0),0)&amp;"1"</f>
        <v>ED1</v>
      </c>
      <c r="D6" s="19"/>
      <c r="E6" s="19"/>
      <c r="F6" s="9"/>
      <c r="G6" s="548" t="s">
        <v>1</v>
      </c>
      <c r="H6" s="10"/>
      <c r="I6" s="10"/>
      <c r="J6" s="10"/>
    </row>
    <row r="7" spans="1:11" ht="25.8">
      <c r="A7" s="30"/>
      <c r="B7" s="79" t="s">
        <v>188</v>
      </c>
      <c r="C7" s="84">
        <v>2022</v>
      </c>
      <c r="D7" s="18"/>
      <c r="E7" s="19"/>
      <c r="F7" s="8"/>
      <c r="G7" s="549" t="s">
        <v>2</v>
      </c>
      <c r="H7" s="10"/>
      <c r="I7" s="10"/>
      <c r="J7" s="10"/>
    </row>
    <row r="8" spans="1:11" ht="13.8">
      <c r="A8" s="30"/>
      <c r="B8" s="78" t="s">
        <v>37</v>
      </c>
      <c r="C8" s="85">
        <v>1</v>
      </c>
      <c r="D8" s="19"/>
      <c r="E8" s="18"/>
      <c r="F8" s="7"/>
      <c r="G8" s="548" t="s">
        <v>3</v>
      </c>
      <c r="H8" s="10"/>
      <c r="I8" s="10"/>
      <c r="J8" s="10"/>
    </row>
    <row r="9" spans="1:11" ht="13.8">
      <c r="A9" s="30"/>
      <c r="B9" s="78" t="s">
        <v>38</v>
      </c>
      <c r="C9" s="982">
        <v>44773</v>
      </c>
      <c r="D9" s="18"/>
      <c r="E9" s="18"/>
      <c r="F9" s="6"/>
      <c r="G9" s="548" t="s">
        <v>4</v>
      </c>
      <c r="H9" s="10"/>
      <c r="I9" s="10"/>
      <c r="J9" s="10"/>
    </row>
    <row r="10" spans="1:11" ht="13.8">
      <c r="A10" s="30"/>
      <c r="B10" s="78" t="s">
        <v>70</v>
      </c>
      <c r="C10" s="86">
        <f>SUMIF(Data!$B$72:$B$100,C5,Data!$C$72:$C$100)</f>
        <v>6.4000000000000001E-2</v>
      </c>
      <c r="D10" s="18"/>
      <c r="E10" s="18"/>
      <c r="F10" s="5"/>
      <c r="G10" s="548" t="s">
        <v>5</v>
      </c>
      <c r="H10" s="10"/>
      <c r="I10" s="10"/>
      <c r="J10" s="10"/>
    </row>
    <row r="11" spans="1:11" ht="13.8">
      <c r="A11" s="30"/>
      <c r="B11" s="78" t="s">
        <v>71</v>
      </c>
      <c r="C11" s="87">
        <f>SUMIF(Data!$B$72:$B$100,C5,Data!$D$72:$D$100)</f>
        <v>0.7</v>
      </c>
      <c r="D11" s="19"/>
      <c r="E11" s="19"/>
      <c r="F11" s="4"/>
      <c r="G11" s="548" t="s">
        <v>6</v>
      </c>
      <c r="H11" s="10"/>
      <c r="I11" s="10"/>
      <c r="J11" s="10"/>
    </row>
    <row r="12" spans="1:11">
      <c r="A12" s="30"/>
      <c r="B12" s="78" t="s">
        <v>115</v>
      </c>
      <c r="C12" s="86">
        <f>SUMIF(Data!$B$72:$B$100,C5,Data!$E$72:$E$100)</f>
        <v>0.65</v>
      </c>
      <c r="D12" s="18"/>
      <c r="E12" s="18"/>
      <c r="F12" s="18"/>
      <c r="G12" s="550"/>
    </row>
    <row r="13" spans="1:11">
      <c r="A13" s="30"/>
      <c r="B13" s="78" t="s">
        <v>509</v>
      </c>
      <c r="C13" s="83">
        <f>INDEX(Data!$G$73:$G$100,MATCH($C$5,Data!$B$73:$B$100,0),0)</f>
        <v>2016</v>
      </c>
      <c r="D13" s="18"/>
      <c r="E13" s="18"/>
      <c r="F13" s="77" t="s">
        <v>191</v>
      </c>
    </row>
    <row r="14" spans="1:11">
      <c r="A14" s="30"/>
      <c r="B14" s="80" t="s">
        <v>185</v>
      </c>
      <c r="C14" s="83" t="str">
        <f>INDEX(Data!$H$73:$H$100,MATCH($C$5,Data!$B$73:$B$100,0),0)</f>
        <v>£m 12/13</v>
      </c>
      <c r="D14" s="18"/>
      <c r="E14" s="18"/>
      <c r="F14" s="89">
        <v>0.1</v>
      </c>
      <c r="G14" s="550"/>
    </row>
    <row r="15" spans="1:11">
      <c r="A15" s="30"/>
      <c r="B15" s="18"/>
      <c r="C15" s="18"/>
      <c r="D15" s="18"/>
      <c r="E15" s="18"/>
      <c r="F15" s="18"/>
      <c r="G15" s="550"/>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M28"/>
  <sheetViews>
    <sheetView zoomScale="70" zoomScaleNormal="70" workbookViewId="0">
      <selection activeCell="J20" sqref="J20"/>
    </sheetView>
  </sheetViews>
  <sheetFormatPr defaultRowHeight="12.6"/>
  <cols>
    <col min="1" max="1" width="8.36328125" customWidth="1"/>
    <col min="2" max="2" width="79.6328125" customWidth="1"/>
    <col min="3" max="3" width="14.08984375" style="136" customWidth="1"/>
    <col min="4" max="11" width="11.08984375" customWidth="1"/>
    <col min="12" max="12" width="5" customWidth="1"/>
  </cols>
  <sheetData>
    <row r="1" spans="1:13" s="31" customFormat="1" ht="21">
      <c r="A1" s="917" t="s">
        <v>100</v>
      </c>
      <c r="B1" s="913"/>
      <c r="C1" s="278"/>
      <c r="D1" s="256"/>
      <c r="E1" s="256"/>
      <c r="F1" s="256"/>
      <c r="G1" s="256"/>
      <c r="H1" s="256"/>
      <c r="I1" s="257"/>
      <c r="J1" s="257"/>
      <c r="K1" s="258"/>
      <c r="L1" s="259"/>
    </row>
    <row r="2" spans="1:13" s="31" customFormat="1" ht="21">
      <c r="A2" s="906" t="str">
        <f>'RFPR cover'!C5</f>
        <v>WPD-WMID</v>
      </c>
      <c r="B2" s="898"/>
      <c r="C2" s="134"/>
      <c r="D2" s="29"/>
      <c r="E2" s="29"/>
      <c r="F2" s="29"/>
      <c r="G2" s="29"/>
      <c r="H2" s="29"/>
      <c r="I2" s="27"/>
      <c r="J2" s="27"/>
      <c r="K2" s="27"/>
      <c r="L2" s="123"/>
    </row>
    <row r="3" spans="1:13" s="37" customFormat="1" ht="22.8">
      <c r="A3" s="909">
        <f>'RFPR cover'!C7</f>
        <v>2022</v>
      </c>
      <c r="B3" s="915" t="str">
        <f>'R1 - RoRE'!B3</f>
        <v/>
      </c>
      <c r="C3" s="280"/>
      <c r="D3" s="279"/>
      <c r="E3" s="279"/>
      <c r="F3" s="279"/>
      <c r="G3" s="279"/>
      <c r="H3" s="279"/>
      <c r="I3" s="255"/>
      <c r="J3" s="255"/>
      <c r="K3" s="255"/>
      <c r="L3" s="261"/>
    </row>
    <row r="4" spans="1:13" s="2" customFormat="1" ht="12.75" customHeight="1">
      <c r="C4" s="136"/>
    </row>
    <row r="5" spans="1:13"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13"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3" s="2" customFormat="1">
      <c r="C7" s="136"/>
    </row>
    <row r="8" spans="1:13" s="2" customFormat="1">
      <c r="B8" s="51" t="s">
        <v>134</v>
      </c>
      <c r="C8" s="137"/>
      <c r="D8" s="57"/>
      <c r="E8" s="57"/>
      <c r="F8" s="57"/>
      <c r="G8" s="57"/>
      <c r="H8" s="57"/>
      <c r="I8" s="57"/>
      <c r="J8" s="57"/>
      <c r="K8" s="57"/>
    </row>
    <row r="9" spans="1:13" s="2" customFormat="1">
      <c r="B9" s="225" t="s">
        <v>516</v>
      </c>
      <c r="C9" s="152" t="s">
        <v>128</v>
      </c>
      <c r="D9" s="594">
        <v>0.38574358999999997</v>
      </c>
      <c r="E9" s="595">
        <v>1.8074124900000001</v>
      </c>
      <c r="F9" s="595">
        <v>2.0534999999999997</v>
      </c>
      <c r="G9" s="595">
        <v>1.4328000000000001</v>
      </c>
      <c r="H9" s="595">
        <v>2.1026920000000007</v>
      </c>
      <c r="I9" s="595">
        <v>1.6535999999999997</v>
      </c>
      <c r="J9" s="595">
        <v>1.9401700000000002</v>
      </c>
      <c r="K9" s="595">
        <v>2.0624975494510278</v>
      </c>
    </row>
    <row r="10" spans="1:13" s="2" customFormat="1">
      <c r="B10" s="225" t="s">
        <v>497</v>
      </c>
      <c r="C10" s="152" t="s">
        <v>128</v>
      </c>
      <c r="D10" s="596">
        <v>0</v>
      </c>
      <c r="E10" s="597">
        <v>0</v>
      </c>
      <c r="F10" s="597">
        <v>0</v>
      </c>
      <c r="G10" s="597">
        <v>0</v>
      </c>
      <c r="H10" s="597">
        <v>0</v>
      </c>
      <c r="I10" s="597">
        <v>0</v>
      </c>
      <c r="J10" s="597">
        <v>0</v>
      </c>
      <c r="K10" s="597">
        <v>0</v>
      </c>
    </row>
    <row r="11" spans="1:13" s="2" customFormat="1">
      <c r="B11" s="225" t="s">
        <v>515</v>
      </c>
      <c r="C11" s="152" t="s">
        <v>128</v>
      </c>
      <c r="D11" s="845">
        <v>3.8574359000000003E-2</v>
      </c>
      <c r="E11" s="846">
        <v>0.17474124900000002</v>
      </c>
      <c r="F11" s="846">
        <v>0.20534999999999998</v>
      </c>
      <c r="G11" s="846">
        <v>0.14328000000000002</v>
      </c>
      <c r="H11" s="846">
        <v>0.21026920000000007</v>
      </c>
      <c r="I11" s="846">
        <v>0.16535999999999998</v>
      </c>
      <c r="J11" s="846">
        <v>0.19401700000000002</v>
      </c>
      <c r="K11" s="846">
        <f t="shared" ref="K11" si="1">+K9*0.1</f>
        <v>0.20624975494510278</v>
      </c>
    </row>
    <row r="12" spans="1:13" s="12" customFormat="1">
      <c r="B12" s="51" t="s">
        <v>132</v>
      </c>
      <c r="C12" s="152" t="s">
        <v>128</v>
      </c>
      <c r="D12" s="610">
        <f>D9-D10-D11</f>
        <v>0.34716923099999997</v>
      </c>
      <c r="E12" s="611">
        <f t="shared" ref="E12:K12" si="2">E9-E10-E11</f>
        <v>1.6326712410000002</v>
      </c>
      <c r="F12" s="611">
        <f t="shared" si="2"/>
        <v>1.8481499999999997</v>
      </c>
      <c r="G12" s="611">
        <f t="shared" si="2"/>
        <v>1.28952</v>
      </c>
      <c r="H12" s="611">
        <f t="shared" si="2"/>
        <v>1.8924228000000005</v>
      </c>
      <c r="I12" s="611">
        <f t="shared" si="2"/>
        <v>1.4882399999999998</v>
      </c>
      <c r="J12" s="611">
        <f t="shared" si="2"/>
        <v>1.7461530000000001</v>
      </c>
      <c r="K12" s="611">
        <f t="shared" si="2"/>
        <v>1.856247794505925</v>
      </c>
      <c r="L12" s="2"/>
      <c r="M12" s="2"/>
    </row>
    <row r="13" spans="1:13" s="12" customFormat="1">
      <c r="B13" s="51"/>
      <c r="C13" s="136"/>
      <c r="D13" s="52"/>
      <c r="E13" s="52"/>
      <c r="F13" s="52"/>
      <c r="G13" s="52"/>
      <c r="H13" s="52"/>
      <c r="I13" s="52"/>
      <c r="J13" s="52"/>
      <c r="K13" s="52"/>
      <c r="L13" s="2"/>
      <c r="M13" s="2"/>
    </row>
    <row r="14" spans="1:13" s="2" customFormat="1">
      <c r="B14" s="51" t="s">
        <v>156</v>
      </c>
      <c r="C14" s="137"/>
      <c r="D14" s="57"/>
      <c r="E14" s="57"/>
      <c r="F14" s="57"/>
      <c r="G14" s="57"/>
      <c r="H14" s="57"/>
      <c r="I14" s="57"/>
      <c r="J14" s="57"/>
      <c r="K14" s="57"/>
    </row>
    <row r="15" spans="1:13" s="2" customFormat="1" ht="13.2" customHeight="1">
      <c r="B15" s="225" t="s">
        <v>518</v>
      </c>
      <c r="C15" s="152" t="s">
        <v>128</v>
      </c>
      <c r="D15" s="594">
        <v>1.6996695900000001</v>
      </c>
      <c r="E15" s="595">
        <v>9.0166620000000003E-2</v>
      </c>
      <c r="F15" s="595">
        <v>0.26083297</v>
      </c>
      <c r="G15" s="595">
        <v>0.70743226000000003</v>
      </c>
      <c r="H15" s="595">
        <v>9.7071350000000001E-2</v>
      </c>
      <c r="I15" s="595">
        <v>-0.2618509</v>
      </c>
      <c r="J15" s="595">
        <v>5.7910059999999999E-2</v>
      </c>
      <c r="K15" s="595">
        <v>0</v>
      </c>
    </row>
    <row r="16" spans="1:13" s="2" customFormat="1">
      <c r="B16" s="225" t="s">
        <v>517</v>
      </c>
      <c r="C16" s="152" t="s">
        <v>128</v>
      </c>
      <c r="D16" s="596">
        <v>0</v>
      </c>
      <c r="E16" s="597">
        <v>0</v>
      </c>
      <c r="F16" s="597">
        <v>0</v>
      </c>
      <c r="G16" s="597">
        <v>0</v>
      </c>
      <c r="H16" s="597">
        <v>0</v>
      </c>
      <c r="I16" s="597">
        <v>0</v>
      </c>
      <c r="J16" s="597">
        <v>0</v>
      </c>
      <c r="K16" s="597">
        <v>0</v>
      </c>
    </row>
    <row r="17" spans="2:13" s="12" customFormat="1">
      <c r="B17" s="51" t="s">
        <v>133</v>
      </c>
      <c r="C17" s="152" t="s">
        <v>128</v>
      </c>
      <c r="D17" s="610">
        <f>D15-D16</f>
        <v>1.6996695900000001</v>
      </c>
      <c r="E17" s="610">
        <f t="shared" ref="E17:K17" si="3">E15-E16</f>
        <v>9.0166620000000003E-2</v>
      </c>
      <c r="F17" s="610">
        <f t="shared" si="3"/>
        <v>0.26083297</v>
      </c>
      <c r="G17" s="610">
        <f t="shared" si="3"/>
        <v>0.70743226000000003</v>
      </c>
      <c r="H17" s="610">
        <f t="shared" si="3"/>
        <v>9.7071350000000001E-2</v>
      </c>
      <c r="I17" s="610">
        <f t="shared" si="3"/>
        <v>-0.2618509</v>
      </c>
      <c r="J17" s="610">
        <f t="shared" si="3"/>
        <v>5.7910059999999999E-2</v>
      </c>
      <c r="K17" s="610">
        <f t="shared" si="3"/>
        <v>0</v>
      </c>
      <c r="L17" s="2"/>
      <c r="M17" s="2"/>
    </row>
    <row r="18" spans="2:13" s="12" customFormat="1">
      <c r="B18" s="51"/>
      <c r="C18" s="136"/>
      <c r="D18" s="52"/>
      <c r="E18" s="52"/>
      <c r="F18" s="52"/>
      <c r="G18" s="52"/>
      <c r="H18" s="52"/>
      <c r="I18" s="52"/>
      <c r="J18" s="52"/>
      <c r="K18" s="52"/>
      <c r="L18" s="2"/>
      <c r="M18" s="2"/>
    </row>
    <row r="19" spans="2:13" s="2" customFormat="1">
      <c r="B19" s="51" t="s">
        <v>157</v>
      </c>
      <c r="C19" s="137"/>
      <c r="D19" s="57"/>
      <c r="E19" s="57"/>
      <c r="F19" s="57"/>
      <c r="G19" s="57"/>
      <c r="H19" s="57"/>
      <c r="I19" s="57"/>
      <c r="J19" s="57"/>
      <c r="K19" s="57"/>
    </row>
    <row r="20" spans="2:13" s="2" customFormat="1">
      <c r="B20" s="225" t="s">
        <v>446</v>
      </c>
      <c r="C20" s="152" t="s">
        <v>128</v>
      </c>
      <c r="D20" s="594">
        <v>0</v>
      </c>
      <c r="E20" s="595">
        <v>0.1898</v>
      </c>
      <c r="F20" s="595">
        <v>1.9078999999999999</v>
      </c>
      <c r="G20" s="595">
        <v>1.2302</v>
      </c>
      <c r="H20" s="595">
        <v>0.86140000000000005</v>
      </c>
      <c r="I20" s="595">
        <v>0.40940000000000004</v>
      </c>
      <c r="J20" s="595">
        <v>0</v>
      </c>
      <c r="K20" s="595">
        <v>0</v>
      </c>
    </row>
    <row r="21" spans="2:13" s="2" customFormat="1">
      <c r="B21" s="225" t="s">
        <v>515</v>
      </c>
      <c r="C21" s="152" t="s">
        <v>128</v>
      </c>
      <c r="D21" s="632">
        <v>0</v>
      </c>
      <c r="E21" s="633">
        <v>2.1100000000000008E-2</v>
      </c>
      <c r="F21" s="633">
        <v>0.21610000000000015</v>
      </c>
      <c r="G21" s="633">
        <v>0.13660000000000005</v>
      </c>
      <c r="H21" s="633">
        <v>9.5800000000000121E-2</v>
      </c>
      <c r="I21" s="633">
        <v>4.9800000000000073E-2</v>
      </c>
      <c r="J21" s="633">
        <v>0</v>
      </c>
      <c r="K21" s="633">
        <v>0</v>
      </c>
    </row>
    <row r="22" spans="2:13" s="2" customFormat="1">
      <c r="B22" s="35"/>
      <c r="C22" s="138"/>
      <c r="D22" s="35"/>
      <c r="E22" s="35"/>
      <c r="F22" s="35"/>
      <c r="G22" s="35"/>
      <c r="H22" s="35"/>
      <c r="I22" s="35"/>
      <c r="J22" s="35"/>
      <c r="K22" s="35"/>
    </row>
    <row r="23" spans="2:13" s="2" customFormat="1">
      <c r="B23" s="225" t="s">
        <v>500</v>
      </c>
      <c r="C23" s="152" t="s">
        <v>128</v>
      </c>
      <c r="D23" s="632">
        <v>0</v>
      </c>
      <c r="E23" s="633">
        <v>0</v>
      </c>
      <c r="F23" s="633">
        <v>0.4375</v>
      </c>
      <c r="G23" s="633">
        <v>1.2849999999999999</v>
      </c>
      <c r="H23" s="633">
        <v>0</v>
      </c>
      <c r="I23" s="633">
        <v>0</v>
      </c>
      <c r="J23" s="633">
        <v>0</v>
      </c>
      <c r="K23" s="633">
        <v>0</v>
      </c>
    </row>
    <row r="24" spans="2:13" s="2" customFormat="1">
      <c r="B24" s="35"/>
      <c r="C24" s="138"/>
      <c r="D24" s="35"/>
      <c r="E24" s="35"/>
      <c r="F24" s="35"/>
      <c r="G24" s="35"/>
      <c r="H24" s="35"/>
      <c r="I24" s="35"/>
      <c r="J24" s="35"/>
      <c r="K24" s="35"/>
    </row>
    <row r="25" spans="2:13" s="2" customFormat="1">
      <c r="B25" s="81"/>
      <c r="C25" s="150"/>
      <c r="D25" s="81"/>
      <c r="E25" s="81"/>
      <c r="F25" s="81"/>
      <c r="G25" s="81"/>
      <c r="H25" s="81"/>
      <c r="I25" s="81"/>
      <c r="J25" s="81"/>
      <c r="K25" s="81"/>
      <c r="L25" s="81"/>
    </row>
    <row r="26" spans="2:13" s="2" customFormat="1">
      <c r="B26" s="35"/>
      <c r="C26" s="138"/>
      <c r="D26" s="35"/>
      <c r="E26" s="35"/>
      <c r="F26" s="35"/>
      <c r="G26" s="35"/>
      <c r="H26" s="35"/>
      <c r="I26" s="35"/>
      <c r="J26" s="35"/>
      <c r="K26" s="35"/>
    </row>
    <row r="27" spans="2:13" s="2" customFormat="1">
      <c r="B27" s="51" t="s">
        <v>392</v>
      </c>
      <c r="C27" s="138"/>
      <c r="D27" s="35"/>
      <c r="E27" s="35"/>
      <c r="F27" s="35"/>
      <c r="G27" s="35"/>
      <c r="H27" s="35"/>
      <c r="I27" s="35"/>
      <c r="J27" s="35"/>
      <c r="K27" s="35"/>
    </row>
    <row r="28" spans="2:13" s="2" customFormat="1">
      <c r="B28" s="225" t="s">
        <v>498</v>
      </c>
      <c r="C28" s="155" t="str">
        <f>'RFPR cover'!$C$14</f>
        <v>£m 12/13</v>
      </c>
      <c r="D28" s="680">
        <f>(SUM(D10,D11,D21)-D23)/Data!C34</f>
        <v>3.6380033720941445E-2</v>
      </c>
      <c r="E28" s="680">
        <f>(SUM(E10,E11,E21)-E23)/Data!D34</f>
        <v>0.18082605361322229</v>
      </c>
      <c r="F28" s="680">
        <f>(SUM(F10,F11,F21)-F23)/Data!E34</f>
        <v>-1.4284901676197037E-2</v>
      </c>
      <c r="G28" s="680">
        <f>(SUM(G10,G11,G21)-G23)/Data!F34</f>
        <v>-0.86805785929094825</v>
      </c>
      <c r="H28" s="680">
        <f>(SUM(H10,H11,H21)-H23)/Data!G34</f>
        <v>0.25766228387500789</v>
      </c>
      <c r="I28" s="680">
        <f>(SUM(I10,I11,I21)-I23)/Data!H34</f>
        <v>0.17896049862833022</v>
      </c>
      <c r="J28" s="680">
        <f>(SUM(J10,J11,J21)-J23)/Data!I34</f>
        <v>0.15256271564607052</v>
      </c>
      <c r="K28" s="680">
        <f>(SUM(K10,K11,K21)-K23)/Data!J34</f>
        <v>0.14975233755735154</v>
      </c>
      <c r="L28" s="35"/>
    </row>
  </sheetData>
  <conditionalFormatting sqref="D6:K6">
    <cfRule type="expression" dxfId="53" priority="24">
      <formula>AND(D$5="Actuals",E$5="Forecast")</formula>
    </cfRule>
  </conditionalFormatting>
  <conditionalFormatting sqref="D5:K5">
    <cfRule type="expression" dxfId="5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zoomScale="50" zoomScaleNormal="50" workbookViewId="0">
      <selection activeCell="G30" sqref="G30"/>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17" t="s">
        <v>265</v>
      </c>
      <c r="B1" s="913"/>
      <c r="C1" s="256"/>
      <c r="D1" s="256"/>
      <c r="E1" s="256"/>
      <c r="F1" s="256"/>
      <c r="G1" s="256"/>
      <c r="H1" s="256"/>
      <c r="I1" s="257"/>
      <c r="J1" s="257"/>
      <c r="K1" s="258"/>
      <c r="L1" s="258"/>
      <c r="M1" s="258"/>
      <c r="N1" s="259"/>
    </row>
    <row r="2" spans="1:14" s="31" customFormat="1" ht="21">
      <c r="A2" s="906" t="s">
        <v>247</v>
      </c>
      <c r="B2" s="898"/>
      <c r="C2" s="29"/>
      <c r="D2" s="29"/>
      <c r="E2" s="29"/>
      <c r="F2" s="29"/>
      <c r="G2" s="29"/>
      <c r="H2" s="29"/>
      <c r="I2" s="27"/>
      <c r="J2" s="27"/>
      <c r="K2" s="27"/>
      <c r="L2" s="27"/>
      <c r="M2" s="27"/>
      <c r="N2" s="123"/>
    </row>
    <row r="3" spans="1:14" s="31" customFormat="1" ht="22.8">
      <c r="A3" s="909">
        <v>2022</v>
      </c>
      <c r="B3" s="915" t="s">
        <v>665</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666</v>
      </c>
      <c r="E5" s="390" t="s">
        <v>666</v>
      </c>
      <c r="F5" s="390" t="s">
        <v>666</v>
      </c>
      <c r="G5" s="390" t="s">
        <v>666</v>
      </c>
      <c r="H5" s="390" t="s">
        <v>666</v>
      </c>
      <c r="I5" s="390" t="s">
        <v>666</v>
      </c>
      <c r="J5" s="390" t="s">
        <v>666</v>
      </c>
      <c r="K5" s="391" t="s">
        <v>667</v>
      </c>
    </row>
    <row r="6" spans="1:14" s="2" customFormat="1" ht="25.2">
      <c r="D6" s="117">
        <v>2016</v>
      </c>
      <c r="E6" s="118">
        <v>2017</v>
      </c>
      <c r="F6" s="118">
        <v>2018</v>
      </c>
      <c r="G6" s="118">
        <v>2019</v>
      </c>
      <c r="H6" s="118">
        <v>2020</v>
      </c>
      <c r="I6" s="118">
        <v>2021</v>
      </c>
      <c r="J6" s="118">
        <v>2022</v>
      </c>
      <c r="K6" s="195">
        <v>2023</v>
      </c>
      <c r="L6" s="101" t="s">
        <v>668</v>
      </c>
      <c r="M6" s="281" t="s">
        <v>109</v>
      </c>
    </row>
    <row r="7" spans="1:14" s="2" customFormat="1"/>
    <row r="8" spans="1:14">
      <c r="B8" s="479" t="s">
        <v>304</v>
      </c>
      <c r="C8" s="152" t="s">
        <v>128</v>
      </c>
      <c r="D8" s="348">
        <v>81.300338879999984</v>
      </c>
      <c r="E8" s="385">
        <v>77.149547739999988</v>
      </c>
      <c r="F8" s="385">
        <v>78.168976339999986</v>
      </c>
      <c r="G8" s="385">
        <v>78.674800610000005</v>
      </c>
      <c r="H8" s="385">
        <v>78.129919419999993</v>
      </c>
      <c r="I8" s="385">
        <v>74.691036359999998</v>
      </c>
      <c r="J8" s="385">
        <v>76.475365830000015</v>
      </c>
      <c r="K8" s="386">
        <v>77.2511676191329</v>
      </c>
      <c r="L8" s="35"/>
      <c r="M8" s="35"/>
    </row>
    <row r="9" spans="1:14">
      <c r="B9" s="14"/>
      <c r="C9" s="152"/>
      <c r="D9" s="229"/>
      <c r="E9" s="229"/>
      <c r="F9" s="229"/>
      <c r="G9" s="229"/>
      <c r="H9" s="229"/>
      <c r="I9" s="229"/>
      <c r="J9" s="229"/>
      <c r="K9" s="229"/>
      <c r="L9" s="35"/>
      <c r="M9" s="35"/>
    </row>
    <row r="10" spans="1:14">
      <c r="B10" s="14" t="s">
        <v>476</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0.75020831999999993</v>
      </c>
      <c r="E12" s="379">
        <v>0.75020831999999982</v>
      </c>
      <c r="F12" s="379">
        <v>0.75019999999999998</v>
      </c>
      <c r="G12" s="379">
        <v>0.75020831999999982</v>
      </c>
      <c r="H12" s="379">
        <v>0.75020831999999982</v>
      </c>
      <c r="I12" s="379">
        <v>0.75020831999999982</v>
      </c>
      <c r="J12" s="379">
        <v>0.75020831999999993</v>
      </c>
      <c r="K12" s="383">
        <v>0.75020831999999993</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-3.9716999999999985</v>
      </c>
      <c r="E16" s="379">
        <v>-0.11005907999999209</v>
      </c>
      <c r="F16" s="379">
        <v>-0.59240000000000004</v>
      </c>
      <c r="G16" s="379">
        <v>-0.6383599999999916</v>
      </c>
      <c r="H16" s="379">
        <v>1.3000000000000043</v>
      </c>
      <c r="I16" s="379">
        <v>4.3999999999999986</v>
      </c>
      <c r="J16" s="379">
        <v>3</v>
      </c>
      <c r="K16" s="383">
        <v>3.5523903987698304</v>
      </c>
      <c r="L16" s="35"/>
    </row>
    <row r="17" spans="2:13">
      <c r="B17" s="369" t="s">
        <v>283</v>
      </c>
      <c r="C17" s="152" t="s">
        <v>128</v>
      </c>
      <c r="D17" s="347">
        <v>-1.508472</v>
      </c>
      <c r="E17" s="379">
        <v>-1.508472</v>
      </c>
      <c r="F17" s="379">
        <v>-1.5085</v>
      </c>
      <c r="G17" s="379">
        <v>-1.4585520000000001</v>
      </c>
      <c r="H17" s="379">
        <v>-1.4485680000000001</v>
      </c>
      <c r="I17" s="379">
        <v>-1.4485680000000001</v>
      </c>
      <c r="J17" s="379">
        <v>-1.4485680000000001</v>
      </c>
      <c r="K17" s="383">
        <v>-1.4353891515720532</v>
      </c>
      <c r="L17" s="35"/>
    </row>
    <row r="18" spans="2:13" ht="12.75" customHeight="1">
      <c r="B18" s="369" t="s">
        <v>18</v>
      </c>
      <c r="C18" s="152" t="s">
        <v>128</v>
      </c>
      <c r="D18" s="347">
        <v>-0.4395616699999999</v>
      </c>
      <c r="E18" s="379">
        <v>-0.41923292000000006</v>
      </c>
      <c r="F18" s="379">
        <v>-0.38129999999999997</v>
      </c>
      <c r="G18" s="379">
        <v>-0.38504987000000002</v>
      </c>
      <c r="H18" s="379">
        <v>-0.35298604000000006</v>
      </c>
      <c r="I18" s="379">
        <v>-0.33876645</v>
      </c>
      <c r="J18" s="379">
        <v>-0.32086415999999995</v>
      </c>
      <c r="K18" s="383">
        <v>-0.48124999328767126</v>
      </c>
      <c r="L18" s="35"/>
    </row>
    <row r="19" spans="2:13">
      <c r="B19" s="369" t="s">
        <v>627</v>
      </c>
      <c r="C19" s="152" t="s">
        <v>128</v>
      </c>
      <c r="D19" s="347">
        <v>0.7</v>
      </c>
      <c r="E19" s="379">
        <v>0.77777777000000003</v>
      </c>
      <c r="F19" s="379">
        <v>0.85309999999999997</v>
      </c>
      <c r="G19" s="379">
        <v>0.72799999999999998</v>
      </c>
      <c r="H19" s="379">
        <v>-5.6000000000000001E-2</v>
      </c>
      <c r="I19" s="379">
        <v>0.66700000000000004</v>
      </c>
      <c r="J19" s="379">
        <v>1.7010000000000001</v>
      </c>
      <c r="K19" s="383">
        <v>1.7017500000000003</v>
      </c>
      <c r="L19" s="35"/>
    </row>
    <row r="20" spans="2:13">
      <c r="B20" s="369" t="s">
        <v>624</v>
      </c>
      <c r="C20" s="152" t="s">
        <v>128</v>
      </c>
      <c r="D20" s="347">
        <v>-0.33639999999999998</v>
      </c>
      <c r="E20" s="379">
        <v>-0.20017533000000001</v>
      </c>
      <c r="F20" s="379">
        <v>-0.28910000000000002</v>
      </c>
      <c r="G20" s="379">
        <v>-0.43418776999999997</v>
      </c>
      <c r="H20" s="379">
        <v>-0.35183893999999999</v>
      </c>
      <c r="I20" s="379">
        <v>-0.3259744</v>
      </c>
      <c r="J20" s="379">
        <v>-0.36462710999999998</v>
      </c>
      <c r="K20" s="383">
        <v>-0.35355311999999994</v>
      </c>
      <c r="L20" s="35"/>
    </row>
    <row r="21" spans="2:13">
      <c r="B21" s="369" t="s">
        <v>628</v>
      </c>
      <c r="C21" s="152" t="s">
        <v>128</v>
      </c>
      <c r="D21" s="347">
        <v>0</v>
      </c>
      <c r="E21" s="379">
        <v>0</v>
      </c>
      <c r="F21" s="379">
        <v>0</v>
      </c>
      <c r="G21" s="379">
        <v>0.20973565</v>
      </c>
      <c r="H21" s="379">
        <v>0</v>
      </c>
      <c r="I21" s="379">
        <v>0</v>
      </c>
      <c r="J21" s="379">
        <v>0</v>
      </c>
      <c r="K21" s="383">
        <v>0</v>
      </c>
      <c r="L21" s="35"/>
    </row>
    <row r="22" spans="2:13">
      <c r="B22" s="369" t="s">
        <v>626</v>
      </c>
      <c r="C22" s="152" t="s">
        <v>128</v>
      </c>
      <c r="D22" s="347">
        <v>0</v>
      </c>
      <c r="E22" s="379">
        <v>0</v>
      </c>
      <c r="F22" s="379">
        <v>0</v>
      </c>
      <c r="G22" s="379">
        <v>0</v>
      </c>
      <c r="H22" s="379">
        <v>-0.10159797999999999</v>
      </c>
      <c r="I22" s="379">
        <v>-7.3165289999999994E-2</v>
      </c>
      <c r="J22" s="379">
        <v>-7.0766750000000003E-2</v>
      </c>
      <c r="K22" s="383">
        <v>-6.7562999999999998E-2</v>
      </c>
      <c r="L22" s="35"/>
    </row>
    <row r="23" spans="2:13">
      <c r="B23" s="369" t="s">
        <v>625</v>
      </c>
      <c r="C23" s="152" t="s">
        <v>128</v>
      </c>
      <c r="D23" s="347">
        <v>-5.7274909999993878E-2</v>
      </c>
      <c r="E23" s="379">
        <v>-0.19325228</v>
      </c>
      <c r="F23" s="379">
        <v>-8.9700000000000002E-2</v>
      </c>
      <c r="G23" s="379">
        <v>-5.4462469999999999E-2</v>
      </c>
      <c r="H23" s="379">
        <v>-3.7855109999999997E-2</v>
      </c>
      <c r="I23" s="379">
        <v>-1.0226740400000001</v>
      </c>
      <c r="J23" s="379">
        <v>-0.11931528</v>
      </c>
      <c r="K23" s="383">
        <v>-9.2470600000000014E-2</v>
      </c>
      <c r="L23" s="35"/>
    </row>
    <row r="24" spans="2:13">
      <c r="B24" s="369" t="s">
        <v>352</v>
      </c>
      <c r="C24" s="152" t="s">
        <v>128</v>
      </c>
      <c r="D24" s="347">
        <v>0</v>
      </c>
      <c r="E24" s="379">
        <v>0</v>
      </c>
      <c r="F24" s="379">
        <v>0</v>
      </c>
      <c r="G24" s="379">
        <v>0</v>
      </c>
      <c r="H24" s="379">
        <v>0</v>
      </c>
      <c r="I24" s="379">
        <v>0</v>
      </c>
      <c r="J24" s="379">
        <v>0</v>
      </c>
      <c r="K24" s="383">
        <v>0</v>
      </c>
      <c r="L24" s="35"/>
    </row>
    <row r="25" spans="2:13">
      <c r="B25" s="369" t="s">
        <v>353</v>
      </c>
      <c r="C25" s="152" t="s">
        <v>128</v>
      </c>
      <c r="D25" s="347">
        <v>0</v>
      </c>
      <c r="E25" s="379">
        <v>0</v>
      </c>
      <c r="F25" s="379">
        <v>0</v>
      </c>
      <c r="G25" s="379">
        <v>0</v>
      </c>
      <c r="H25" s="379">
        <v>0</v>
      </c>
      <c r="I25" s="379">
        <v>0</v>
      </c>
      <c r="J25" s="379">
        <v>0</v>
      </c>
      <c r="K25" s="383">
        <v>0</v>
      </c>
      <c r="L25" s="35"/>
    </row>
    <row r="26" spans="2:13">
      <c r="B26" s="369" t="s">
        <v>354</v>
      </c>
      <c r="C26" s="152" t="s">
        <v>128</v>
      </c>
      <c r="D26" s="347">
        <v>0</v>
      </c>
      <c r="E26" s="379">
        <v>0</v>
      </c>
      <c r="F26" s="379">
        <v>0</v>
      </c>
      <c r="G26" s="379">
        <v>0</v>
      </c>
      <c r="H26" s="379">
        <v>0</v>
      </c>
      <c r="I26" s="379">
        <v>0</v>
      </c>
      <c r="J26" s="379">
        <v>0</v>
      </c>
      <c r="K26" s="383">
        <v>0</v>
      </c>
      <c r="L26" s="35"/>
    </row>
    <row r="27" spans="2:13">
      <c r="B27" s="369" t="s">
        <v>355</v>
      </c>
      <c r="C27" s="152" t="s">
        <v>128</v>
      </c>
      <c r="D27" s="380">
        <v>0</v>
      </c>
      <c r="E27" s="381">
        <v>0</v>
      </c>
      <c r="F27" s="381">
        <v>0</v>
      </c>
      <c r="G27" s="381">
        <v>0</v>
      </c>
      <c r="H27" s="381">
        <v>0</v>
      </c>
      <c r="I27" s="381">
        <v>0</v>
      </c>
      <c r="J27" s="381">
        <v>0</v>
      </c>
      <c r="K27" s="384">
        <v>0</v>
      </c>
      <c r="L27" s="35"/>
    </row>
    <row r="28" spans="2:13">
      <c r="B28" s="13" t="s">
        <v>19</v>
      </c>
      <c r="C28" s="152" t="s">
        <v>128</v>
      </c>
      <c r="D28" s="142">
        <v>76.437138619999999</v>
      </c>
      <c r="E28" s="143">
        <v>76.246342220000017</v>
      </c>
      <c r="F28" s="143">
        <v>76.911276340000001</v>
      </c>
      <c r="G28" s="143">
        <v>77.392132470000007</v>
      </c>
      <c r="H28" s="143">
        <v>77.83128167000001</v>
      </c>
      <c r="I28" s="143">
        <v>77.29909649999999</v>
      </c>
      <c r="J28" s="143">
        <v>79.602432850000014</v>
      </c>
      <c r="K28" s="144">
        <v>80.825290473042998</v>
      </c>
      <c r="L28" s="35"/>
    </row>
    <row r="29" spans="2:13">
      <c r="B29" s="370" t="s">
        <v>539</v>
      </c>
      <c r="C29" s="152" t="s">
        <v>128</v>
      </c>
      <c r="D29" s="387"/>
      <c r="E29" s="388"/>
      <c r="F29" s="388"/>
      <c r="G29" s="681"/>
      <c r="H29" s="681"/>
      <c r="I29" s="681"/>
      <c r="J29" s="681"/>
      <c r="K29" s="681">
        <v>0</v>
      </c>
      <c r="L29" s="35"/>
    </row>
    <row r="30" spans="2:13">
      <c r="B30" s="346" t="s">
        <v>305</v>
      </c>
      <c r="C30" s="152" t="s">
        <v>128</v>
      </c>
      <c r="D30" s="142">
        <v>76.437138619999999</v>
      </c>
      <c r="E30" s="143">
        <v>76.246342220000017</v>
      </c>
      <c r="F30" s="143">
        <v>76.911276340000001</v>
      </c>
      <c r="G30" s="143">
        <v>77.392132470000007</v>
      </c>
      <c r="H30" s="143">
        <v>77.83128167000001</v>
      </c>
      <c r="I30" s="143">
        <v>77.29909649999999</v>
      </c>
      <c r="J30" s="143">
        <v>79.602432850000014</v>
      </c>
      <c r="K30" s="144">
        <v>80.825290473042998</v>
      </c>
      <c r="M30" t="s">
        <v>578</v>
      </c>
    </row>
    <row r="31" spans="2:13">
      <c r="B31" s="213" t="s">
        <v>21</v>
      </c>
      <c r="C31" s="152" t="s">
        <v>128</v>
      </c>
      <c r="D31" s="586">
        <v>76.048584000000005</v>
      </c>
      <c r="E31" s="587">
        <v>76.34776401000002</v>
      </c>
      <c r="F31" s="587">
        <v>76.922161020000004</v>
      </c>
      <c r="G31" s="587">
        <v>77.463611280000009</v>
      </c>
      <c r="H31" s="587">
        <v>77.884769100000014</v>
      </c>
      <c r="I31" s="587">
        <v>77.226665659999995</v>
      </c>
      <c r="J31" s="587">
        <v>79.43709204000001</v>
      </c>
      <c r="K31" s="682">
        <v>79.340415615552601</v>
      </c>
    </row>
    <row r="32" spans="2:13">
      <c r="B32" s="213" t="s">
        <v>470</v>
      </c>
      <c r="C32" s="152" t="s">
        <v>128</v>
      </c>
      <c r="D32" s="590">
        <v>0.38855462000000002</v>
      </c>
      <c r="E32" s="591">
        <v>-0.10142178999999998</v>
      </c>
      <c r="F32" s="591">
        <v>-1.0884679999999992E-2</v>
      </c>
      <c r="G32" s="591">
        <v>-7.1478810000000031E-2</v>
      </c>
      <c r="H32" s="591">
        <v>-5.3487429999999996E-2</v>
      </c>
      <c r="I32" s="591">
        <v>7.2430839999999996E-2</v>
      </c>
      <c r="J32" s="591">
        <v>0.16534081</v>
      </c>
      <c r="K32" s="591">
        <v>1.4848748574904018</v>
      </c>
    </row>
    <row r="33" spans="2:14">
      <c r="B33" s="213"/>
      <c r="D33" s="226" t="s">
        <v>664</v>
      </c>
      <c r="E33" s="227" t="s">
        <v>664</v>
      </c>
      <c r="F33" s="227" t="s">
        <v>664</v>
      </c>
      <c r="G33" s="227" t="s">
        <v>664</v>
      </c>
      <c r="H33" s="227" t="s">
        <v>664</v>
      </c>
      <c r="I33" s="227" t="s">
        <v>664</v>
      </c>
      <c r="J33" s="227" t="s">
        <v>664</v>
      </c>
      <c r="K33" s="228" t="s">
        <v>664</v>
      </c>
    </row>
    <row r="34" spans="2:14">
      <c r="D34" s="23"/>
      <c r="E34" s="23"/>
      <c r="F34" s="23"/>
      <c r="G34" s="23"/>
      <c r="H34" s="23"/>
      <c r="I34" s="23"/>
      <c r="J34" s="23"/>
      <c r="K34" s="23"/>
    </row>
    <row r="35" spans="2:14">
      <c r="B35" s="213" t="s">
        <v>533</v>
      </c>
      <c r="C35" s="152" t="s">
        <v>128</v>
      </c>
      <c r="D35" s="586">
        <v>0</v>
      </c>
      <c r="E35" s="587">
        <v>0</v>
      </c>
      <c r="F35" s="587">
        <v>0</v>
      </c>
      <c r="G35" s="587">
        <v>0.51796799999999998</v>
      </c>
      <c r="H35" s="587">
        <v>0.81956399999999996</v>
      </c>
      <c r="I35" s="587">
        <v>0.43134899999999998</v>
      </c>
      <c r="J35" s="587">
        <v>2.4910410000000001</v>
      </c>
      <c r="K35" s="682">
        <v>2.843573526000001</v>
      </c>
    </row>
    <row r="36" spans="2:14">
      <c r="D36" s="23"/>
      <c r="E36" s="23"/>
      <c r="F36" s="23"/>
      <c r="G36" s="23"/>
      <c r="H36" s="23"/>
      <c r="I36" s="23"/>
      <c r="J36" s="23"/>
      <c r="K36" s="23"/>
    </row>
    <row r="37" spans="2:14">
      <c r="B37" s="213" t="s">
        <v>82</v>
      </c>
      <c r="C37" s="152" t="s">
        <v>128</v>
      </c>
      <c r="D37" s="876">
        <v>16.165033192516354</v>
      </c>
      <c r="E37" s="876">
        <v>32.16850341435353</v>
      </c>
      <c r="F37" s="876">
        <v>54.406507032928367</v>
      </c>
      <c r="G37" s="876">
        <v>44.854207391483413</v>
      </c>
      <c r="H37" s="876">
        <v>38.793350062507223</v>
      </c>
      <c r="I37" s="876">
        <v>18.182662039945569</v>
      </c>
      <c r="J37" s="876">
        <v>85.659749386867247</v>
      </c>
      <c r="K37" s="876">
        <v>123.31340782732893</v>
      </c>
      <c r="N37" s="322"/>
    </row>
    <row r="38" spans="2:14" s="31" customFormat="1">
      <c r="B38" s="212"/>
      <c r="C38" s="818"/>
      <c r="D38" s="820"/>
      <c r="E38" s="820"/>
      <c r="F38" s="820"/>
      <c r="G38" s="820"/>
      <c r="H38" s="820"/>
      <c r="I38" s="820"/>
      <c r="J38" s="820"/>
      <c r="K38" s="820"/>
      <c r="L38"/>
      <c r="M38"/>
      <c r="N38" s="819"/>
    </row>
    <row r="39" spans="2:14">
      <c r="B39" s="213" t="s">
        <v>484</v>
      </c>
      <c r="C39" s="152" t="s">
        <v>128</v>
      </c>
      <c r="D39" s="102">
        <v>60.272105427483645</v>
      </c>
      <c r="E39" s="102">
        <v>44.077838805646486</v>
      </c>
      <c r="F39" s="102">
        <v>22.504769307071633</v>
      </c>
      <c r="G39" s="102">
        <v>32.537925078516594</v>
      </c>
      <c r="H39" s="102">
        <v>39.037931607492787</v>
      </c>
      <c r="I39" s="102">
        <v>59.116434460054421</v>
      </c>
      <c r="J39" s="102">
        <v>-6.0573165368672335</v>
      </c>
      <c r="K39" s="102">
        <v>-42.488117354285933</v>
      </c>
    </row>
    <row r="40" spans="2:14">
      <c r="B40" s="213"/>
      <c r="C40" s="152"/>
      <c r="D40" s="152"/>
      <c r="E40" s="152"/>
      <c r="F40" s="152"/>
      <c r="G40" s="152"/>
      <c r="H40" s="152"/>
      <c r="I40" s="152"/>
      <c r="J40" s="152"/>
      <c r="K40" s="152"/>
      <c r="L40" s="152"/>
      <c r="N40" s="322"/>
    </row>
    <row r="41" spans="2:14">
      <c r="B41" s="847" t="s">
        <v>374</v>
      </c>
      <c r="C41" s="152" t="s">
        <v>127</v>
      </c>
      <c r="D41" s="504">
        <v>1.0603167467048125</v>
      </c>
      <c r="E41" s="504">
        <v>1.0830366813119445</v>
      </c>
      <c r="F41" s="504">
        <v>1.1235639113109226</v>
      </c>
      <c r="G41" s="504">
        <v>1.1578951670583426</v>
      </c>
      <c r="H41" s="504">
        <v>1.1878696229692449</v>
      </c>
      <c r="I41" s="504">
        <v>1.2022764892203943</v>
      </c>
      <c r="J41" s="504">
        <v>1.2717196280780627</v>
      </c>
      <c r="K41" s="504">
        <v>1.3772723572085417</v>
      </c>
      <c r="L41" s="152"/>
      <c r="N41" s="322"/>
    </row>
    <row r="42" spans="2:14">
      <c r="L42" s="155"/>
      <c r="M42" s="155"/>
      <c r="N42" s="155"/>
    </row>
    <row r="43" spans="2:14">
      <c r="B43" s="829" t="s">
        <v>430</v>
      </c>
      <c r="C43" s="156" t="s">
        <v>159</v>
      </c>
      <c r="D43" s="145">
        <v>56.843490980212856</v>
      </c>
      <c r="E43" s="146">
        <v>40.698380365337641</v>
      </c>
      <c r="F43" s="146">
        <v>20.029807900125686</v>
      </c>
      <c r="G43" s="146">
        <v>28.100924854173012</v>
      </c>
      <c r="H43" s="146">
        <v>32.863818429763413</v>
      </c>
      <c r="I43" s="146">
        <v>49.170415449434564</v>
      </c>
      <c r="J43" s="146">
        <v>-4.7630911744451065</v>
      </c>
      <c r="K43" s="147">
        <v>-30.849466434076216</v>
      </c>
      <c r="L43" s="688">
        <v>222.94374680460206</v>
      </c>
      <c r="M43" s="689">
        <v>192.09428037052584</v>
      </c>
    </row>
    <row r="44" spans="2:14">
      <c r="B44" s="213"/>
      <c r="C44" s="66"/>
      <c r="D44" s="801"/>
      <c r="E44" s="801"/>
      <c r="F44" s="801"/>
      <c r="G44" s="801"/>
      <c r="H44" s="801"/>
      <c r="I44" s="801"/>
      <c r="J44" s="801"/>
      <c r="K44" s="801"/>
      <c r="L44" s="824"/>
      <c r="M44" s="824"/>
    </row>
    <row r="45" spans="2:14">
      <c r="B45" s="829" t="s">
        <v>521</v>
      </c>
      <c r="C45" s="152"/>
      <c r="D45" s="801"/>
      <c r="E45" s="801"/>
      <c r="F45" s="801"/>
      <c r="G45" s="801"/>
      <c r="H45" s="801"/>
      <c r="I45" s="801"/>
      <c r="J45" s="801"/>
      <c r="K45" s="801"/>
      <c r="L45" s="824"/>
      <c r="M45" s="824"/>
    </row>
    <row r="46" spans="2:14">
      <c r="B46" s="369" t="s">
        <v>505</v>
      </c>
      <c r="C46" s="152" t="s">
        <v>128</v>
      </c>
      <c r="D46" s="875">
        <v>1.508472</v>
      </c>
      <c r="E46" s="875">
        <v>1.508472</v>
      </c>
      <c r="F46" s="875">
        <v>1.5085</v>
      </c>
      <c r="G46" s="875">
        <v>1.4585520000000001</v>
      </c>
      <c r="H46" s="875">
        <v>1.4485680000000001</v>
      </c>
      <c r="I46" s="875">
        <v>1.4485680000000001</v>
      </c>
      <c r="J46" s="875">
        <v>1.4485680000000001</v>
      </c>
      <c r="K46" s="875">
        <v>1.4353891515720532</v>
      </c>
      <c r="L46" s="688">
        <v>10.329700000000001</v>
      </c>
      <c r="M46" s="688">
        <v>11.765089151572054</v>
      </c>
    </row>
    <row r="47" spans="2:14">
      <c r="B47" s="369" t="s">
        <v>542</v>
      </c>
      <c r="C47" s="152" t="s">
        <v>128</v>
      </c>
      <c r="D47" s="387"/>
      <c r="E47" s="388"/>
      <c r="F47" s="388"/>
      <c r="G47" s="681"/>
      <c r="H47" s="681"/>
      <c r="I47" s="681"/>
      <c r="J47" s="681"/>
      <c r="K47" s="681">
        <v>0</v>
      </c>
      <c r="L47" s="688">
        <v>0</v>
      </c>
      <c r="M47" s="688">
        <v>0</v>
      </c>
    </row>
    <row r="48" spans="2:14">
      <c r="B48" s="369" t="s">
        <v>524</v>
      </c>
      <c r="C48" s="152" t="s">
        <v>128</v>
      </c>
      <c r="D48" s="875">
        <v>0</v>
      </c>
      <c r="E48" s="875">
        <v>0</v>
      </c>
      <c r="F48" s="875">
        <v>0</v>
      </c>
      <c r="G48" s="875">
        <v>0</v>
      </c>
      <c r="H48" s="875">
        <v>0</v>
      </c>
      <c r="I48" s="875">
        <v>0</v>
      </c>
      <c r="J48" s="875">
        <v>0</v>
      </c>
      <c r="K48" s="875">
        <v>0</v>
      </c>
      <c r="L48" s="688">
        <v>0</v>
      </c>
      <c r="M48" s="688">
        <v>0</v>
      </c>
    </row>
    <row r="49" spans="1:14">
      <c r="B49" s="369" t="s">
        <v>525</v>
      </c>
      <c r="C49" s="152" t="s">
        <v>128</v>
      </c>
      <c r="D49" s="875">
        <v>0</v>
      </c>
      <c r="E49" s="875">
        <v>0</v>
      </c>
      <c r="F49" s="875">
        <v>0</v>
      </c>
      <c r="G49" s="875">
        <v>0</v>
      </c>
      <c r="H49" s="875">
        <v>0</v>
      </c>
      <c r="I49" s="875">
        <v>0</v>
      </c>
      <c r="J49" s="875">
        <v>0</v>
      </c>
      <c r="K49" s="875">
        <v>0</v>
      </c>
      <c r="L49" s="688">
        <v>0</v>
      </c>
      <c r="M49" s="688">
        <v>0</v>
      </c>
    </row>
    <row r="50" spans="1:14">
      <c r="B50" s="369" t="s">
        <v>506</v>
      </c>
      <c r="C50" s="152" t="s">
        <v>128</v>
      </c>
      <c r="D50" s="875">
        <v>0</v>
      </c>
      <c r="E50" s="875">
        <v>0</v>
      </c>
      <c r="F50" s="875">
        <v>0</v>
      </c>
      <c r="G50" s="875">
        <v>0</v>
      </c>
      <c r="H50" s="875">
        <v>0</v>
      </c>
      <c r="I50" s="875">
        <v>0</v>
      </c>
      <c r="J50" s="875">
        <v>0</v>
      </c>
      <c r="K50" s="875">
        <v>0</v>
      </c>
      <c r="L50" s="688">
        <v>0</v>
      </c>
      <c r="M50" s="688">
        <v>0</v>
      </c>
    </row>
    <row r="51" spans="1:14">
      <c r="B51" s="369" t="s">
        <v>506</v>
      </c>
      <c r="C51" s="152" t="s">
        <v>128</v>
      </c>
      <c r="D51" s="875">
        <v>0</v>
      </c>
      <c r="E51" s="875">
        <v>0</v>
      </c>
      <c r="F51" s="875">
        <v>0</v>
      </c>
      <c r="G51" s="875">
        <v>0</v>
      </c>
      <c r="H51" s="875">
        <v>0</v>
      </c>
      <c r="I51" s="875">
        <v>0</v>
      </c>
      <c r="J51" s="875">
        <v>0</v>
      </c>
      <c r="K51" s="875">
        <v>0</v>
      </c>
      <c r="L51" s="688">
        <v>0</v>
      </c>
      <c r="M51" s="688">
        <v>0</v>
      </c>
    </row>
    <row r="52" spans="1:14">
      <c r="B52" s="369" t="s">
        <v>506</v>
      </c>
      <c r="C52" s="152" t="s">
        <v>128</v>
      </c>
      <c r="D52" s="875">
        <v>0</v>
      </c>
      <c r="E52" s="875">
        <v>0</v>
      </c>
      <c r="F52" s="875">
        <v>0</v>
      </c>
      <c r="G52" s="875">
        <v>0</v>
      </c>
      <c r="H52" s="875">
        <v>0</v>
      </c>
      <c r="I52" s="875">
        <v>0</v>
      </c>
      <c r="J52" s="875">
        <v>0</v>
      </c>
      <c r="K52" s="875">
        <v>0</v>
      </c>
      <c r="L52" s="688">
        <v>0</v>
      </c>
      <c r="M52" s="688">
        <v>0</v>
      </c>
    </row>
    <row r="53" spans="1:14">
      <c r="B53" s="369" t="s">
        <v>506</v>
      </c>
      <c r="C53" s="152" t="s">
        <v>128</v>
      </c>
      <c r="D53" s="875">
        <v>0</v>
      </c>
      <c r="E53" s="875">
        <v>0</v>
      </c>
      <c r="F53" s="875">
        <v>0</v>
      </c>
      <c r="G53" s="875">
        <v>0</v>
      </c>
      <c r="H53" s="875">
        <v>0</v>
      </c>
      <c r="I53" s="875">
        <v>0</v>
      </c>
      <c r="J53" s="875">
        <v>0</v>
      </c>
      <c r="K53" s="875">
        <v>0</v>
      </c>
      <c r="L53" s="688">
        <v>0</v>
      </c>
      <c r="M53" s="688">
        <v>0</v>
      </c>
    </row>
    <row r="54" spans="1:14" s="859" customFormat="1">
      <c r="B54" s="858"/>
      <c r="C54" s="860"/>
      <c r="D54" s="861"/>
      <c r="E54" s="861"/>
      <c r="F54" s="861"/>
      <c r="G54" s="861"/>
      <c r="H54" s="861"/>
      <c r="I54" s="861"/>
      <c r="J54" s="861"/>
      <c r="K54" s="861"/>
      <c r="L54" s="862"/>
      <c r="M54" s="862"/>
    </row>
    <row r="55" spans="1:14">
      <c r="B55" s="853" t="s">
        <v>522</v>
      </c>
      <c r="C55" s="235" t="s">
        <v>128</v>
      </c>
      <c r="D55" s="145">
        <v>1.508472</v>
      </c>
      <c r="E55" s="145">
        <v>1.508472</v>
      </c>
      <c r="F55" s="145">
        <v>1.5085</v>
      </c>
      <c r="G55" s="145">
        <v>1.4585520000000001</v>
      </c>
      <c r="H55" s="145">
        <v>1.4485680000000001</v>
      </c>
      <c r="I55" s="145">
        <v>1.4485680000000001</v>
      </c>
      <c r="J55" s="145">
        <v>1.4485680000000001</v>
      </c>
      <c r="K55" s="145">
        <v>1.4353891515720532</v>
      </c>
      <c r="L55" s="688">
        <v>10.329700000000001</v>
      </c>
      <c r="M55" s="689">
        <v>11.765089151572054</v>
      </c>
    </row>
    <row r="56" spans="1:14">
      <c r="B56" s="853" t="s">
        <v>522</v>
      </c>
      <c r="C56" s="156" t="s">
        <v>159</v>
      </c>
      <c r="D56" s="145">
        <v>1.4226616760396713</v>
      </c>
      <c r="E56" s="145">
        <v>1.3928170910819948</v>
      </c>
      <c r="F56" s="145">
        <v>1.3426027525572193</v>
      </c>
      <c r="G56" s="145">
        <v>1.2596580774280997</v>
      </c>
      <c r="H56" s="145">
        <v>1.219467163727197</v>
      </c>
      <c r="I56" s="145">
        <v>1.2048543018081568</v>
      </c>
      <c r="J56" s="145">
        <v>1.1390623908110993</v>
      </c>
      <c r="K56" s="145">
        <v>1.0421970237472149</v>
      </c>
      <c r="L56" s="688">
        <v>8.9811234534534385</v>
      </c>
      <c r="M56" s="689">
        <v>10.023320477200654</v>
      </c>
    </row>
    <row r="57" spans="1:14">
      <c r="B57" s="213"/>
      <c r="C57" s="66"/>
      <c r="D57" s="801"/>
      <c r="E57" s="801"/>
      <c r="F57" s="801"/>
      <c r="G57" s="801"/>
      <c r="H57" s="801"/>
      <c r="I57" s="801"/>
      <c r="J57" s="801"/>
      <c r="K57" s="801"/>
      <c r="L57" s="824"/>
      <c r="M57" s="824"/>
    </row>
    <row r="58" spans="1:14" s="2" customFormat="1">
      <c r="A58" s="1"/>
    </row>
    <row r="59" spans="1:14" s="2" customFormat="1">
      <c r="A59" s="1"/>
      <c r="B59" s="825" t="s">
        <v>440</v>
      </c>
      <c r="C59" s="81"/>
      <c r="D59" s="81"/>
      <c r="E59" s="81"/>
      <c r="F59" s="81"/>
      <c r="G59" s="81"/>
      <c r="H59" s="81"/>
      <c r="I59" s="81"/>
      <c r="J59" s="81"/>
      <c r="K59" s="81"/>
      <c r="L59" s="81"/>
      <c r="M59" s="81"/>
      <c r="N59" s="81"/>
    </row>
    <row r="60" spans="1:14" s="2" customFormat="1">
      <c r="A60" s="1"/>
      <c r="B60" s="368" t="s">
        <v>441</v>
      </c>
    </row>
    <row r="61" spans="1:14" s="2" customFormat="1">
      <c r="A61" s="1"/>
    </row>
    <row r="62" spans="1:14" s="31" customFormat="1">
      <c r="B62" s="213" t="s">
        <v>115</v>
      </c>
      <c r="C62" s="155" t="s">
        <v>7</v>
      </c>
      <c r="D62" s="884">
        <v>0.65</v>
      </c>
      <c r="E62" s="885">
        <v>0.65</v>
      </c>
      <c r="F62" s="885">
        <v>0.65</v>
      </c>
      <c r="G62" s="885">
        <v>0.65</v>
      </c>
      <c r="H62" s="885">
        <v>0.65</v>
      </c>
      <c r="I62" s="885">
        <v>0.65</v>
      </c>
      <c r="J62" s="885">
        <v>0.65</v>
      </c>
      <c r="K62" s="886">
        <v>0.65</v>
      </c>
      <c r="N62" s="819"/>
    </row>
    <row r="63" spans="1:14" s="31" customFormat="1">
      <c r="B63" s="213" t="s">
        <v>403</v>
      </c>
      <c r="C63" s="155" t="s">
        <v>7</v>
      </c>
      <c r="D63" s="885">
        <v>0.63017798050050566</v>
      </c>
      <c r="E63" s="885">
        <v>0.6303993776169724</v>
      </c>
      <c r="F63" s="885">
        <v>0.63081176928366989</v>
      </c>
      <c r="G63" s="885">
        <v>0.61183781229972867</v>
      </c>
      <c r="H63" s="885">
        <v>0.59987115227978582</v>
      </c>
      <c r="I63" s="885">
        <v>0.59303049478409819</v>
      </c>
      <c r="J63" s="885">
        <v>0.55297140947298684</v>
      </c>
      <c r="K63" s="886">
        <v>0.5002531223511173</v>
      </c>
      <c r="N63" s="819"/>
    </row>
    <row r="64" spans="1:14" s="31" customFormat="1">
      <c r="B64" s="213"/>
      <c r="C64" s="155"/>
      <c r="D64" s="155"/>
      <c r="E64" s="155"/>
      <c r="F64" s="155"/>
      <c r="G64" s="155"/>
      <c r="H64" s="155"/>
      <c r="I64" s="155"/>
      <c r="J64" s="155"/>
      <c r="K64" s="155"/>
      <c r="N64" s="819"/>
    </row>
    <row r="65" spans="2:15">
      <c r="B65" s="213" t="s">
        <v>430</v>
      </c>
      <c r="C65" s="152" t="s">
        <v>128</v>
      </c>
      <c r="D65" s="95">
        <v>60.272105427483645</v>
      </c>
      <c r="E65" s="96">
        <v>44.077838805646486</v>
      </c>
      <c r="F65" s="96">
        <v>22.504769307071633</v>
      </c>
      <c r="G65" s="96">
        <v>32.537925078516594</v>
      </c>
      <c r="H65" s="96">
        <v>39.037931607492787</v>
      </c>
      <c r="I65" s="96">
        <v>59.116434460054421</v>
      </c>
      <c r="J65" s="96">
        <v>-6.0573165368672335</v>
      </c>
      <c r="K65" s="97">
        <v>-42.488117354285933</v>
      </c>
      <c r="L65" s="31"/>
      <c r="M65" s="31"/>
    </row>
    <row r="66" spans="2:15" s="31" customFormat="1">
      <c r="B66" s="213" t="s">
        <v>448</v>
      </c>
      <c r="C66" s="152" t="s">
        <v>128</v>
      </c>
      <c r="D66" s="95">
        <v>1.8958371857269327</v>
      </c>
      <c r="E66" s="95">
        <v>1.370485290063804</v>
      </c>
      <c r="F66" s="95">
        <v>0.68455714796229072</v>
      </c>
      <c r="G66" s="95">
        <v>2.0294894811362538</v>
      </c>
      <c r="H66" s="95">
        <v>3.262244769442443</v>
      </c>
      <c r="I66" s="95">
        <v>5.6790233401803398</v>
      </c>
      <c r="J66" s="95">
        <v>-1.0628630628631219</v>
      </c>
      <c r="K66" s="95">
        <v>-12.718487155224484</v>
      </c>
      <c r="N66" s="819"/>
    </row>
    <row r="67" spans="2:15">
      <c r="B67" s="213" t="s">
        <v>447</v>
      </c>
      <c r="C67" s="152" t="s">
        <v>128</v>
      </c>
      <c r="D67" s="102">
        <v>62.167942613210577</v>
      </c>
      <c r="E67" s="103">
        <v>45.448324095710291</v>
      </c>
      <c r="F67" s="103">
        <v>23.189326455033925</v>
      </c>
      <c r="G67" s="103">
        <v>34.567414559652846</v>
      </c>
      <c r="H67" s="103">
        <v>42.300176376935227</v>
      </c>
      <c r="I67" s="103">
        <v>64.795457800234757</v>
      </c>
      <c r="J67" s="103">
        <v>-7.1201795997303554</v>
      </c>
      <c r="K67" s="104">
        <v>-55.206604509510413</v>
      </c>
      <c r="L67" s="31"/>
      <c r="M67" s="31"/>
    </row>
    <row r="68" spans="2:15">
      <c r="B68" s="213"/>
      <c r="C68" s="152"/>
      <c r="D68" s="152"/>
      <c r="E68" s="152"/>
      <c r="F68" s="152"/>
      <c r="G68" s="152"/>
      <c r="H68" s="152"/>
      <c r="I68" s="152"/>
      <c r="J68" s="152"/>
      <c r="K68" s="152"/>
      <c r="L68" s="152"/>
      <c r="M68" s="152"/>
      <c r="N68" s="152"/>
      <c r="O68" s="152"/>
    </row>
    <row r="69" spans="2:15">
      <c r="B69" s="829" t="s">
        <v>447</v>
      </c>
      <c r="C69" s="156" t="s">
        <v>159</v>
      </c>
      <c r="D69" s="145">
        <v>58.631482343754648</v>
      </c>
      <c r="E69" s="146">
        <v>41.963790220527088</v>
      </c>
      <c r="F69" s="146">
        <v>20.639080893918788</v>
      </c>
      <c r="G69" s="146">
        <v>29.853665118468452</v>
      </c>
      <c r="H69" s="146">
        <v>35.610117102919148</v>
      </c>
      <c r="I69" s="146">
        <v>53.893973957896165</v>
      </c>
      <c r="J69" s="146">
        <v>-5.5988595619075348</v>
      </c>
      <c r="K69" s="147">
        <v>-40.08401404454473</v>
      </c>
      <c r="L69" s="688">
        <v>234.99325007557673</v>
      </c>
      <c r="M69" s="689">
        <v>194.90923603103198</v>
      </c>
    </row>
    <row r="70" spans="2:15">
      <c r="B70" s="371" t="s">
        <v>523</v>
      </c>
      <c r="C70" s="159" t="s">
        <v>159</v>
      </c>
      <c r="D70" s="95">
        <v>1.4674109823566652</v>
      </c>
      <c r="E70" s="95">
        <v>1.4361231012403877</v>
      </c>
      <c r="F70" s="95">
        <v>1.3834424651797383</v>
      </c>
      <c r="G70" s="95">
        <v>1.3382267879958356</v>
      </c>
      <c r="H70" s="95">
        <v>1.321373187242344</v>
      </c>
      <c r="I70" s="95">
        <v>1.3205986927542765</v>
      </c>
      <c r="J70" s="95">
        <v>1.3389309851170221</v>
      </c>
      <c r="K70" s="95">
        <v>1.3541705891846827</v>
      </c>
      <c r="L70" s="684">
        <v>9.6061062018862682</v>
      </c>
      <c r="M70" s="685">
        <v>10.960276791070951</v>
      </c>
      <c r="N70" s="155"/>
    </row>
    <row r="72" spans="2:15">
      <c r="B72" s="821" t="s">
        <v>318</v>
      </c>
      <c r="C72" s="822"/>
      <c r="D72" s="822"/>
      <c r="E72" s="822"/>
      <c r="F72" s="822"/>
      <c r="G72" s="822"/>
      <c r="H72" s="822"/>
      <c r="I72" s="822"/>
      <c r="J72" s="822"/>
      <c r="K72" s="822"/>
      <c r="L72" s="822"/>
      <c r="M72" s="822"/>
      <c r="N72" s="822"/>
      <c r="O72" s="155"/>
    </row>
    <row r="73" spans="2:15" s="31" customFormat="1">
      <c r="B73" s="823"/>
      <c r="C73" s="66"/>
      <c r="D73" s="66"/>
      <c r="E73" s="66"/>
      <c r="F73" s="66"/>
      <c r="G73" s="66"/>
      <c r="H73" s="66"/>
      <c r="I73" s="66"/>
      <c r="J73" s="66"/>
      <c r="K73" s="66"/>
      <c r="L73" s="66"/>
      <c r="M73" s="66"/>
      <c r="N73" s="66"/>
      <c r="O73" s="66"/>
    </row>
    <row r="74" spans="2:15">
      <c r="B74" s="368" t="s">
        <v>477</v>
      </c>
      <c r="C74" s="367"/>
      <c r="D74" s="367"/>
      <c r="E74" s="367"/>
      <c r="F74" s="367"/>
      <c r="G74" s="367"/>
      <c r="H74" s="367"/>
      <c r="I74" s="367"/>
      <c r="J74" s="367"/>
      <c r="K74" s="367"/>
      <c r="L74" s="367"/>
      <c r="M74" s="367"/>
      <c r="N74" s="367"/>
      <c r="O74" s="155"/>
    </row>
    <row r="75" spans="2:15">
      <c r="B75" s="368" t="s">
        <v>347</v>
      </c>
      <c r="C75" s="367"/>
      <c r="D75" s="367"/>
      <c r="E75" s="367"/>
      <c r="F75" s="367"/>
      <c r="G75" s="367"/>
      <c r="H75" s="367"/>
      <c r="I75" s="367"/>
      <c r="J75" s="367"/>
      <c r="K75" s="367"/>
      <c r="L75" s="367"/>
      <c r="M75" s="367"/>
      <c r="N75" s="367"/>
      <c r="O75" s="155"/>
    </row>
    <row r="76" spans="2:15">
      <c r="B76" s="368" t="s">
        <v>348</v>
      </c>
      <c r="C76" s="367"/>
      <c r="D76" s="367"/>
      <c r="E76" s="367"/>
      <c r="F76" s="367"/>
      <c r="G76" s="367"/>
      <c r="H76" s="367"/>
      <c r="I76" s="367"/>
      <c r="J76" s="367"/>
      <c r="K76" s="367"/>
      <c r="L76" s="367"/>
      <c r="M76" s="367"/>
      <c r="N76" s="367"/>
      <c r="O76" s="155"/>
    </row>
    <row r="77" spans="2:15">
      <c r="B77" s="368" t="s">
        <v>529</v>
      </c>
      <c r="C77" s="367"/>
      <c r="D77" s="367"/>
      <c r="E77" s="367"/>
      <c r="F77" s="367"/>
      <c r="G77" s="367"/>
      <c r="H77" s="367"/>
      <c r="I77" s="367"/>
      <c r="J77" s="367"/>
      <c r="K77" s="367"/>
      <c r="L77" s="367"/>
      <c r="M77" s="367"/>
      <c r="N77" s="367"/>
      <c r="O77" s="155"/>
    </row>
    <row r="78" spans="2:15" s="31" customFormat="1">
      <c r="B78" s="372"/>
      <c r="C78" s="372"/>
      <c r="D78" s="372"/>
      <c r="E78" s="372"/>
      <c r="F78" s="372"/>
      <c r="G78" s="372"/>
      <c r="H78" s="372"/>
      <c r="I78" s="372"/>
      <c r="J78" s="372"/>
      <c r="K78" s="372"/>
      <c r="L78" s="372"/>
      <c r="M78" s="372"/>
      <c r="N78" s="372"/>
      <c r="O78" s="66"/>
    </row>
    <row r="79" spans="2:15">
      <c r="B79" s="371" t="s">
        <v>233</v>
      </c>
      <c r="C79" s="155" t="s">
        <v>159</v>
      </c>
      <c r="D79" s="597">
        <v>32.292323501816284</v>
      </c>
      <c r="E79" s="597">
        <v>30.811014112518368</v>
      </c>
      <c r="F79" s="597">
        <v>29.220918670387491</v>
      </c>
      <c r="G79" s="597">
        <v>25.427842310110499</v>
      </c>
      <c r="H79" s="597">
        <v>21.267096376680005</v>
      </c>
      <c r="I79" s="597">
        <v>14.877251445511403</v>
      </c>
      <c r="J79" s="893">
        <v>10.563788964001517</v>
      </c>
      <c r="K79" s="896">
        <v>5.5418772036323585</v>
      </c>
      <c r="L79" s="894"/>
      <c r="M79" s="894"/>
      <c r="O79" s="66"/>
    </row>
    <row r="80" spans="2:15">
      <c r="B80" s="371" t="s">
        <v>317</v>
      </c>
      <c r="C80" s="155" t="s">
        <v>159</v>
      </c>
      <c r="D80" s="686">
        <v>32.292335779119377</v>
      </c>
      <c r="E80" s="687">
        <v>30.811046365844668</v>
      </c>
      <c r="F80" s="687">
        <v>29.218845509585357</v>
      </c>
      <c r="G80" s="687">
        <v>25.423626393934622</v>
      </c>
      <c r="H80" s="687">
        <v>21.259582815127736</v>
      </c>
      <c r="I80" s="687">
        <v>14.870752979296377</v>
      </c>
      <c r="J80" s="687">
        <v>10.570156253320336</v>
      </c>
      <c r="K80" s="895">
        <v>5.5550746238239253</v>
      </c>
      <c r="L80" s="897">
        <v>164.4463460962285</v>
      </c>
      <c r="M80" s="897">
        <v>170.00142072005241</v>
      </c>
      <c r="O80" s="66"/>
    </row>
    <row r="81" spans="2:15" s="31" customFormat="1">
      <c r="B81" s="826"/>
      <c r="C81" s="66"/>
      <c r="D81" s="827"/>
      <c r="E81" s="827"/>
      <c r="F81" s="827"/>
      <c r="G81" s="827"/>
      <c r="H81" s="827"/>
      <c r="I81" s="827"/>
      <c r="J81" s="827"/>
      <c r="K81" s="827"/>
      <c r="L81" s="824"/>
      <c r="M81" s="824"/>
      <c r="O81" s="66"/>
    </row>
    <row r="82" spans="2:15" s="31" customFormat="1">
      <c r="B82" s="826"/>
      <c r="C82" s="66"/>
      <c r="D82" s="827"/>
      <c r="E82" s="828"/>
      <c r="F82" s="828"/>
      <c r="G82" s="828"/>
      <c r="H82" s="828"/>
      <c r="I82" s="828"/>
      <c r="J82" s="828"/>
      <c r="K82" s="828"/>
      <c r="L82" s="824"/>
      <c r="M82" s="824"/>
      <c r="O82" s="66"/>
    </row>
    <row r="83" spans="2:15">
      <c r="B83" s="830" t="s">
        <v>431</v>
      </c>
      <c r="C83" s="822"/>
      <c r="D83" s="822"/>
      <c r="E83" s="822"/>
      <c r="F83" s="822"/>
      <c r="G83" s="822"/>
      <c r="H83" s="822"/>
      <c r="I83" s="822"/>
      <c r="J83" s="822"/>
      <c r="K83" s="822"/>
      <c r="L83" s="822"/>
      <c r="M83" s="822"/>
      <c r="N83" s="822"/>
    </row>
    <row r="84" spans="2:15">
      <c r="B84" s="371"/>
      <c r="C84" s="155"/>
      <c r="D84" s="155"/>
      <c r="E84" s="155"/>
      <c r="F84" s="155"/>
      <c r="G84" s="155"/>
      <c r="H84" s="155"/>
      <c r="I84" s="155"/>
      <c r="J84" s="155"/>
      <c r="K84" s="155"/>
      <c r="L84" s="155"/>
      <c r="M84" s="155"/>
      <c r="N84" s="155"/>
    </row>
    <row r="85" spans="2:15">
      <c r="B85" s="848" t="s">
        <v>485</v>
      </c>
      <c r="C85" s="155"/>
      <c r="D85" s="155"/>
      <c r="E85" s="155"/>
      <c r="F85" s="155"/>
      <c r="G85" s="155"/>
      <c r="H85" s="155"/>
      <c r="I85" s="155"/>
      <c r="J85" s="155"/>
      <c r="K85" s="155"/>
      <c r="L85" s="155"/>
      <c r="M85" s="155"/>
      <c r="N85" s="155"/>
    </row>
    <row r="86" spans="2:15">
      <c r="B86" s="213" t="s">
        <v>486</v>
      </c>
      <c r="C86" s="155" t="s">
        <v>159</v>
      </c>
      <c r="D86" s="145">
        <v>-25.973816877133149</v>
      </c>
      <c r="E86" s="145">
        <v>-11.280151090574968</v>
      </c>
      <c r="F86" s="145">
        <v>7.8464348569024516</v>
      </c>
      <c r="G86" s="145">
        <v>-3.9369565376664895</v>
      </c>
      <c r="H86" s="145">
        <v>-12.823702778362874</v>
      </c>
      <c r="I86" s="145">
        <v>-35.504516771946342</v>
      </c>
      <c r="J86" s="145">
        <v>14.194185036954343</v>
      </c>
      <c r="K86" s="145">
        <v>35.362344034152926</v>
      </c>
      <c r="L86" s="688">
        <v>-67.478524161827039</v>
      </c>
      <c r="M86" s="689">
        <v>-32.116180127674113</v>
      </c>
    </row>
    <row r="87" spans="2:15">
      <c r="B87" s="213"/>
    </row>
    <row r="88" spans="2:15">
      <c r="B88" s="213" t="s">
        <v>487</v>
      </c>
      <c r="C88" s="155" t="s">
        <v>159</v>
      </c>
      <c r="D88" s="145">
        <v>-27.806557546991936</v>
      </c>
      <c r="E88" s="145">
        <v>-12.588866955922807</v>
      </c>
      <c r="F88" s="145">
        <v>7.1963221504868304</v>
      </c>
      <c r="G88" s="145">
        <v>-5.7682655125296654</v>
      </c>
      <c r="H88" s="145">
        <v>-15.671907475033755</v>
      </c>
      <c r="I88" s="145">
        <v>-40.343819671354062</v>
      </c>
      <c r="J88" s="145">
        <v>14.830084830110851</v>
      </c>
      <c r="K88" s="145">
        <v>44.284918079183974</v>
      </c>
      <c r="L88" s="688">
        <v>-80.153010181234549</v>
      </c>
      <c r="M88" s="689">
        <v>-35.868092102050575</v>
      </c>
    </row>
    <row r="89" spans="2:15">
      <c r="B89" s="213"/>
    </row>
    <row r="90" spans="2:15">
      <c r="B90" s="213" t="s">
        <v>488</v>
      </c>
      <c r="C90" s="155" t="s">
        <v>159</v>
      </c>
      <c r="D90" s="145">
        <v>1.8327406698587865</v>
      </c>
      <c r="E90" s="145">
        <v>1.308715865347839</v>
      </c>
      <c r="F90" s="145">
        <v>0.65011270641562113</v>
      </c>
      <c r="G90" s="145">
        <v>1.8313089748631759</v>
      </c>
      <c r="H90" s="145">
        <v>2.8482046966708818</v>
      </c>
      <c r="I90" s="145">
        <v>4.8393028994077198</v>
      </c>
      <c r="J90" s="145">
        <v>-0.6358997931565078</v>
      </c>
      <c r="K90" s="145">
        <v>-8.9225740450310482</v>
      </c>
      <c r="L90" s="688">
        <v>12.674486019407517</v>
      </c>
      <c r="M90" s="689">
        <v>3.7519119743764691</v>
      </c>
    </row>
    <row r="91" spans="2:15">
      <c r="B91" s="200"/>
    </row>
  </sheetData>
  <conditionalFormatting sqref="D6:K6">
    <cfRule type="expression" dxfId="51" priority="23">
      <formula>AND(D$5="Actuals",E$5="Forecast")</formula>
    </cfRule>
  </conditionalFormatting>
  <conditionalFormatting sqref="D5:K5">
    <cfRule type="expression" dxfId="50" priority="16">
      <formula>AND(D$5="Actuals",E$5="Forecast")</formula>
    </cfRule>
  </conditionalFormatting>
  <conditionalFormatting sqref="D29:G29 I29:K29">
    <cfRule type="expression" dxfId="49" priority="14">
      <formula>D$5="Forecast"</formula>
    </cfRule>
    <cfRule type="expression" dxfId="48" priority="15">
      <formula>D$5="Actuals"</formula>
    </cfRule>
  </conditionalFormatting>
  <conditionalFormatting sqref="D47:G47">
    <cfRule type="expression" dxfId="47" priority="8">
      <formula>D$5="Forecast"</formula>
    </cfRule>
    <cfRule type="expression" dxfId="46" priority="9">
      <formula>D$5="Actuals"</formula>
    </cfRule>
  </conditionalFormatting>
  <conditionalFormatting sqref="I47:K47">
    <cfRule type="expression" dxfId="45" priority="6">
      <formula>I$5="Forecast"</formula>
    </cfRule>
    <cfRule type="expression" dxfId="44" priority="7">
      <formula>I$5="Actuals"</formula>
    </cfRule>
  </conditionalFormatting>
  <conditionalFormatting sqref="H47">
    <cfRule type="expression" dxfId="43" priority="4">
      <formula>H$5="Forecast"</formula>
    </cfRule>
    <cfRule type="expression" dxfId="42" priority="5">
      <formula>H$5="Actuals"</formula>
    </cfRule>
  </conditionalFormatting>
  <conditionalFormatting sqref="H29">
    <cfRule type="expression" dxfId="41" priority="2">
      <formula>H$5="Forecast"</formula>
    </cfRule>
    <cfRule type="expression" dxfId="40" priority="3">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3" id="{4F9EFF1D-0920-4D6C-8AB9-85AB6A059E37}">
            <xm:f>K6&gt;=('RFPR cover'!$C$7+2)</xm:f>
            <x14:dxf>
              <fill>
                <patternFill patternType="darkUp">
                  <fgColor rgb="FFC0C0C0"/>
                </patternFill>
              </fill>
            </x14:dxf>
          </x14:cfRule>
          <xm:sqref>K79</xm:sqref>
        </x14:conditionalFormatting>
        <x14:conditionalFormatting xmlns:xm="http://schemas.microsoft.com/office/excel/2006/main">
          <x14:cfRule type="expression" priority="1" id="{F5B04995-C403-47AA-A4BF-92A32D921E03}">
            <xm:f>D6&gt;=('C:\ED1 RRPs\RRP 2019 20\RFPR\FOR RESUBMISSION 12102020\FINANCE BRIEF APRIL 22\[ED1 - WPD SWALES submission 2022.xlsx]RFPR cover'!#REF!+2)</xm:f>
            <x14:dxf>
              <fill>
                <patternFill patternType="darkUp">
                  <fgColor rgb="FFC0C0C0"/>
                </patternFill>
              </fill>
            </x14:dxf>
          </x14:cfRule>
          <xm:sqref>D79:J79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Q66"/>
  <sheetViews>
    <sheetView zoomScale="50" zoomScaleNormal="50" workbookViewId="0">
      <selection activeCell="K45" sqref="K45"/>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 min="17" max="17" width="20.08984375" bestFit="1" customWidth="1"/>
  </cols>
  <sheetData>
    <row r="1" spans="1:12" s="31" customFormat="1" ht="21">
      <c r="A1" s="903" t="s">
        <v>237</v>
      </c>
      <c r="B1" s="913"/>
      <c r="C1" s="256"/>
      <c r="D1" s="256"/>
      <c r="E1" s="256"/>
      <c r="F1" s="256"/>
      <c r="G1" s="256"/>
      <c r="H1" s="256"/>
      <c r="I1" s="257"/>
      <c r="J1" s="257"/>
      <c r="K1" s="258"/>
      <c r="L1" s="363"/>
    </row>
    <row r="2" spans="1:12" s="31" customFormat="1" ht="21">
      <c r="A2" s="906" t="s">
        <v>247</v>
      </c>
      <c r="B2" s="898"/>
      <c r="C2" s="29"/>
      <c r="D2" s="29"/>
      <c r="E2" s="29"/>
      <c r="F2" s="29"/>
      <c r="G2" s="29"/>
      <c r="H2" s="29"/>
      <c r="I2" s="27"/>
      <c r="J2" s="27"/>
      <c r="K2" s="27"/>
      <c r="L2" s="123"/>
    </row>
    <row r="3" spans="1:12" s="31" customFormat="1" ht="22.8">
      <c r="A3" s="909">
        <v>2022</v>
      </c>
      <c r="B3" s="915" t="s">
        <v>665</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666</v>
      </c>
      <c r="E5" s="390" t="s">
        <v>666</v>
      </c>
      <c r="F5" s="390" t="s">
        <v>666</v>
      </c>
      <c r="G5" s="390" t="s">
        <v>666</v>
      </c>
      <c r="H5" s="390" t="s">
        <v>666</v>
      </c>
      <c r="I5" s="390" t="s">
        <v>666</v>
      </c>
      <c r="J5" s="390" t="s">
        <v>666</v>
      </c>
      <c r="K5" s="391" t="s">
        <v>667</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519</v>
      </c>
      <c r="C8" s="152" t="s">
        <v>128</v>
      </c>
      <c r="D8" s="877">
        <v>-129.41187522999999</v>
      </c>
      <c r="E8" s="696">
        <v>-220.6</v>
      </c>
      <c r="F8" s="696">
        <v>-11.471064520000001</v>
      </c>
      <c r="G8" s="696">
        <v>12.0915167</v>
      </c>
      <c r="H8" s="696">
        <v>-12.830205789999999</v>
      </c>
      <c r="I8" s="696">
        <v>-5.6160904399999998</v>
      </c>
      <c r="J8" s="696">
        <v>53.705175589999996</v>
      </c>
      <c r="K8" s="696">
        <v>53.386560920000001</v>
      </c>
    </row>
    <row r="9" spans="1:12" s="2" customFormat="1">
      <c r="B9" s="213"/>
    </row>
    <row r="10" spans="1:12">
      <c r="B10" s="213" t="s">
        <v>520</v>
      </c>
      <c r="C10" s="152" t="s">
        <v>128</v>
      </c>
      <c r="D10" s="690">
        <v>-220.6</v>
      </c>
      <c r="E10" s="691">
        <v>-11.471064520000001</v>
      </c>
      <c r="F10" s="691">
        <v>12.0915167</v>
      </c>
      <c r="G10" s="691">
        <v>-12.830205789999999</v>
      </c>
      <c r="H10" s="691">
        <v>-5.6160904399999998</v>
      </c>
      <c r="I10" s="691">
        <v>53.705175589999996</v>
      </c>
      <c r="J10" s="691">
        <v>53.386560920000001</v>
      </c>
      <c r="K10" s="692">
        <v>78.885175036864993</v>
      </c>
    </row>
    <row r="11" spans="1:12">
      <c r="B11" s="213" t="s">
        <v>368</v>
      </c>
      <c r="C11" s="152" t="s">
        <v>128</v>
      </c>
      <c r="D11" s="693">
        <v>1431.9414999999997</v>
      </c>
      <c r="E11" s="694">
        <v>1433.4498646799998</v>
      </c>
      <c r="F11" s="694">
        <v>1434.9583366799998</v>
      </c>
      <c r="G11" s="694">
        <v>1467.5338957599997</v>
      </c>
      <c r="H11" s="694">
        <v>1469.8020277599999</v>
      </c>
      <c r="I11" s="694">
        <v>1471.6819447599996</v>
      </c>
      <c r="J11" s="694">
        <v>1475.6215537599999</v>
      </c>
      <c r="K11" s="695">
        <v>1479.9005164375722</v>
      </c>
    </row>
    <row r="12" spans="1:12">
      <c r="B12" s="213" t="s">
        <v>369</v>
      </c>
      <c r="C12" s="152" t="s">
        <v>128</v>
      </c>
      <c r="D12" s="693">
        <v>100</v>
      </c>
      <c r="E12" s="694">
        <v>2.5</v>
      </c>
      <c r="F12" s="694">
        <v>5.34</v>
      </c>
      <c r="G12" s="694">
        <v>0</v>
      </c>
      <c r="H12" s="694">
        <v>35.229999999999997</v>
      </c>
      <c r="I12" s="694">
        <v>0</v>
      </c>
      <c r="J12" s="694">
        <v>0</v>
      </c>
      <c r="K12" s="695">
        <v>0</v>
      </c>
    </row>
    <row r="13" spans="1:12">
      <c r="B13" s="213" t="s">
        <v>370</v>
      </c>
      <c r="C13" s="152" t="s">
        <v>128</v>
      </c>
      <c r="D13" s="693">
        <v>0</v>
      </c>
      <c r="E13" s="694">
        <v>0</v>
      </c>
      <c r="F13" s="694">
        <v>0</v>
      </c>
      <c r="G13" s="694">
        <v>0</v>
      </c>
      <c r="H13" s="694">
        <v>0</v>
      </c>
      <c r="I13" s="694">
        <v>0</v>
      </c>
      <c r="J13" s="694">
        <v>0</v>
      </c>
      <c r="K13" s="695">
        <v>0</v>
      </c>
    </row>
    <row r="14" spans="1:12">
      <c r="B14" s="213" t="s">
        <v>371</v>
      </c>
      <c r="C14" s="152" t="s">
        <v>128</v>
      </c>
      <c r="D14" s="693">
        <v>1.7346000000000026</v>
      </c>
      <c r="E14" s="694">
        <v>-24.832217480000001</v>
      </c>
      <c r="F14" s="694">
        <v>9.4106116599999972</v>
      </c>
      <c r="G14" s="694">
        <v>-21.14197313</v>
      </c>
      <c r="H14" s="694">
        <v>-6.5675000000000008</v>
      </c>
      <c r="I14" s="694">
        <v>-15.51520944</v>
      </c>
      <c r="J14" s="694">
        <v>27.957057769999999</v>
      </c>
      <c r="K14" s="695">
        <v>27.957057769999999</v>
      </c>
    </row>
    <row r="15" spans="1:12">
      <c r="B15" s="213" t="s">
        <v>293</v>
      </c>
      <c r="C15" s="152" t="s">
        <v>128</v>
      </c>
      <c r="D15" s="693">
        <v>0</v>
      </c>
      <c r="E15" s="694">
        <v>0</v>
      </c>
      <c r="F15" s="694">
        <v>0</v>
      </c>
      <c r="G15" s="694">
        <v>0</v>
      </c>
      <c r="H15" s="694">
        <v>0</v>
      </c>
      <c r="I15" s="694">
        <v>0</v>
      </c>
      <c r="J15" s="694">
        <v>0</v>
      </c>
      <c r="K15" s="695">
        <v>0</v>
      </c>
    </row>
    <row r="16" spans="1:12">
      <c r="B16" s="213" t="s">
        <v>294</v>
      </c>
      <c r="C16" s="152" t="s">
        <v>128</v>
      </c>
      <c r="D16" s="693">
        <v>0</v>
      </c>
      <c r="E16" s="694">
        <v>0</v>
      </c>
      <c r="F16" s="694">
        <v>0</v>
      </c>
      <c r="G16" s="694">
        <v>0</v>
      </c>
      <c r="H16" s="694">
        <v>0</v>
      </c>
      <c r="I16" s="694">
        <v>0</v>
      </c>
      <c r="J16" s="694">
        <v>0</v>
      </c>
      <c r="K16" s="695">
        <v>0</v>
      </c>
    </row>
    <row r="17" spans="2:17">
      <c r="B17" s="213" t="s">
        <v>298</v>
      </c>
      <c r="C17" s="152" t="s">
        <v>128</v>
      </c>
      <c r="D17" s="693">
        <v>0</v>
      </c>
      <c r="E17" s="694">
        <v>0</v>
      </c>
      <c r="F17" s="694">
        <v>0</v>
      </c>
      <c r="G17" s="694">
        <v>0</v>
      </c>
      <c r="H17" s="694">
        <v>0</v>
      </c>
      <c r="I17" s="694">
        <v>0</v>
      </c>
      <c r="J17" s="694">
        <v>0</v>
      </c>
      <c r="K17" s="695">
        <v>0</v>
      </c>
    </row>
    <row r="18" spans="2:17">
      <c r="B18" s="213" t="s">
        <v>299</v>
      </c>
      <c r="C18" s="152" t="s">
        <v>128</v>
      </c>
      <c r="D18" s="693">
        <v>0</v>
      </c>
      <c r="E18" s="694">
        <v>0</v>
      </c>
      <c r="F18" s="694">
        <v>0</v>
      </c>
      <c r="G18" s="694">
        <v>0</v>
      </c>
      <c r="H18" s="694">
        <v>0</v>
      </c>
      <c r="I18" s="694">
        <v>0</v>
      </c>
      <c r="J18" s="694">
        <v>0</v>
      </c>
      <c r="K18" s="695">
        <v>0</v>
      </c>
    </row>
    <row r="19" spans="2:17">
      <c r="B19" s="213" t="s">
        <v>300</v>
      </c>
      <c r="C19" s="152" t="s">
        <v>128</v>
      </c>
      <c r="D19" s="693">
        <v>0</v>
      </c>
      <c r="E19" s="694">
        <v>0</v>
      </c>
      <c r="F19" s="694">
        <v>0</v>
      </c>
      <c r="G19" s="694">
        <v>0</v>
      </c>
      <c r="H19" s="694">
        <v>0</v>
      </c>
      <c r="I19" s="694">
        <v>0</v>
      </c>
      <c r="J19" s="694">
        <v>0</v>
      </c>
      <c r="K19" s="695">
        <v>0</v>
      </c>
    </row>
    <row r="20" spans="2:17">
      <c r="B20" s="213" t="s">
        <v>301</v>
      </c>
      <c r="C20" s="152" t="s">
        <v>128</v>
      </c>
      <c r="D20" s="693">
        <v>0</v>
      </c>
      <c r="E20" s="694">
        <v>0</v>
      </c>
      <c r="F20" s="694">
        <v>0</v>
      </c>
      <c r="G20" s="694">
        <v>0</v>
      </c>
      <c r="H20" s="694">
        <v>0</v>
      </c>
      <c r="I20" s="694">
        <v>0</v>
      </c>
      <c r="J20" s="694">
        <v>0</v>
      </c>
      <c r="K20" s="695">
        <v>0</v>
      </c>
    </row>
    <row r="21" spans="2:17">
      <c r="B21" s="213" t="s">
        <v>302</v>
      </c>
      <c r="C21" s="152" t="s">
        <v>128</v>
      </c>
      <c r="D21" s="693">
        <v>0</v>
      </c>
      <c r="E21" s="694">
        <v>0</v>
      </c>
      <c r="F21" s="694">
        <v>0</v>
      </c>
      <c r="G21" s="694">
        <v>0</v>
      </c>
      <c r="H21" s="694">
        <v>0</v>
      </c>
      <c r="I21" s="694">
        <v>0</v>
      </c>
      <c r="J21" s="694">
        <v>0</v>
      </c>
      <c r="K21" s="695">
        <v>0</v>
      </c>
    </row>
    <row r="22" spans="2:17">
      <c r="B22" s="213" t="s">
        <v>303</v>
      </c>
      <c r="C22" s="152" t="s">
        <v>128</v>
      </c>
      <c r="D22" s="693">
        <v>0</v>
      </c>
      <c r="E22" s="694">
        <v>0</v>
      </c>
      <c r="F22" s="694">
        <v>0</v>
      </c>
      <c r="G22" s="694">
        <v>0</v>
      </c>
      <c r="H22" s="694">
        <v>0</v>
      </c>
      <c r="I22" s="694">
        <v>0</v>
      </c>
      <c r="J22" s="694">
        <v>0</v>
      </c>
      <c r="K22" s="695">
        <v>0</v>
      </c>
    </row>
    <row r="23" spans="2:17">
      <c r="B23" s="14" t="s">
        <v>319</v>
      </c>
      <c r="C23" s="235" t="s">
        <v>128</v>
      </c>
      <c r="D23" s="696">
        <v>1313.0760999999998</v>
      </c>
      <c r="E23" s="696">
        <v>1399.6465826799997</v>
      </c>
      <c r="F23" s="696">
        <v>1461.8004650399998</v>
      </c>
      <c r="G23" s="696">
        <v>1433.5617168399997</v>
      </c>
      <c r="H23" s="696">
        <v>1492.8484373199997</v>
      </c>
      <c r="I23" s="696">
        <v>1509.8719109099995</v>
      </c>
      <c r="J23" s="696">
        <v>1556.9651724499997</v>
      </c>
      <c r="K23" s="697">
        <v>1586.7427492444369</v>
      </c>
      <c r="L23" s="2"/>
      <c r="M23" s="323"/>
    </row>
    <row r="24" spans="2:17">
      <c r="B24" s="14"/>
      <c r="C24" s="152"/>
      <c r="D24" s="239"/>
      <c r="E24" s="239"/>
      <c r="F24" s="239"/>
      <c r="G24" s="239"/>
      <c r="H24" s="239"/>
      <c r="I24" s="239"/>
      <c r="J24" s="239"/>
      <c r="K24" s="239"/>
      <c r="L24" s="2"/>
      <c r="M24" s="2"/>
    </row>
    <row r="25" spans="2:17">
      <c r="B25" s="14" t="s">
        <v>123</v>
      </c>
      <c r="C25" s="16"/>
      <c r="D25" s="240"/>
      <c r="E25" s="240"/>
      <c r="F25" s="240"/>
      <c r="G25" s="240"/>
      <c r="H25" s="240"/>
      <c r="I25" s="240"/>
      <c r="J25" s="240"/>
      <c r="K25" s="240"/>
      <c r="L25" s="2"/>
      <c r="M25" s="2"/>
    </row>
    <row r="26" spans="2:17">
      <c r="B26" s="369" t="s">
        <v>531</v>
      </c>
      <c r="C26" s="152" t="s">
        <v>128</v>
      </c>
      <c r="D26" s="347">
        <v>5.9778656200000002</v>
      </c>
      <c r="E26" s="347">
        <v>5.4760736200000002</v>
      </c>
      <c r="F26" s="347">
        <v>4.9743000000000004</v>
      </c>
      <c r="G26" s="347">
        <v>4.65349054</v>
      </c>
      <c r="H26" s="347">
        <v>4.1319465400000004</v>
      </c>
      <c r="I26" s="347">
        <v>3.6104025399999999</v>
      </c>
      <c r="J26" s="347">
        <v>3.0888585399999999</v>
      </c>
      <c r="K26" s="347">
        <v>2.5714270857042778</v>
      </c>
      <c r="L26" s="2"/>
      <c r="M26" s="953"/>
      <c r="N26" s="953"/>
      <c r="O26" s="953"/>
      <c r="P26" s="953"/>
      <c r="Q26" s="953"/>
    </row>
    <row r="27" spans="2:17">
      <c r="B27" s="369" t="s">
        <v>8</v>
      </c>
      <c r="C27" s="152" t="s">
        <v>128</v>
      </c>
      <c r="D27" s="347">
        <v>0</v>
      </c>
      <c r="E27" s="379">
        <v>0</v>
      </c>
      <c r="F27" s="379">
        <v>0</v>
      </c>
      <c r="G27" s="379">
        <v>0</v>
      </c>
      <c r="H27" s="379">
        <v>0</v>
      </c>
      <c r="I27" s="379">
        <v>0</v>
      </c>
      <c r="J27" s="379">
        <v>0</v>
      </c>
      <c r="K27" s="383">
        <v>0</v>
      </c>
      <c r="L27" s="35"/>
      <c r="M27" s="953"/>
      <c r="N27" s="953"/>
      <c r="O27" s="953"/>
      <c r="P27" s="953"/>
      <c r="Q27" s="953"/>
    </row>
    <row r="28" spans="2:17">
      <c r="B28" s="369" t="s">
        <v>9</v>
      </c>
      <c r="C28" s="152" t="s">
        <v>128</v>
      </c>
      <c r="D28" s="347">
        <v>0</v>
      </c>
      <c r="E28" s="379">
        <v>0</v>
      </c>
      <c r="F28" s="379">
        <v>0</v>
      </c>
      <c r="G28" s="379">
        <v>0</v>
      </c>
      <c r="H28" s="379">
        <v>0</v>
      </c>
      <c r="I28" s="379">
        <v>0</v>
      </c>
      <c r="J28" s="379">
        <v>0</v>
      </c>
      <c r="K28" s="383">
        <v>0</v>
      </c>
      <c r="L28" s="35"/>
      <c r="M28" s="953"/>
      <c r="N28" s="953"/>
      <c r="O28" s="953"/>
      <c r="P28" s="953"/>
      <c r="Q28" s="953"/>
    </row>
    <row r="29" spans="2:17">
      <c r="B29" s="369" t="s">
        <v>10</v>
      </c>
      <c r="C29" s="152" t="s">
        <v>128</v>
      </c>
      <c r="D29" s="347">
        <v>0</v>
      </c>
      <c r="E29" s="379">
        <v>0</v>
      </c>
      <c r="F29" s="379">
        <v>0</v>
      </c>
      <c r="G29" s="379">
        <v>0</v>
      </c>
      <c r="H29" s="379">
        <v>0</v>
      </c>
      <c r="I29" s="379">
        <v>0</v>
      </c>
      <c r="J29" s="379">
        <v>0</v>
      </c>
      <c r="K29" s="383">
        <v>0</v>
      </c>
      <c r="L29" s="35"/>
      <c r="M29" s="953"/>
      <c r="N29" s="953"/>
      <c r="O29" s="953"/>
      <c r="P29" s="953"/>
      <c r="Q29" s="953"/>
    </row>
    <row r="30" spans="2:17">
      <c r="B30" s="369" t="s">
        <v>620</v>
      </c>
      <c r="C30" s="152" t="s">
        <v>128</v>
      </c>
      <c r="D30" s="347">
        <v>12.102741700000001</v>
      </c>
      <c r="E30" s="379">
        <v>11.0960617</v>
      </c>
      <c r="F30" s="379">
        <v>10.089399999999999</v>
      </c>
      <c r="G30" s="379">
        <v>8.3525817</v>
      </c>
      <c r="H30" s="379">
        <v>7.4255577000000006</v>
      </c>
      <c r="I30" s="379">
        <v>6.4985337000000012</v>
      </c>
      <c r="J30" s="379">
        <v>5.5715097000000009</v>
      </c>
      <c r="K30" s="383">
        <v>4.6535520027236688</v>
      </c>
      <c r="M30" s="953"/>
      <c r="N30" s="953"/>
      <c r="O30" s="953"/>
      <c r="P30" s="953"/>
      <c r="Q30" s="953"/>
    </row>
    <row r="31" spans="2:17">
      <c r="B31" s="369" t="s">
        <v>621</v>
      </c>
      <c r="C31" s="152" t="s">
        <v>128</v>
      </c>
      <c r="D31" s="347">
        <v>-1.7346000000000026</v>
      </c>
      <c r="E31" s="379">
        <v>24.832217480000001</v>
      </c>
      <c r="F31" s="379">
        <v>-9.4106000000000005</v>
      </c>
      <c r="G31" s="379">
        <v>21.140062879999995</v>
      </c>
      <c r="H31" s="379">
        <v>6.567376710000004</v>
      </c>
      <c r="I31" s="379">
        <v>15.51520944</v>
      </c>
      <c r="J31" s="379">
        <v>-27.957057769999999</v>
      </c>
      <c r="K31" s="383">
        <v>-27.957057769999999</v>
      </c>
      <c r="M31" s="953"/>
      <c r="N31" s="953"/>
      <c r="O31" s="953"/>
      <c r="P31" s="953"/>
      <c r="Q31" s="953"/>
    </row>
    <row r="32" spans="2:17" ht="12.75" customHeight="1">
      <c r="B32" s="369" t="s">
        <v>622</v>
      </c>
      <c r="C32" s="152" t="s">
        <v>128</v>
      </c>
      <c r="D32" s="347">
        <v>3.8056735399999999</v>
      </c>
      <c r="E32" s="379">
        <v>3.2125518999999998</v>
      </c>
      <c r="F32" s="379">
        <v>6.4385000000000003</v>
      </c>
      <c r="G32" s="379">
        <v>4.9501776900000003</v>
      </c>
      <c r="H32" s="379">
        <v>3.8358305000000001</v>
      </c>
      <c r="I32" s="379">
        <v>3.5682266499999997</v>
      </c>
      <c r="J32" s="379">
        <v>3.4455952999999999</v>
      </c>
      <c r="K32" s="383">
        <v>3.4455953000000004</v>
      </c>
      <c r="M32" s="953"/>
      <c r="N32" s="953"/>
      <c r="O32" s="953"/>
      <c r="P32" s="953"/>
      <c r="Q32" s="953"/>
    </row>
    <row r="33" spans="2:17">
      <c r="B33" s="369" t="s">
        <v>623</v>
      </c>
      <c r="C33" s="152" t="s">
        <v>128</v>
      </c>
      <c r="D33" s="347">
        <v>0</v>
      </c>
      <c r="E33" s="379">
        <v>0</v>
      </c>
      <c r="F33" s="379">
        <v>0</v>
      </c>
      <c r="G33" s="379">
        <v>0</v>
      </c>
      <c r="H33" s="379">
        <v>0</v>
      </c>
      <c r="I33" s="379">
        <v>0</v>
      </c>
      <c r="J33" s="379">
        <v>0</v>
      </c>
      <c r="K33" s="383">
        <v>0</v>
      </c>
      <c r="M33" s="953"/>
      <c r="N33" s="953"/>
      <c r="O33" s="953"/>
      <c r="P33" s="953"/>
      <c r="Q33" s="953"/>
    </row>
    <row r="34" spans="2:17">
      <c r="B34" s="369" t="s">
        <v>356</v>
      </c>
      <c r="C34" s="152" t="s">
        <v>128</v>
      </c>
      <c r="D34" s="347">
        <v>0</v>
      </c>
      <c r="E34" s="379">
        <v>0</v>
      </c>
      <c r="F34" s="379">
        <v>0</v>
      </c>
      <c r="G34" s="379">
        <v>0</v>
      </c>
      <c r="H34" s="379">
        <v>0</v>
      </c>
      <c r="I34" s="379">
        <v>0</v>
      </c>
      <c r="J34" s="379">
        <v>0</v>
      </c>
      <c r="K34" s="383">
        <v>0</v>
      </c>
      <c r="M34" s="953"/>
      <c r="N34" s="953"/>
      <c r="O34" s="953"/>
      <c r="P34" s="953"/>
      <c r="Q34" s="953"/>
    </row>
    <row r="35" spans="2:17">
      <c r="B35" s="369" t="s">
        <v>357</v>
      </c>
      <c r="C35" s="152" t="s">
        <v>128</v>
      </c>
      <c r="D35" s="347">
        <v>0</v>
      </c>
      <c r="E35" s="379">
        <v>0</v>
      </c>
      <c r="F35" s="379">
        <v>0</v>
      </c>
      <c r="G35" s="379">
        <v>0</v>
      </c>
      <c r="H35" s="379">
        <v>0</v>
      </c>
      <c r="I35" s="379">
        <v>0</v>
      </c>
      <c r="J35" s="379">
        <v>0</v>
      </c>
      <c r="K35" s="383">
        <v>0</v>
      </c>
      <c r="M35" s="953"/>
      <c r="N35" s="953"/>
      <c r="O35" s="953"/>
      <c r="P35" s="953"/>
      <c r="Q35" s="953"/>
    </row>
    <row r="36" spans="2:17">
      <c r="B36" s="369" t="s">
        <v>358</v>
      </c>
      <c r="C36" s="152" t="s">
        <v>128</v>
      </c>
      <c r="D36" s="347">
        <v>0</v>
      </c>
      <c r="E36" s="379">
        <v>0</v>
      </c>
      <c r="F36" s="379">
        <v>0</v>
      </c>
      <c r="G36" s="379">
        <v>0</v>
      </c>
      <c r="H36" s="379">
        <v>0</v>
      </c>
      <c r="I36" s="379">
        <v>0</v>
      </c>
      <c r="J36" s="379">
        <v>0</v>
      </c>
      <c r="K36" s="383">
        <v>0</v>
      </c>
      <c r="M36" s="953"/>
      <c r="N36" s="953"/>
      <c r="O36" s="953"/>
      <c r="P36" s="953"/>
      <c r="Q36" s="953"/>
    </row>
    <row r="37" spans="2:17">
      <c r="B37" s="369" t="s">
        <v>359</v>
      </c>
      <c r="C37" s="152" t="s">
        <v>128</v>
      </c>
      <c r="D37" s="347">
        <v>0</v>
      </c>
      <c r="E37" s="379">
        <v>0</v>
      </c>
      <c r="F37" s="379">
        <v>0</v>
      </c>
      <c r="G37" s="379">
        <v>0</v>
      </c>
      <c r="H37" s="379">
        <v>0</v>
      </c>
      <c r="I37" s="379">
        <v>0</v>
      </c>
      <c r="J37" s="379">
        <v>0</v>
      </c>
      <c r="K37" s="383">
        <v>0</v>
      </c>
      <c r="M37" s="953"/>
      <c r="N37" s="953"/>
      <c r="O37" s="953"/>
      <c r="P37" s="953"/>
      <c r="Q37" s="953"/>
    </row>
    <row r="38" spans="2:17">
      <c r="B38" s="369" t="s">
        <v>360</v>
      </c>
      <c r="C38" s="152" t="s">
        <v>128</v>
      </c>
      <c r="D38" s="347">
        <v>0</v>
      </c>
      <c r="E38" s="379">
        <v>0</v>
      </c>
      <c r="F38" s="379">
        <v>0</v>
      </c>
      <c r="G38" s="379">
        <v>0</v>
      </c>
      <c r="H38" s="379">
        <v>0</v>
      </c>
      <c r="I38" s="379">
        <v>0</v>
      </c>
      <c r="J38" s="379">
        <v>0</v>
      </c>
      <c r="K38" s="383">
        <v>0</v>
      </c>
      <c r="M38" s="953"/>
      <c r="N38" s="953"/>
      <c r="O38" s="953"/>
      <c r="P38" s="953"/>
      <c r="Q38" s="953"/>
    </row>
    <row r="39" spans="2:17">
      <c r="B39" s="369" t="s">
        <v>361</v>
      </c>
      <c r="C39" s="152" t="s">
        <v>128</v>
      </c>
      <c r="D39" s="347">
        <v>0</v>
      </c>
      <c r="E39" s="379">
        <v>0</v>
      </c>
      <c r="F39" s="379">
        <v>0</v>
      </c>
      <c r="G39" s="379">
        <v>0</v>
      </c>
      <c r="H39" s="379">
        <v>0</v>
      </c>
      <c r="I39" s="379">
        <v>0</v>
      </c>
      <c r="J39" s="379">
        <v>0</v>
      </c>
      <c r="K39" s="383">
        <v>0</v>
      </c>
      <c r="M39" s="953"/>
      <c r="N39" s="953"/>
      <c r="O39" s="953"/>
      <c r="P39" s="953"/>
      <c r="Q39" s="953"/>
    </row>
    <row r="40" spans="2:17">
      <c r="B40" s="369" t="s">
        <v>362</v>
      </c>
      <c r="C40" s="152" t="s">
        <v>128</v>
      </c>
      <c r="D40" s="347">
        <v>0</v>
      </c>
      <c r="E40" s="379">
        <v>0</v>
      </c>
      <c r="F40" s="379">
        <v>0</v>
      </c>
      <c r="G40" s="379">
        <v>0</v>
      </c>
      <c r="H40" s="379">
        <v>0</v>
      </c>
      <c r="I40" s="379">
        <v>0</v>
      </c>
      <c r="J40" s="379">
        <v>0</v>
      </c>
      <c r="K40" s="383">
        <v>0</v>
      </c>
      <c r="M40" s="953"/>
      <c r="N40" s="953"/>
      <c r="O40" s="953"/>
      <c r="P40" s="953"/>
      <c r="Q40" s="953"/>
    </row>
    <row r="41" spans="2:17">
      <c r="B41" s="369" t="s">
        <v>363</v>
      </c>
      <c r="C41" s="152" t="s">
        <v>128</v>
      </c>
      <c r="D41" s="380">
        <v>0</v>
      </c>
      <c r="E41" s="381">
        <v>0</v>
      </c>
      <c r="F41" s="381">
        <v>0</v>
      </c>
      <c r="G41" s="381">
        <v>0</v>
      </c>
      <c r="H41" s="381">
        <v>0</v>
      </c>
      <c r="I41" s="381">
        <v>0</v>
      </c>
      <c r="J41" s="381">
        <v>0</v>
      </c>
      <c r="K41" s="384">
        <v>0</v>
      </c>
      <c r="M41" s="953"/>
      <c r="N41" s="953"/>
      <c r="O41" s="953"/>
      <c r="P41" s="953"/>
      <c r="Q41" s="953"/>
    </row>
    <row r="42" spans="2:17">
      <c r="B42" s="199" t="s">
        <v>234</v>
      </c>
      <c r="C42" s="152" t="s">
        <v>128</v>
      </c>
      <c r="D42" s="704">
        <v>1333.2277808599999</v>
      </c>
      <c r="E42" s="704">
        <v>1444.26348738</v>
      </c>
      <c r="F42" s="704">
        <v>1473.89206504</v>
      </c>
      <c r="G42" s="704">
        <v>1472.6580296499994</v>
      </c>
      <c r="H42" s="704">
        <v>1514.8091487699994</v>
      </c>
      <c r="I42" s="704">
        <v>1539.0642832399997</v>
      </c>
      <c r="J42" s="704">
        <v>1541.1140782199998</v>
      </c>
      <c r="K42" s="704">
        <v>1569.4562658628649</v>
      </c>
      <c r="M42" s="953"/>
      <c r="N42" s="953"/>
      <c r="O42" s="953"/>
      <c r="P42" s="953"/>
      <c r="Q42" s="953"/>
    </row>
    <row r="43" spans="2:17">
      <c r="B43" s="370" t="s">
        <v>306</v>
      </c>
      <c r="C43" s="152" t="s">
        <v>128</v>
      </c>
      <c r="D43" s="705"/>
      <c r="E43" s="706"/>
      <c r="F43" s="706"/>
      <c r="G43" s="707"/>
      <c r="H43" s="707"/>
      <c r="I43" s="707"/>
      <c r="J43" s="707"/>
      <c r="K43" s="708">
        <v>0</v>
      </c>
      <c r="M43" s="953"/>
      <c r="N43" s="953"/>
      <c r="O43" s="953"/>
      <c r="P43" s="953"/>
      <c r="Q43" s="953"/>
    </row>
    <row r="44" spans="2:17">
      <c r="B44" s="346" t="s">
        <v>435</v>
      </c>
      <c r="C44" s="152" t="s">
        <v>128</v>
      </c>
      <c r="D44" s="95">
        <v>1333.2277808599999</v>
      </c>
      <c r="E44" s="96">
        <v>1444.26348738</v>
      </c>
      <c r="F44" s="96">
        <v>1473.89206504</v>
      </c>
      <c r="G44" s="96">
        <v>1472.6580296499994</v>
      </c>
      <c r="H44" s="96">
        <v>1514.8091487699994</v>
      </c>
      <c r="I44" s="96">
        <v>1539.0642832399997</v>
      </c>
      <c r="J44" s="96">
        <v>1541.1140782199998</v>
      </c>
      <c r="K44" s="97">
        <v>1569.4562658628649</v>
      </c>
      <c r="M44" s="953"/>
      <c r="N44" s="953"/>
      <c r="O44" s="953"/>
      <c r="P44" s="953"/>
      <c r="Q44" s="953"/>
    </row>
    <row r="45" spans="2:17">
      <c r="D45" s="226" t="s">
        <v>664</v>
      </c>
      <c r="E45" s="227" t="s">
        <v>664</v>
      </c>
      <c r="F45" s="227" t="s">
        <v>664</v>
      </c>
      <c r="G45" s="227" t="s">
        <v>664</v>
      </c>
      <c r="H45" s="227" t="s">
        <v>664</v>
      </c>
      <c r="I45" s="227" t="s">
        <v>664</v>
      </c>
      <c r="J45" s="227" t="s">
        <v>664</v>
      </c>
      <c r="K45" s="228" t="s">
        <v>664</v>
      </c>
    </row>
    <row r="47" spans="2:17">
      <c r="B47" s="817" t="s">
        <v>436</v>
      </c>
      <c r="C47" s="152" t="s">
        <v>128</v>
      </c>
      <c r="D47" s="832">
        <v>1320.5881247700001</v>
      </c>
      <c r="E47" s="96">
        <v>1333.2277808599999</v>
      </c>
      <c r="F47" s="96">
        <v>1444.26348738</v>
      </c>
      <c r="G47" s="96">
        <v>1473.89206504</v>
      </c>
      <c r="H47" s="96">
        <v>1472.6580296499994</v>
      </c>
      <c r="I47" s="96">
        <v>1514.8091487699994</v>
      </c>
      <c r="J47" s="96">
        <v>1539.0642832399997</v>
      </c>
      <c r="K47" s="97">
        <v>1541.1140782199998</v>
      </c>
      <c r="L47" s="816"/>
    </row>
    <row r="48" spans="2:17">
      <c r="B48" s="817" t="s">
        <v>437</v>
      </c>
      <c r="C48" s="152" t="s">
        <v>128</v>
      </c>
      <c r="D48" s="578">
        <v>1333.2277808599999</v>
      </c>
      <c r="E48" s="579">
        <v>1444.26348738</v>
      </c>
      <c r="F48" s="579">
        <v>1473.89206504</v>
      </c>
      <c r="G48" s="579">
        <v>1472.6580296499994</v>
      </c>
      <c r="H48" s="579">
        <v>1514.8091487699994</v>
      </c>
      <c r="I48" s="579">
        <v>1539.0642832399997</v>
      </c>
      <c r="J48" s="579">
        <v>1541.1140782199998</v>
      </c>
      <c r="K48" s="831">
        <v>1569.4562658628649</v>
      </c>
      <c r="L48" s="816"/>
    </row>
    <row r="49" spans="2:17">
      <c r="D49" s="23"/>
      <c r="E49" s="23"/>
      <c r="F49" s="23"/>
      <c r="G49" s="23"/>
      <c r="H49" s="23"/>
      <c r="I49" s="23"/>
      <c r="J49" s="23"/>
      <c r="K49" s="23"/>
    </row>
    <row r="50" spans="2:17">
      <c r="B50" s="14" t="s">
        <v>124</v>
      </c>
    </row>
    <row r="51" spans="2:17">
      <c r="B51" t="s">
        <v>125</v>
      </c>
      <c r="C51" s="480" t="s">
        <v>7</v>
      </c>
      <c r="D51" s="474">
        <v>0</v>
      </c>
      <c r="E51" s="475">
        <v>0</v>
      </c>
      <c r="F51" s="475">
        <v>0</v>
      </c>
      <c r="G51" s="475">
        <v>0</v>
      </c>
      <c r="H51" s="475">
        <v>0</v>
      </c>
      <c r="I51" s="475">
        <v>0</v>
      </c>
      <c r="J51" s="475">
        <v>0</v>
      </c>
      <c r="K51" s="476">
        <v>0</v>
      </c>
    </row>
    <row r="52" spans="2:17">
      <c r="B52" t="s">
        <v>126</v>
      </c>
      <c r="C52" s="480" t="s">
        <v>7</v>
      </c>
      <c r="D52" s="486">
        <v>1</v>
      </c>
      <c r="E52" s="487">
        <v>1</v>
      </c>
      <c r="F52" s="487">
        <v>1</v>
      </c>
      <c r="G52" s="487">
        <v>1</v>
      </c>
      <c r="H52" s="487">
        <v>1</v>
      </c>
      <c r="I52" s="487">
        <v>1</v>
      </c>
      <c r="J52" s="487">
        <v>1</v>
      </c>
      <c r="K52" s="488">
        <v>1</v>
      </c>
    </row>
    <row r="53" spans="2:17">
      <c r="C53" s="816"/>
      <c r="D53" s="816"/>
      <c r="E53" s="816"/>
      <c r="F53" s="816"/>
      <c r="G53" s="816"/>
      <c r="H53" s="816"/>
      <c r="I53" s="816"/>
      <c r="J53" s="816"/>
      <c r="K53" s="816"/>
      <c r="L53" s="816"/>
    </row>
    <row r="54" spans="2:17">
      <c r="B54" s="200" t="s">
        <v>459</v>
      </c>
      <c r="C54" s="266" t="s">
        <v>128</v>
      </c>
      <c r="D54" s="709">
        <v>1326.907952815</v>
      </c>
      <c r="E54" s="710">
        <v>1388.74563412</v>
      </c>
      <c r="F54" s="710">
        <v>1459.0777762100001</v>
      </c>
      <c r="G54" s="710">
        <v>1473.2750473449996</v>
      </c>
      <c r="H54" s="710">
        <v>1493.7335892099995</v>
      </c>
      <c r="I54" s="710">
        <v>1526.9367160049997</v>
      </c>
      <c r="J54" s="710">
        <v>1540.0891807299997</v>
      </c>
      <c r="K54" s="711">
        <v>1555.2851720414324</v>
      </c>
      <c r="O54" s="747"/>
      <c r="Q54" s="747"/>
    </row>
    <row r="55" spans="2:17">
      <c r="B55" s="200" t="s">
        <v>272</v>
      </c>
      <c r="C55" s="152" t="s">
        <v>128</v>
      </c>
      <c r="D55" s="698">
        <v>778.70029417758951</v>
      </c>
      <c r="E55" s="699">
        <v>814.21598581325316</v>
      </c>
      <c r="F55" s="699">
        <v>853.93832028243423</v>
      </c>
      <c r="G55" s="699">
        <v>934.67525864764139</v>
      </c>
      <c r="H55" s="699">
        <v>996.35713032723106</v>
      </c>
      <c r="I55" s="699">
        <v>1047.8663159384155</v>
      </c>
      <c r="J55" s="699">
        <v>1245.0262056112076</v>
      </c>
      <c r="K55" s="700">
        <v>1553.7112590689162</v>
      </c>
      <c r="O55" s="747"/>
      <c r="Q55" s="747"/>
    </row>
    <row r="56" spans="2:17">
      <c r="B56" s="200" t="s">
        <v>507</v>
      </c>
      <c r="C56" s="152" t="s">
        <v>128</v>
      </c>
      <c r="D56" s="869">
        <v>2105.6082469925896</v>
      </c>
      <c r="E56" s="869">
        <v>2202.9616199332531</v>
      </c>
      <c r="F56" s="869">
        <v>2313.0160964924344</v>
      </c>
      <c r="G56" s="869">
        <v>2407.950305992641</v>
      </c>
      <c r="H56" s="869">
        <v>2490.0907195372306</v>
      </c>
      <c r="I56" s="869">
        <v>2574.8030319434151</v>
      </c>
      <c r="J56" s="869">
        <v>2785.1153863412073</v>
      </c>
      <c r="K56" s="869">
        <v>3108.9964311103486</v>
      </c>
      <c r="O56" s="747"/>
      <c r="Q56" s="747"/>
    </row>
    <row r="57" spans="2:17">
      <c r="B57" s="200" t="s">
        <v>235</v>
      </c>
      <c r="C57" s="152" t="s">
        <v>7</v>
      </c>
      <c r="D57" s="231">
        <v>0.63017798050050566</v>
      </c>
      <c r="E57" s="232">
        <v>0.6303993776169724</v>
      </c>
      <c r="F57" s="232">
        <v>0.63081176928366989</v>
      </c>
      <c r="G57" s="232">
        <v>0.61183781229972867</v>
      </c>
      <c r="H57" s="232">
        <v>0.59987115227978582</v>
      </c>
      <c r="I57" s="232">
        <v>0.59303049478409819</v>
      </c>
      <c r="J57" s="232">
        <v>0.55297140947298684</v>
      </c>
      <c r="K57" s="233">
        <v>0.5002531223511173</v>
      </c>
      <c r="N57" s="943"/>
      <c r="O57" s="943"/>
      <c r="P57" s="943"/>
      <c r="Q57" s="944"/>
    </row>
    <row r="58" spans="2:17">
      <c r="B58" s="200" t="s">
        <v>115</v>
      </c>
      <c r="C58" s="152" t="s">
        <v>7</v>
      </c>
      <c r="D58" s="870">
        <v>0.65</v>
      </c>
      <c r="E58" s="871">
        <v>0.65</v>
      </c>
      <c r="F58" s="871">
        <v>0.65</v>
      </c>
      <c r="G58" s="871">
        <v>0.65</v>
      </c>
      <c r="H58" s="871">
        <v>0.65</v>
      </c>
      <c r="I58" s="871">
        <v>0.65</v>
      </c>
      <c r="J58" s="871">
        <v>0.65</v>
      </c>
      <c r="K58" s="872">
        <v>0.65</v>
      </c>
      <c r="N58" s="943"/>
      <c r="O58" s="943"/>
      <c r="P58" s="943"/>
      <c r="Q58" s="943"/>
    </row>
    <row r="59" spans="2:17">
      <c r="B59" s="200" t="s">
        <v>236</v>
      </c>
      <c r="C59" s="152" t="s">
        <v>7</v>
      </c>
      <c r="D59" s="236">
        <v>-1.9822019499494359E-2</v>
      </c>
      <c r="E59" s="237">
        <v>-1.9600622383027622E-2</v>
      </c>
      <c r="F59" s="237">
        <v>-1.9188230716330135E-2</v>
      </c>
      <c r="G59" s="237">
        <v>-3.8162187700271355E-2</v>
      </c>
      <c r="H59" s="237">
        <v>-5.0128847720214198E-2</v>
      </c>
      <c r="I59" s="237">
        <v>-5.6969505215901828E-2</v>
      </c>
      <c r="J59" s="237">
        <v>-9.7028590527013181E-2</v>
      </c>
      <c r="K59" s="238">
        <v>-0.14974687764888273</v>
      </c>
      <c r="N59" s="943"/>
      <c r="O59" s="943"/>
      <c r="P59" s="943"/>
      <c r="Q59" s="943"/>
    </row>
    <row r="61" spans="2:17">
      <c r="B61" s="200" t="s">
        <v>514</v>
      </c>
      <c r="C61" s="155" t="s">
        <v>159</v>
      </c>
      <c r="D61" s="981">
        <v>1227.7477494376876</v>
      </c>
      <c r="E61" s="702">
        <v>1255.543920669435</v>
      </c>
      <c r="F61" s="702">
        <v>1277.3105774308906</v>
      </c>
      <c r="G61" s="702">
        <v>1252.9308057664598</v>
      </c>
      <c r="H61" s="702">
        <v>1241.7731684808382</v>
      </c>
      <c r="I61" s="702">
        <v>1244.7155959243801</v>
      </c>
      <c r="J61" s="702">
        <v>1183.19720683163</v>
      </c>
      <c r="K61" s="703">
        <v>1096.2301481109969</v>
      </c>
      <c r="M61" s="322"/>
      <c r="O61" s="747"/>
      <c r="Q61" s="747"/>
    </row>
    <row r="62" spans="2:17">
      <c r="B62" s="200" t="s">
        <v>512</v>
      </c>
      <c r="C62" s="155" t="s">
        <v>159</v>
      </c>
      <c r="D62" s="666">
        <v>720.50780284704103</v>
      </c>
      <c r="E62" s="667">
        <v>736.12035637288363</v>
      </c>
      <c r="F62" s="667">
        <v>747.55744125139324</v>
      </c>
      <c r="G62" s="667">
        <v>794.8844494840132</v>
      </c>
      <c r="H62" s="667">
        <v>828.29331789966193</v>
      </c>
      <c r="I62" s="667">
        <v>854.19096431505204</v>
      </c>
      <c r="J62" s="667">
        <v>956.51053675548258</v>
      </c>
      <c r="K62" s="668">
        <v>1095.1207883086975</v>
      </c>
      <c r="M62" s="322"/>
      <c r="O62" s="747"/>
      <c r="Q62" s="747"/>
    </row>
    <row r="63" spans="2:17">
      <c r="B63" s="200" t="s">
        <v>513</v>
      </c>
      <c r="C63" s="155" t="s">
        <v>159</v>
      </c>
      <c r="D63" s="868">
        <v>1948.2555522847285</v>
      </c>
      <c r="E63" s="868">
        <v>1991.6642770423186</v>
      </c>
      <c r="F63" s="868">
        <v>2024.8680186822839</v>
      </c>
      <c r="G63" s="868">
        <v>2047.815255250473</v>
      </c>
      <c r="H63" s="868">
        <v>2070.0664863805</v>
      </c>
      <c r="I63" s="868">
        <v>2098.9065602394321</v>
      </c>
      <c r="J63" s="868">
        <v>2139.7077435871124</v>
      </c>
      <c r="K63" s="868">
        <v>2191.3509364196943</v>
      </c>
      <c r="O63" s="747"/>
      <c r="Q63" s="747"/>
    </row>
    <row r="64" spans="2:17">
      <c r="B64" s="200" t="s">
        <v>235</v>
      </c>
      <c r="C64" s="152" t="s">
        <v>7</v>
      </c>
      <c r="D64" s="231">
        <v>0.63017798050050566</v>
      </c>
      <c r="E64" s="232">
        <v>0.6303993776169724</v>
      </c>
      <c r="F64" s="232">
        <v>0.63081176928366989</v>
      </c>
      <c r="G64" s="232">
        <v>0.61183781229972867</v>
      </c>
      <c r="H64" s="232">
        <v>0.59987115227978582</v>
      </c>
      <c r="I64" s="232">
        <v>0.59303049478409819</v>
      </c>
      <c r="J64" s="232">
        <v>0.55297140947298684</v>
      </c>
      <c r="K64" s="233">
        <v>0.5002531223511173</v>
      </c>
      <c r="N64" s="943"/>
      <c r="O64" s="943"/>
      <c r="P64" s="943"/>
      <c r="Q64" s="943"/>
    </row>
    <row r="65" spans="2:17">
      <c r="B65" s="200" t="s">
        <v>115</v>
      </c>
      <c r="C65" s="152" t="s">
        <v>7</v>
      </c>
      <c r="D65" s="870">
        <v>0.65</v>
      </c>
      <c r="E65" s="871">
        <v>0.65</v>
      </c>
      <c r="F65" s="871">
        <v>0.65</v>
      </c>
      <c r="G65" s="871">
        <v>0.65</v>
      </c>
      <c r="H65" s="871">
        <v>0.65</v>
      </c>
      <c r="I65" s="871">
        <v>0.65</v>
      </c>
      <c r="J65" s="871">
        <v>0.65</v>
      </c>
      <c r="K65" s="872">
        <v>0.65</v>
      </c>
      <c r="N65" s="943"/>
      <c r="O65" s="943"/>
      <c r="P65" s="943"/>
      <c r="Q65" s="943"/>
    </row>
    <row r="66" spans="2:17">
      <c r="B66" s="200" t="s">
        <v>236</v>
      </c>
      <c r="C66" s="152" t="s">
        <v>7</v>
      </c>
      <c r="D66" s="236">
        <v>-1.9822019499494359E-2</v>
      </c>
      <c r="E66" s="237">
        <v>-1.9600622383027622E-2</v>
      </c>
      <c r="F66" s="237">
        <v>-1.9188230716330135E-2</v>
      </c>
      <c r="G66" s="237">
        <v>-3.8162187700271355E-2</v>
      </c>
      <c r="H66" s="237">
        <v>-5.0128847720214198E-2</v>
      </c>
      <c r="I66" s="237">
        <v>-5.6969505215901828E-2</v>
      </c>
      <c r="J66" s="237">
        <v>-9.7028590527013181E-2</v>
      </c>
      <c r="K66" s="238">
        <v>-0.14974687764888273</v>
      </c>
      <c r="N66" s="943"/>
      <c r="O66" s="943"/>
      <c r="P66" s="943"/>
      <c r="Q66" s="943"/>
    </row>
  </sheetData>
  <conditionalFormatting sqref="D6:K6">
    <cfRule type="expression" dxfId="37" priority="18">
      <formula>AND(D$5="Actuals",E$5="Forecast")</formula>
    </cfRule>
  </conditionalFormatting>
  <conditionalFormatting sqref="D5:K5">
    <cfRule type="expression" dxfId="36"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O76"/>
  <sheetViews>
    <sheetView zoomScale="60" zoomScaleNormal="60" workbookViewId="0">
      <selection activeCell="B36" sqref="B36"/>
    </sheetView>
  </sheetViews>
  <sheetFormatPr defaultRowHeight="12.6"/>
  <cols>
    <col min="1" max="1" width="8.36328125" customWidth="1"/>
    <col min="2" max="2" width="100.08984375" customWidth="1"/>
    <col min="3" max="3" width="14.08984375" style="198" customWidth="1"/>
    <col min="4" max="11" width="11.08984375" customWidth="1"/>
    <col min="12" max="12" width="5" customWidth="1"/>
    <col min="14" max="14" width="9" style="213"/>
  </cols>
  <sheetData>
    <row r="1" spans="1:14" s="31" customFormat="1" ht="21">
      <c r="A1" s="903" t="s">
        <v>120</v>
      </c>
      <c r="B1" s="932"/>
      <c r="C1" s="397"/>
      <c r="D1" s="120"/>
      <c r="E1" s="120"/>
      <c r="F1" s="120"/>
      <c r="G1" s="120"/>
      <c r="H1" s="120"/>
      <c r="I1" s="126"/>
      <c r="J1" s="126"/>
      <c r="K1" s="127"/>
      <c r="L1" s="363"/>
      <c r="N1" s="212"/>
    </row>
    <row r="2" spans="1:14" s="31" customFormat="1" ht="21">
      <c r="A2" s="906" t="str">
        <f>'RFPR cover'!C5</f>
        <v>WPD-WMID</v>
      </c>
      <c r="B2" s="898"/>
      <c r="C2" s="221"/>
      <c r="D2" s="29"/>
      <c r="E2" s="29"/>
      <c r="F2" s="29"/>
      <c r="G2" s="29"/>
      <c r="H2" s="29"/>
      <c r="I2" s="27"/>
      <c r="J2" s="27"/>
      <c r="K2" s="27"/>
      <c r="L2" s="123"/>
      <c r="N2" s="212"/>
    </row>
    <row r="3" spans="1:14" s="31" customFormat="1" ht="21">
      <c r="A3" s="909">
        <f>'RFPR cover'!C7</f>
        <v>2022</v>
      </c>
      <c r="B3" s="916"/>
      <c r="C3" s="398"/>
      <c r="D3" s="260"/>
      <c r="E3" s="260"/>
      <c r="F3" s="260"/>
      <c r="G3" s="260"/>
      <c r="H3" s="260"/>
      <c r="I3" s="255"/>
      <c r="J3" s="255"/>
      <c r="K3" s="255"/>
      <c r="L3" s="261"/>
      <c r="N3" s="212"/>
    </row>
    <row r="4" spans="1:14" s="2" customFormat="1" ht="12.75" customHeight="1">
      <c r="C4" s="1"/>
      <c r="N4" s="129"/>
    </row>
    <row r="5" spans="1:14"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Forecast</v>
      </c>
      <c r="K5" s="390" t="str">
        <f>IF(K6&lt;='RFPR cover'!$C$7-1,"Actuals","Forecast")</f>
        <v>Forecast</v>
      </c>
      <c r="N5" s="129"/>
    </row>
    <row r="6" spans="1:14"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14" s="2" customFormat="1">
      <c r="A7" s="35"/>
      <c r="B7" s="35"/>
      <c r="C7" s="320"/>
      <c r="D7" s="429"/>
      <c r="E7" s="429"/>
      <c r="F7" s="429"/>
      <c r="G7" s="429"/>
      <c r="H7" s="429"/>
      <c r="I7" s="429"/>
      <c r="J7" s="429"/>
      <c r="K7" s="429"/>
      <c r="L7" s="35"/>
      <c r="M7" s="35"/>
      <c r="N7" s="225"/>
    </row>
    <row r="8" spans="1:14" s="2" customFormat="1">
      <c r="B8" s="12" t="s">
        <v>323</v>
      </c>
      <c r="N8" s="129"/>
    </row>
    <row r="9" spans="1:14" s="2" customFormat="1">
      <c r="B9" s="368" t="s">
        <v>322</v>
      </c>
      <c r="C9" s="368"/>
      <c r="D9" s="368"/>
      <c r="E9" s="368"/>
      <c r="F9" s="368"/>
      <c r="G9" s="368"/>
      <c r="H9" s="368"/>
      <c r="I9" s="368"/>
      <c r="J9" s="368"/>
      <c r="K9" s="368"/>
      <c r="L9" s="368"/>
      <c r="N9" s="129"/>
    </row>
    <row r="10" spans="1:14" s="35" customFormat="1">
      <c r="B10" s="428"/>
      <c r="C10" s="428"/>
      <c r="D10" s="428"/>
      <c r="E10" s="428"/>
      <c r="F10" s="428"/>
      <c r="G10" s="428"/>
      <c r="H10" s="428"/>
      <c r="I10" s="428"/>
      <c r="J10" s="428"/>
      <c r="K10" s="428"/>
      <c r="L10" s="428"/>
      <c r="M10" s="2"/>
      <c r="N10" s="225"/>
    </row>
    <row r="11" spans="1:14" s="2" customFormat="1">
      <c r="B11" s="200" t="s">
        <v>321</v>
      </c>
      <c r="C11" s="210" t="str">
        <f>'RFPR cover'!$C$14</f>
        <v>£m 12/13</v>
      </c>
      <c r="D11" s="712">
        <v>2008.234739826738</v>
      </c>
      <c r="E11" s="713">
        <v>2049.8862893038117</v>
      </c>
      <c r="F11" s="713">
        <v>2073.8021374023424</v>
      </c>
      <c r="G11" s="713">
        <v>2092.9211379438816</v>
      </c>
      <c r="H11" s="713">
        <v>2115.6052541476793</v>
      </c>
      <c r="I11" s="713">
        <v>2145.4902828398613</v>
      </c>
      <c r="J11" s="713">
        <v>2189.6183910772229</v>
      </c>
      <c r="K11" s="714">
        <v>2237.0962251932833</v>
      </c>
      <c r="N11" s="129"/>
    </row>
    <row r="12" spans="1:14" s="2" customFormat="1">
      <c r="N12" s="129"/>
    </row>
    <row r="13" spans="1:14" s="2" customFormat="1">
      <c r="B13" s="12" t="s">
        <v>324</v>
      </c>
      <c r="C13" s="1"/>
      <c r="D13" s="1"/>
      <c r="E13" s="1"/>
      <c r="F13" s="1"/>
      <c r="G13" s="1"/>
      <c r="H13" s="1"/>
      <c r="I13" s="1"/>
      <c r="J13" s="1"/>
      <c r="K13" s="1"/>
      <c r="N13" s="129"/>
    </row>
    <row r="14" spans="1:14" s="2" customFormat="1">
      <c r="B14" s="368" t="s">
        <v>346</v>
      </c>
      <c r="C14" s="321"/>
      <c r="D14" s="321"/>
      <c r="E14" s="321"/>
      <c r="F14" s="321"/>
      <c r="G14" s="321"/>
      <c r="H14" s="321"/>
      <c r="I14" s="321"/>
      <c r="J14" s="321"/>
      <c r="K14" s="321"/>
      <c r="L14" s="293"/>
      <c r="N14" s="129"/>
    </row>
    <row r="15" spans="1:14" s="35" customFormat="1">
      <c r="B15" s="428"/>
      <c r="C15" s="320"/>
      <c r="D15" s="320"/>
      <c r="E15" s="320"/>
      <c r="F15" s="320"/>
      <c r="G15" s="320"/>
      <c r="H15" s="320"/>
      <c r="I15" s="320"/>
      <c r="J15" s="320"/>
      <c r="K15" s="320"/>
      <c r="M15" s="2"/>
      <c r="N15" s="225"/>
    </row>
    <row r="16" spans="1:14" s="2" customFormat="1">
      <c r="B16" s="392" t="s">
        <v>325</v>
      </c>
      <c r="C16" s="210" t="str">
        <f>'RFPR cover'!$C$14</f>
        <v>£m 12/13</v>
      </c>
      <c r="D16" s="582">
        <v>1963.6096594052804</v>
      </c>
      <c r="E16" s="715">
        <f>D29</f>
        <v>2008.2362789894505</v>
      </c>
      <c r="F16" s="715">
        <f t="shared" ref="F16:K16" si="1">E29</f>
        <v>2049.8890195530416</v>
      </c>
      <c r="G16" s="715">
        <f t="shared" si="1"/>
        <v>2073.5013834775245</v>
      </c>
      <c r="H16" s="715">
        <f t="shared" si="1"/>
        <v>2092.5295525807419</v>
      </c>
      <c r="I16" s="715">
        <f t="shared" si="1"/>
        <v>2114.4986239175469</v>
      </c>
      <c r="J16" s="715">
        <f t="shared" si="1"/>
        <v>2144.7410244924281</v>
      </c>
      <c r="K16" s="585">
        <f t="shared" si="1"/>
        <v>2193.0364624915173</v>
      </c>
      <c r="N16" s="129"/>
    </row>
    <row r="17" spans="2:14" s="2" customFormat="1">
      <c r="B17" s="392" t="s">
        <v>326</v>
      </c>
      <c r="C17" s="210" t="str">
        <f>'RFPR cover'!$C$14</f>
        <v>£m 12/13</v>
      </c>
      <c r="D17" s="590"/>
      <c r="E17" s="591"/>
      <c r="F17" s="591"/>
      <c r="G17" s="591"/>
      <c r="H17" s="591"/>
      <c r="I17" s="591"/>
      <c r="J17" s="591"/>
      <c r="K17" s="683"/>
      <c r="N17" s="129"/>
    </row>
    <row r="18" spans="2:14" s="2" customFormat="1">
      <c r="B18" s="12" t="s">
        <v>327</v>
      </c>
      <c r="C18" s="210" t="str">
        <f>'RFPR cover'!$C$14</f>
        <v>£m 12/13</v>
      </c>
      <c r="D18" s="716">
        <f>SUM(D16:D17)</f>
        <v>1963.6096594052804</v>
      </c>
      <c r="E18" s="717">
        <f t="shared" ref="E18:K18" si="2">SUM(E16:E17)</f>
        <v>2008.2362789894505</v>
      </c>
      <c r="F18" s="717">
        <f t="shared" si="2"/>
        <v>2049.8890195530416</v>
      </c>
      <c r="G18" s="717">
        <f t="shared" si="2"/>
        <v>2073.5013834775245</v>
      </c>
      <c r="H18" s="717">
        <f t="shared" si="2"/>
        <v>2092.5295525807419</v>
      </c>
      <c r="I18" s="717">
        <f t="shared" si="2"/>
        <v>2114.4986239175469</v>
      </c>
      <c r="J18" s="717">
        <f t="shared" si="2"/>
        <v>2144.7410244924281</v>
      </c>
      <c r="K18" s="718">
        <f t="shared" si="2"/>
        <v>2193.0364624915173</v>
      </c>
      <c r="N18" s="129"/>
    </row>
    <row r="19" spans="2:14" s="2" customFormat="1">
      <c r="B19" s="394" t="s">
        <v>328</v>
      </c>
      <c r="C19" s="210" t="str">
        <f>'RFPR cover'!$C$14</f>
        <v>£m 12/13</v>
      </c>
      <c r="D19" s="586">
        <v>216.43386566195022</v>
      </c>
      <c r="E19" s="586">
        <v>217.44226789812984</v>
      </c>
      <c r="F19" s="587">
        <v>201.7809362378481</v>
      </c>
      <c r="G19" s="587">
        <v>198.56081142670183</v>
      </c>
      <c r="H19" s="587">
        <v>202.63303105610314</v>
      </c>
      <c r="I19" s="587">
        <v>210.50380238194398</v>
      </c>
      <c r="J19" s="587">
        <v>212.32203857234191</v>
      </c>
      <c r="K19" s="682">
        <v>213.44294482867764</v>
      </c>
      <c r="M19" s="323"/>
      <c r="N19" s="129"/>
    </row>
    <row r="20" spans="2:14" s="2" customFormat="1">
      <c r="B20" s="394" t="s">
        <v>335</v>
      </c>
      <c r="C20" s="210" t="str">
        <f>'RFPR cover'!$C$14</f>
        <v>£m 12/13</v>
      </c>
      <c r="D20" s="590">
        <v>0</v>
      </c>
      <c r="E20" s="591">
        <v>0</v>
      </c>
      <c r="F20" s="591">
        <v>-0.30452565592375003</v>
      </c>
      <c r="G20" s="591">
        <v>-8.1373468475043689E-2</v>
      </c>
      <c r="H20" s="591">
        <v>-0.70358277368473698</v>
      </c>
      <c r="I20" s="591">
        <v>0.38958950753876165</v>
      </c>
      <c r="J20" s="591">
        <v>0.96645546534942861</v>
      </c>
      <c r="K20" s="683">
        <v>1.70623615206746</v>
      </c>
      <c r="M20" s="323"/>
      <c r="N20" s="129"/>
    </row>
    <row r="21" spans="2:14" s="2" customFormat="1">
      <c r="B21" s="393" t="s">
        <v>331</v>
      </c>
      <c r="C21" s="210" t="str">
        <f>'RFPR cover'!$C$14</f>
        <v>£m 12/13</v>
      </c>
      <c r="D21" s="716">
        <f t="shared" ref="D21:K21" si="3">SUM(D19:D20)</f>
        <v>216.43386566195022</v>
      </c>
      <c r="E21" s="717">
        <f t="shared" si="3"/>
        <v>217.44226789812984</v>
      </c>
      <c r="F21" s="717">
        <f t="shared" si="3"/>
        <v>201.47641058192434</v>
      </c>
      <c r="G21" s="717">
        <f t="shared" si="3"/>
        <v>198.47943795822678</v>
      </c>
      <c r="H21" s="717">
        <f t="shared" si="3"/>
        <v>201.92944828241841</v>
      </c>
      <c r="I21" s="717">
        <f t="shared" si="3"/>
        <v>210.89339188948276</v>
      </c>
      <c r="J21" s="717">
        <f t="shared" si="3"/>
        <v>213.28849403769135</v>
      </c>
      <c r="K21" s="718">
        <f t="shared" si="3"/>
        <v>215.14918098074509</v>
      </c>
      <c r="M21" s="323"/>
      <c r="N21" s="129"/>
    </row>
    <row r="22" spans="2:14" s="2" customFormat="1">
      <c r="B22" s="394" t="s">
        <v>329</v>
      </c>
      <c r="C22" s="210" t="str">
        <f>'RFPR cover'!$C$14</f>
        <v>£m 12/13</v>
      </c>
      <c r="D22" s="586">
        <v>-171.80724607778038</v>
      </c>
      <c r="E22" s="587">
        <v>-175.78952733453872</v>
      </c>
      <c r="F22" s="587">
        <v>-177.86404665744155</v>
      </c>
      <c r="G22" s="587">
        <v>-179.44090202416945</v>
      </c>
      <c r="H22" s="587">
        <v>-179.94750631574374</v>
      </c>
      <c r="I22" s="587">
        <v>-180.61837099283849</v>
      </c>
      <c r="J22" s="587">
        <v>-164.97048963961421</v>
      </c>
      <c r="K22" s="587">
        <v>-163.92143925188012</v>
      </c>
      <c r="M22" s="323"/>
      <c r="N22" s="129"/>
    </row>
    <row r="23" spans="2:14" s="2" customFormat="1">
      <c r="B23" s="394" t="s">
        <v>330</v>
      </c>
      <c r="C23" s="210" t="str">
        <f>'RFPR cover'!$C$14</f>
        <v>£m 12/13</v>
      </c>
      <c r="D23" s="590">
        <v>0</v>
      </c>
      <c r="E23" s="591">
        <v>0</v>
      </c>
      <c r="F23" s="591">
        <v>0</v>
      </c>
      <c r="G23" s="591">
        <v>-1.0366830839957448E-2</v>
      </c>
      <c r="H23" s="591">
        <v>-1.2870629869958792E-2</v>
      </c>
      <c r="I23" s="591">
        <v>-3.262032176286369E-2</v>
      </c>
      <c r="J23" s="591">
        <v>-2.2566398987669843E-2</v>
      </c>
      <c r="K23" s="683">
        <v>5.1313451321203379E-4</v>
      </c>
      <c r="M23" s="323"/>
      <c r="N23" s="129"/>
    </row>
    <row r="24" spans="2:14" s="2" customFormat="1">
      <c r="B24" s="393" t="s">
        <v>332</v>
      </c>
      <c r="C24" s="210" t="str">
        <f>'RFPR cover'!$C$14</f>
        <v>£m 12/13</v>
      </c>
      <c r="D24" s="716">
        <f t="shared" ref="D24:K24" si="4">SUM(D22:D23)</f>
        <v>-171.80724607778038</v>
      </c>
      <c r="E24" s="717">
        <f t="shared" si="4"/>
        <v>-175.78952733453872</v>
      </c>
      <c r="F24" s="717">
        <f t="shared" si="4"/>
        <v>-177.86404665744155</v>
      </c>
      <c r="G24" s="717">
        <f t="shared" si="4"/>
        <v>-179.4512688550094</v>
      </c>
      <c r="H24" s="717">
        <f t="shared" si="4"/>
        <v>-179.96037694561369</v>
      </c>
      <c r="I24" s="717">
        <f t="shared" si="4"/>
        <v>-180.65099131460136</v>
      </c>
      <c r="J24" s="717">
        <f t="shared" si="4"/>
        <v>-164.99305603860188</v>
      </c>
      <c r="K24" s="718">
        <f t="shared" si="4"/>
        <v>-163.92092611736692</v>
      </c>
      <c r="M24" s="323"/>
      <c r="N24" s="129"/>
    </row>
    <row r="25" spans="2:14" s="2" customFormat="1">
      <c r="B25" s="395" t="s">
        <v>268</v>
      </c>
      <c r="C25" s="210" t="str">
        <f>'RFPR cover'!$C$14</f>
        <v>£m 12/13</v>
      </c>
      <c r="D25" s="719"/>
      <c r="E25" s="720"/>
      <c r="F25" s="720"/>
      <c r="G25" s="720"/>
      <c r="H25" s="720"/>
      <c r="I25" s="720"/>
      <c r="J25" s="720"/>
      <c r="K25" s="721"/>
      <c r="N25" s="129"/>
    </row>
    <row r="26" spans="2:14" s="2" customFormat="1">
      <c r="B26" s="395" t="s">
        <v>268</v>
      </c>
      <c r="C26" s="210" t="str">
        <f>'RFPR cover'!$C$14</f>
        <v>£m 12/13</v>
      </c>
      <c r="D26" s="719"/>
      <c r="E26" s="720"/>
      <c r="F26" s="720"/>
      <c r="G26" s="720"/>
      <c r="H26" s="720"/>
      <c r="I26" s="720"/>
      <c r="J26" s="720"/>
      <c r="K26" s="721"/>
      <c r="N26" s="129"/>
    </row>
    <row r="27" spans="2:14" s="2" customFormat="1">
      <c r="B27" s="395" t="s">
        <v>268</v>
      </c>
      <c r="C27" s="210" t="str">
        <f>'RFPR cover'!$C$14</f>
        <v>£m 12/13</v>
      </c>
      <c r="D27" s="719"/>
      <c r="E27" s="720"/>
      <c r="F27" s="720"/>
      <c r="G27" s="720"/>
      <c r="H27" s="720"/>
      <c r="I27" s="720"/>
      <c r="J27" s="720"/>
      <c r="K27" s="721"/>
      <c r="N27" s="129"/>
    </row>
    <row r="28" spans="2:14" s="2" customFormat="1">
      <c r="B28" s="393" t="s">
        <v>333</v>
      </c>
      <c r="C28" s="210" t="str">
        <f>'RFPR cover'!$C$14</f>
        <v>£m 12/13</v>
      </c>
      <c r="D28" s="722">
        <f>SUM(D25:D27)</f>
        <v>0</v>
      </c>
      <c r="E28" s="723">
        <f t="shared" ref="E28:K28" si="5">SUM(E25:E27)</f>
        <v>0</v>
      </c>
      <c r="F28" s="723">
        <f t="shared" si="5"/>
        <v>0</v>
      </c>
      <c r="G28" s="723">
        <f t="shared" si="5"/>
        <v>0</v>
      </c>
      <c r="H28" s="723">
        <f t="shared" si="5"/>
        <v>0</v>
      </c>
      <c r="I28" s="723">
        <f t="shared" si="5"/>
        <v>0</v>
      </c>
      <c r="J28" s="723">
        <f t="shared" si="5"/>
        <v>0</v>
      </c>
      <c r="K28" s="724">
        <f t="shared" si="5"/>
        <v>0</v>
      </c>
      <c r="N28" s="129"/>
    </row>
    <row r="29" spans="2:14" s="2" customFormat="1">
      <c r="B29" s="12" t="s">
        <v>334</v>
      </c>
      <c r="C29" s="210" t="str">
        <f>'RFPR cover'!$C$14</f>
        <v>£m 12/13</v>
      </c>
      <c r="D29" s="725">
        <f>D18+D21+D24+D28</f>
        <v>2008.2362789894505</v>
      </c>
      <c r="E29" s="726">
        <f t="shared" ref="E29:K29" si="6">E18+E21+E24+E28</f>
        <v>2049.8890195530416</v>
      </c>
      <c r="F29" s="726">
        <f t="shared" si="6"/>
        <v>2073.5013834775245</v>
      </c>
      <c r="G29" s="726">
        <f t="shared" si="6"/>
        <v>2092.5295525807419</v>
      </c>
      <c r="H29" s="726">
        <f t="shared" si="6"/>
        <v>2114.4986239175469</v>
      </c>
      <c r="I29" s="726">
        <f t="shared" si="6"/>
        <v>2144.7410244924281</v>
      </c>
      <c r="J29" s="726">
        <f t="shared" si="6"/>
        <v>2193.0364624915173</v>
      </c>
      <c r="K29" s="727">
        <f t="shared" si="6"/>
        <v>2244.2647173548953</v>
      </c>
      <c r="N29" s="129"/>
    </row>
    <row r="30" spans="2:14" s="2" customFormat="1">
      <c r="B30" s="12"/>
      <c r="C30" s="210"/>
      <c r="D30" s="210"/>
      <c r="E30" s="210"/>
      <c r="F30" s="210"/>
      <c r="G30" s="210"/>
      <c r="H30" s="210"/>
      <c r="I30" s="210"/>
      <c r="J30" s="210"/>
      <c r="K30" s="210"/>
      <c r="L30" s="210"/>
      <c r="N30" s="129"/>
    </row>
    <row r="31" spans="2:14" s="2" customFormat="1">
      <c r="B31" s="12" t="s">
        <v>510</v>
      </c>
      <c r="C31" s="210" t="str">
        <f>'RFPR cover'!$C$14</f>
        <v>£m 12/13</v>
      </c>
      <c r="D31" s="725">
        <f t="shared" ref="D31:K31" si="7">(D20+D23+D28)</f>
        <v>0</v>
      </c>
      <c r="E31" s="725">
        <f t="shared" si="7"/>
        <v>0</v>
      </c>
      <c r="F31" s="725">
        <f t="shared" si="7"/>
        <v>-0.30452565592375003</v>
      </c>
      <c r="G31" s="725">
        <f t="shared" si="7"/>
        <v>-9.1740299315001134E-2</v>
      </c>
      <c r="H31" s="725">
        <f t="shared" si="7"/>
        <v>-0.71645340355469578</v>
      </c>
      <c r="I31" s="725">
        <f t="shared" si="7"/>
        <v>0.35696918577589798</v>
      </c>
      <c r="J31" s="725">
        <f t="shared" si="7"/>
        <v>0.94388906636175873</v>
      </c>
      <c r="K31" s="725">
        <f t="shared" si="7"/>
        <v>1.7067492865806722</v>
      </c>
      <c r="L31" s="210"/>
      <c r="N31" s="129"/>
    </row>
    <row r="32" spans="2:14" s="2" customFormat="1">
      <c r="B32" s="12" t="s">
        <v>511</v>
      </c>
      <c r="C32" s="210"/>
      <c r="D32" s="514" t="str">
        <f>IF(D5="Actuals",IF(ABS((D29-SUM($D$31:D31))-D11)&lt;'RFPR cover'!$F$14,"TRUE","FALSE"),"NA")</f>
        <v>TRUE</v>
      </c>
      <c r="E32" s="514" t="str">
        <f>IF(E5="Actuals",IF(ABS((E29-SUM($D$31:E31))-E11)&lt;'RFPR cover'!$F$14,"TRUE","FALSE"),"NA")</f>
        <v>TRUE</v>
      </c>
      <c r="F32" s="514" t="str">
        <f>IF(F5="Actuals",IF(ABS((F29-SUM($D$31:F31))-F11)&lt;'RFPR cover'!$F$14,"TRUE","FALSE"),"NA")</f>
        <v>TRUE</v>
      </c>
      <c r="G32" s="514" t="str">
        <f>IF(G5="Actuals",IF(ABS((G29-SUM($D$31:G31))-G11)&lt;'RFPR cover'!$F$14,"TRUE","FALSE"),"NA")</f>
        <v>TRUE</v>
      </c>
      <c r="H32" s="514" t="str">
        <f>IF(H5="Actuals",IF(ABS((H29-SUM($D$31:H31))-H11)&lt;'RFPR cover'!$F$14,"TRUE","FALSE"),"NA")</f>
        <v>TRUE</v>
      </c>
      <c r="I32" s="514" t="str">
        <f>IF(I5="Actuals",IF(ABS((I29-SUM($D$31:I31))-I11)&lt;'RFPR cover'!$F$14,"TRUE","FALSE"),"NA")</f>
        <v>TRUE</v>
      </c>
      <c r="J32" s="514" t="str">
        <f>IF(J5="Actuals",IF(ABS((J29-SUM($D$31:J31))-J11)&lt;'RFPR cover'!$F$14,"TRUE","FALSE"),"NA")</f>
        <v>NA</v>
      </c>
      <c r="K32" s="514" t="str">
        <f>IF(K5="Actuals",IF(ABS((K29-SUM($D$31:K31))-K11)&lt;'RFPR cover'!$F$14,"TRUE","FALSE"),"NA")</f>
        <v>NA</v>
      </c>
      <c r="L32" s="210"/>
      <c r="N32" s="129"/>
    </row>
    <row r="33" spans="2:14" s="35" customFormat="1">
      <c r="B33" s="51"/>
      <c r="C33" s="477"/>
      <c r="D33" s="478"/>
      <c r="E33" s="478"/>
      <c r="F33" s="478"/>
      <c r="G33" s="478"/>
      <c r="H33" s="478"/>
      <c r="I33" s="478"/>
      <c r="J33" s="478"/>
      <c r="K33" s="478"/>
      <c r="N33" s="225"/>
    </row>
    <row r="34" spans="2:14" s="35" customFormat="1">
      <c r="B34" s="51"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1.3448452028200675</v>
      </c>
      <c r="K34" s="112">
        <f>Data!J$35</f>
        <v>1.4564673546541329</v>
      </c>
      <c r="N34" s="225"/>
    </row>
    <row r="35" spans="2:14" s="31" customFormat="1">
      <c r="B35" s="37" t="s">
        <v>374</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1.2717196280780627</v>
      </c>
      <c r="K35" s="114">
        <f>Data!J$34</f>
        <v>1.3772723572085417</v>
      </c>
      <c r="L35" s="234"/>
      <c r="N35" s="212"/>
    </row>
    <row r="36" spans="2:14" s="31" customFormat="1">
      <c r="B36" s="171" t="s">
        <v>508</v>
      </c>
      <c r="C36" s="267" t="s">
        <v>127</v>
      </c>
      <c r="D36" s="864">
        <f>INDEX(Data!$F$14:$F$30,MATCH($D$6-1,Data!$C$14:$C$30,0),0)/IF('RFPR cover'!$C$6="ED1",Data!$E$17,Data!$E$14)</f>
        <v>1.0526208235414325</v>
      </c>
      <c r="E36" s="865"/>
      <c r="F36" s="865"/>
      <c r="G36" s="865"/>
      <c r="H36" s="865"/>
      <c r="I36" s="865"/>
      <c r="J36" s="865"/>
      <c r="K36" s="865"/>
      <c r="L36" s="234"/>
      <c r="N36" s="212"/>
    </row>
    <row r="37" spans="2:14" s="35" customFormat="1">
      <c r="B37" s="51"/>
      <c r="C37" s="477"/>
      <c r="D37" s="478"/>
      <c r="E37" s="478"/>
      <c r="F37" s="478"/>
      <c r="G37" s="478"/>
      <c r="H37" s="478"/>
      <c r="I37" s="478"/>
      <c r="J37" s="478"/>
      <c r="K37" s="478"/>
      <c r="N37" s="225"/>
    </row>
    <row r="38" spans="2:14" s="2" customFormat="1">
      <c r="B38" s="12" t="s">
        <v>334</v>
      </c>
      <c r="C38" s="266" t="s">
        <v>128</v>
      </c>
      <c r="D38" s="725">
        <f t="shared" ref="D38:K38" si="8">D29*D34</f>
        <v>2144.2800771880816</v>
      </c>
      <c r="E38" s="725">
        <f t="shared" si="8"/>
        <v>2261.6431626784247</v>
      </c>
      <c r="F38" s="725">
        <f t="shared" si="8"/>
        <v>2364.3890303064445</v>
      </c>
      <c r="G38" s="725">
        <f t="shared" si="8"/>
        <v>2451.5115816788375</v>
      </c>
      <c r="H38" s="725">
        <f t="shared" si="8"/>
        <v>2528.6698573956237</v>
      </c>
      <c r="I38" s="725">
        <f t="shared" si="8"/>
        <v>2620.9362064912066</v>
      </c>
      <c r="J38" s="725">
        <f t="shared" si="8"/>
        <v>2949.2945661912081</v>
      </c>
      <c r="K38" s="725">
        <f t="shared" si="8"/>
        <v>3268.6982960294895</v>
      </c>
      <c r="N38" s="129"/>
    </row>
    <row r="39" spans="2:14" s="2" customFormat="1">
      <c r="B39" s="12"/>
      <c r="C39" s="210"/>
      <c r="D39" s="210"/>
      <c r="E39" s="210"/>
      <c r="F39" s="210"/>
      <c r="G39" s="210"/>
      <c r="H39" s="210"/>
      <c r="I39" s="210"/>
      <c r="J39" s="210"/>
      <c r="K39" s="210"/>
      <c r="N39" s="129"/>
    </row>
    <row r="40" spans="2:14" s="2" customFormat="1">
      <c r="B40" s="505" t="s">
        <v>337</v>
      </c>
      <c r="C40" s="210" t="s">
        <v>340</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3.8999999999999998E-3</v>
      </c>
      <c r="N40" s="129"/>
    </row>
    <row r="41" spans="2:14" s="2" customFormat="1">
      <c r="B41" s="505" t="s">
        <v>338</v>
      </c>
      <c r="C41" s="210" t="s">
        <v>340</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5" t="s">
        <v>339</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273</v>
      </c>
      <c r="C43" s="396" t="s">
        <v>340</v>
      </c>
      <c r="D43" s="405">
        <f t="shared" ref="D43:K43" si="9">D40*D42+D41*(1-D42)</f>
        <v>3.8974999999999996E-2</v>
      </c>
      <c r="E43" s="406">
        <f t="shared" si="9"/>
        <v>3.7870000000000001E-2</v>
      </c>
      <c r="F43" s="406">
        <f t="shared" si="9"/>
        <v>3.6830000000000002E-2</v>
      </c>
      <c r="G43" s="406">
        <f t="shared" si="9"/>
        <v>3.4814999999999999E-2</v>
      </c>
      <c r="H43" s="406">
        <f t="shared" si="9"/>
        <v>3.2670000000000005E-2</v>
      </c>
      <c r="I43" s="406">
        <f t="shared" si="9"/>
        <v>2.9485000000000001E-2</v>
      </c>
      <c r="J43" s="406">
        <f t="shared" si="9"/>
        <v>2.734E-2</v>
      </c>
      <c r="K43" s="407">
        <f t="shared" si="9"/>
        <v>2.4934999999999999E-2</v>
      </c>
      <c r="L43" s="211"/>
    </row>
    <row r="44" spans="2:14">
      <c r="C44" s="223"/>
      <c r="D44" s="218"/>
      <c r="E44" s="218"/>
      <c r="F44" s="218"/>
      <c r="G44" s="218"/>
      <c r="H44" s="218"/>
      <c r="I44" s="218"/>
      <c r="J44" s="218"/>
      <c r="K44" s="218"/>
    </row>
    <row r="45" spans="2:14">
      <c r="B45" s="371" t="s">
        <v>341</v>
      </c>
      <c r="C45" s="396" t="str">
        <f>'RFPR cover'!$C$14</f>
        <v>£m 12/13</v>
      </c>
      <c r="D45" s="95">
        <f t="shared" ref="D45:K45" si="10">D47*D42</f>
        <v>1266.3661089850737</v>
      </c>
      <c r="E45" s="96">
        <f t="shared" si="10"/>
        <v>1294.5817800775071</v>
      </c>
      <c r="F45" s="96">
        <f t="shared" si="10"/>
        <v>1316.1642121434845</v>
      </c>
      <c r="G45" s="96">
        <f t="shared" si="10"/>
        <v>1331.0799159128076</v>
      </c>
      <c r="H45" s="96">
        <f t="shared" si="10"/>
        <v>1345.543216147325</v>
      </c>
      <c r="I45" s="96">
        <f t="shared" si="10"/>
        <v>1364.2892641556309</v>
      </c>
      <c r="J45" s="96">
        <f t="shared" si="10"/>
        <v>1390.8100333316231</v>
      </c>
      <c r="K45" s="97">
        <f t="shared" si="10"/>
        <v>1424.3781086728013</v>
      </c>
    </row>
    <row r="46" spans="2:14">
      <c r="B46" s="371" t="s">
        <v>232</v>
      </c>
      <c r="C46" s="396" t="str">
        <f>'RFPR cover'!$C$14</f>
        <v>£m 12/13</v>
      </c>
      <c r="D46" s="520">
        <f t="shared" ref="D46:K46" si="11">D47*(1-D42)</f>
        <v>681.889443299655</v>
      </c>
      <c r="E46" s="521">
        <f t="shared" si="11"/>
        <v>697.08249696481153</v>
      </c>
      <c r="F46" s="521">
        <f t="shared" si="11"/>
        <v>708.70380653879931</v>
      </c>
      <c r="G46" s="521">
        <f t="shared" si="11"/>
        <v>716.73533933766555</v>
      </c>
      <c r="H46" s="521">
        <f t="shared" si="11"/>
        <v>724.52327023317491</v>
      </c>
      <c r="I46" s="521">
        <f t="shared" si="11"/>
        <v>734.61729608380119</v>
      </c>
      <c r="J46" s="521">
        <f t="shared" si="11"/>
        <v>748.8977102554893</v>
      </c>
      <c r="K46" s="522">
        <f t="shared" si="11"/>
        <v>766.97282774689302</v>
      </c>
    </row>
    <row r="47" spans="2:14">
      <c r="B47" s="200" t="s">
        <v>231</v>
      </c>
      <c r="C47" s="210" t="str">
        <f>'RFPR cover'!$C$14</f>
        <v>£m 12/13</v>
      </c>
      <c r="D47" s="102">
        <f t="shared" ref="D47:K47" si="12">AVERAGE(D16,D29*(1/(1+D43)))</f>
        <v>1948.2555522847285</v>
      </c>
      <c r="E47" s="103">
        <f t="shared" si="12"/>
        <v>1991.6642770423186</v>
      </c>
      <c r="F47" s="103">
        <f t="shared" si="12"/>
        <v>2024.8680186822839</v>
      </c>
      <c r="G47" s="103">
        <f t="shared" si="12"/>
        <v>2047.815255250473</v>
      </c>
      <c r="H47" s="103">
        <f t="shared" si="12"/>
        <v>2070.0664863805</v>
      </c>
      <c r="I47" s="103">
        <f t="shared" si="12"/>
        <v>2098.9065602394321</v>
      </c>
      <c r="J47" s="103">
        <f t="shared" si="12"/>
        <v>2139.7077435871124</v>
      </c>
      <c r="K47" s="104">
        <f t="shared" si="12"/>
        <v>2191.3509364196943</v>
      </c>
      <c r="N47" s="214"/>
    </row>
    <row r="48" spans="2:14">
      <c r="B48" s="200"/>
      <c r="C48" s="210"/>
      <c r="D48" s="210"/>
      <c r="E48" s="210"/>
      <c r="F48" s="210"/>
      <c r="G48" s="210"/>
      <c r="H48" s="210"/>
      <c r="I48" s="210"/>
      <c r="J48" s="210"/>
      <c r="K48" s="210"/>
      <c r="N48" s="214"/>
    </row>
    <row r="49" spans="2:15">
      <c r="B49" s="371" t="s">
        <v>342</v>
      </c>
      <c r="C49" s="396" t="str">
        <f>'RFPR cover'!$C$14</f>
        <v>£m 12/13</v>
      </c>
      <c r="D49" s="728">
        <f>D40*D45</f>
        <v>32.292335779119377</v>
      </c>
      <c r="E49" s="729">
        <f t="shared" ref="D49:K50" si="13">E40*E45</f>
        <v>30.811046365844668</v>
      </c>
      <c r="F49" s="729">
        <f t="shared" si="13"/>
        <v>29.218845509585357</v>
      </c>
      <c r="G49" s="729">
        <f t="shared" si="13"/>
        <v>25.423626393934622</v>
      </c>
      <c r="H49" s="729">
        <f t="shared" si="13"/>
        <v>21.259582815127736</v>
      </c>
      <c r="I49" s="729">
        <f t="shared" si="13"/>
        <v>14.870752979296377</v>
      </c>
      <c r="J49" s="729">
        <f t="shared" si="13"/>
        <v>10.570156253320336</v>
      </c>
      <c r="K49" s="730">
        <f t="shared" si="13"/>
        <v>5.5550746238239253</v>
      </c>
    </row>
    <row r="50" spans="2:15">
      <c r="B50" s="371" t="s">
        <v>229</v>
      </c>
      <c r="C50" s="396" t="str">
        <f>'RFPR cover'!$C$14</f>
        <v>£m 12/13</v>
      </c>
      <c r="D50" s="92">
        <f t="shared" si="13"/>
        <v>43.640924371177924</v>
      </c>
      <c r="E50" s="93">
        <f t="shared" si="13"/>
        <v>44.613279805747936</v>
      </c>
      <c r="F50" s="93">
        <f t="shared" si="13"/>
        <v>45.357043618483154</v>
      </c>
      <c r="G50" s="93">
        <f t="shared" si="13"/>
        <v>45.871061717610594</v>
      </c>
      <c r="H50" s="93">
        <f t="shared" si="13"/>
        <v>46.369489294923198</v>
      </c>
      <c r="I50" s="93">
        <f t="shared" si="13"/>
        <v>47.015506949363278</v>
      </c>
      <c r="J50" s="93">
        <f t="shared" si="13"/>
        <v>47.929453456351318</v>
      </c>
      <c r="K50" s="94">
        <f t="shared" si="13"/>
        <v>49.086260975801153</v>
      </c>
      <c r="N50" s="214"/>
    </row>
    <row r="51" spans="2:15">
      <c r="B51" s="200" t="s">
        <v>344</v>
      </c>
      <c r="C51" s="396" t="str">
        <f>'RFPR cover'!$C$14</f>
        <v>£m 12/13</v>
      </c>
      <c r="D51" s="102">
        <f>SUM(D49:D50)</f>
        <v>75.933260150297301</v>
      </c>
      <c r="E51" s="103">
        <f t="shared" ref="E51:K51" si="14">SUM(E49:E50)</f>
        <v>75.424326171592611</v>
      </c>
      <c r="F51" s="103">
        <f t="shared" si="14"/>
        <v>74.575889128068511</v>
      </c>
      <c r="G51" s="103">
        <f t="shared" si="14"/>
        <v>71.294688111545213</v>
      </c>
      <c r="H51" s="103">
        <f t="shared" si="14"/>
        <v>67.629072110050942</v>
      </c>
      <c r="I51" s="103">
        <f t="shared" si="14"/>
        <v>61.886259928659655</v>
      </c>
      <c r="J51" s="103">
        <f t="shared" si="14"/>
        <v>58.499609709671653</v>
      </c>
      <c r="K51" s="104">
        <f t="shared" si="14"/>
        <v>54.64133559962508</v>
      </c>
      <c r="N51" s="214"/>
    </row>
    <row r="53" spans="2:15" s="31" customFormat="1">
      <c r="B53" s="371" t="s">
        <v>341</v>
      </c>
      <c r="C53" s="266" t="s">
        <v>128</v>
      </c>
      <c r="D53" s="95">
        <f t="shared" ref="D53:K54" si="15">D$35*D45</f>
        <v>1342.7491928162854</v>
      </c>
      <c r="E53" s="96">
        <f t="shared" si="15"/>
        <v>1402.079554782053</v>
      </c>
      <c r="F53" s="96">
        <f t="shared" si="15"/>
        <v>1478.7946101233924</v>
      </c>
      <c r="G53" s="96">
        <f t="shared" si="15"/>
        <v>1541.251001603865</v>
      </c>
      <c r="H53" s="96">
        <f t="shared" si="15"/>
        <v>1598.3299128537481</v>
      </c>
      <c r="I53" s="96">
        <f t="shared" si="15"/>
        <v>1640.2529067901071</v>
      </c>
      <c r="J53" s="96">
        <f t="shared" si="15"/>
        <v>1768.7204183157298</v>
      </c>
      <c r="K53" s="97">
        <f t="shared" si="15"/>
        <v>1961.7565952880334</v>
      </c>
      <c r="L53" s="234"/>
      <c r="N53" s="212"/>
    </row>
    <row r="54" spans="2:15" s="31" customFormat="1">
      <c r="B54" s="371" t="s">
        <v>232</v>
      </c>
      <c r="C54" s="266" t="s">
        <v>128</v>
      </c>
      <c r="D54" s="520">
        <f t="shared" si="15"/>
        <v>723.01879613184587</v>
      </c>
      <c r="E54" s="521">
        <f t="shared" si="15"/>
        <v>754.96591411341308</v>
      </c>
      <c r="F54" s="521">
        <f t="shared" si="15"/>
        <v>796.27402083567279</v>
      </c>
      <c r="G54" s="521">
        <f t="shared" si="15"/>
        <v>829.90438547900408</v>
      </c>
      <c r="H54" s="521">
        <f t="shared" si="15"/>
        <v>860.63918384432588</v>
      </c>
      <c r="I54" s="521">
        <f t="shared" si="15"/>
        <v>883.21310365621139</v>
      </c>
      <c r="J54" s="521">
        <f t="shared" si="15"/>
        <v>952.38791755462364</v>
      </c>
      <c r="K54" s="522">
        <f t="shared" si="15"/>
        <v>1056.3304743858641</v>
      </c>
      <c r="L54" s="234"/>
      <c r="N54" s="212"/>
    </row>
    <row r="55" spans="2:15">
      <c r="B55" s="200" t="s">
        <v>343</v>
      </c>
      <c r="C55" s="266" t="s">
        <v>128</v>
      </c>
      <c r="D55" s="731">
        <f>SUM(D53:D54)</f>
        <v>2065.7679889481315</v>
      </c>
      <c r="E55" s="732">
        <f t="shared" ref="E55:K55" si="16">SUM(E53:E54)</f>
        <v>2157.045468895466</v>
      </c>
      <c r="F55" s="732">
        <f t="shared" si="16"/>
        <v>2275.0686309590651</v>
      </c>
      <c r="G55" s="732">
        <f t="shared" si="16"/>
        <v>2371.1553870828693</v>
      </c>
      <c r="H55" s="732">
        <f t="shared" si="16"/>
        <v>2458.9690966980738</v>
      </c>
      <c r="I55" s="732">
        <f t="shared" si="16"/>
        <v>2523.4660104463183</v>
      </c>
      <c r="J55" s="732">
        <f t="shared" si="16"/>
        <v>2721.1083358703536</v>
      </c>
      <c r="K55" s="733">
        <f t="shared" si="16"/>
        <v>3018.0870696738975</v>
      </c>
    </row>
    <row r="56" spans="2:15" s="31" customFormat="1">
      <c r="B56" s="200"/>
      <c r="C56" s="210"/>
      <c r="D56" s="210"/>
      <c r="E56" s="210"/>
      <c r="F56" s="210"/>
      <c r="G56" s="210"/>
      <c r="H56" s="210"/>
      <c r="I56" s="210"/>
      <c r="J56" s="210"/>
      <c r="K56" s="210"/>
      <c r="L56" s="234"/>
      <c r="N56" s="212"/>
    </row>
    <row r="57" spans="2:15" s="31" customFormat="1">
      <c r="B57" s="371" t="s">
        <v>342</v>
      </c>
      <c r="C57" s="266" t="s">
        <v>128</v>
      </c>
      <c r="D57" s="95">
        <f t="shared" ref="D57:K58" si="17">D$35*D49</f>
        <v>34.240104416815271</v>
      </c>
      <c r="E57" s="96">
        <f t="shared" si="17"/>
        <v>33.369493403812861</v>
      </c>
      <c r="F57" s="96">
        <f t="shared" si="17"/>
        <v>32.829240344739311</v>
      </c>
      <c r="G57" s="96">
        <f t="shared" si="17"/>
        <v>29.437894130633818</v>
      </c>
      <c r="H57" s="96">
        <f t="shared" si="17"/>
        <v>25.253612623089222</v>
      </c>
      <c r="I57" s="96">
        <f t="shared" si="17"/>
        <v>17.878756684012167</v>
      </c>
      <c r="J57" s="96">
        <f t="shared" si="17"/>
        <v>13.442275179199546</v>
      </c>
      <c r="K57" s="97">
        <f t="shared" si="17"/>
        <v>7.6508507216233301</v>
      </c>
      <c r="L57" s="234"/>
      <c r="N57" s="212"/>
    </row>
    <row r="58" spans="2:15">
      <c r="B58" s="371" t="s">
        <v>238</v>
      </c>
      <c r="C58" s="266" t="s">
        <v>128</v>
      </c>
      <c r="D58" s="734">
        <f t="shared" si="17"/>
        <v>46.27320295243814</v>
      </c>
      <c r="E58" s="735">
        <f t="shared" si="17"/>
        <v>48.317818503258437</v>
      </c>
      <c r="F58" s="735">
        <f t="shared" si="17"/>
        <v>50.961537333483051</v>
      </c>
      <c r="G58" s="735">
        <f t="shared" si="17"/>
        <v>53.113880670656265</v>
      </c>
      <c r="H58" s="735">
        <f t="shared" si="17"/>
        <v>55.080907766036859</v>
      </c>
      <c r="I58" s="735">
        <f t="shared" si="17"/>
        <v>56.525638633997531</v>
      </c>
      <c r="J58" s="735">
        <f t="shared" si="17"/>
        <v>60.952826723495917</v>
      </c>
      <c r="K58" s="736">
        <f t="shared" si="17"/>
        <v>67.605150360695305</v>
      </c>
    </row>
    <row r="59" spans="2:15">
      <c r="B59" s="200" t="s">
        <v>344</v>
      </c>
      <c r="C59" s="266" t="s">
        <v>128</v>
      </c>
      <c r="D59" s="102">
        <f t="shared" ref="D59:K59" si="18">SUM(D57:D58)</f>
        <v>80.513307369253411</v>
      </c>
      <c r="E59" s="103">
        <f t="shared" si="18"/>
        <v>81.68731190707129</v>
      </c>
      <c r="F59" s="103">
        <f t="shared" si="18"/>
        <v>83.790777678222355</v>
      </c>
      <c r="G59" s="103">
        <f t="shared" si="18"/>
        <v>82.55177480129008</v>
      </c>
      <c r="H59" s="103">
        <f t="shared" si="18"/>
        <v>80.334520389126084</v>
      </c>
      <c r="I59" s="103">
        <f t="shared" si="18"/>
        <v>74.404395318009705</v>
      </c>
      <c r="J59" s="103">
        <f t="shared" si="18"/>
        <v>74.395101902695458</v>
      </c>
      <c r="K59" s="104">
        <f t="shared" si="18"/>
        <v>75.256001082318633</v>
      </c>
    </row>
    <row r="60" spans="2:15">
      <c r="B60" s="14"/>
      <c r="C60" s="235"/>
      <c r="D60" s="235"/>
      <c r="E60" s="235"/>
      <c r="F60" s="235"/>
      <c r="G60" s="235"/>
      <c r="H60" s="235"/>
      <c r="I60" s="235"/>
      <c r="J60" s="235"/>
      <c r="K60" s="235"/>
    </row>
    <row r="61" spans="2:15">
      <c r="B61" s="14"/>
      <c r="C61" s="235"/>
      <c r="D61" s="235"/>
      <c r="E61" s="235"/>
      <c r="F61" s="235"/>
      <c r="G61" s="235"/>
      <c r="H61" s="235"/>
      <c r="I61" s="235"/>
      <c r="J61" s="235"/>
      <c r="K61" s="235"/>
    </row>
    <row r="62" spans="2:15" hidden="1">
      <c r="B62" s="14"/>
      <c r="C62" s="235"/>
      <c r="D62" s="235"/>
      <c r="E62" s="235"/>
      <c r="F62" s="235"/>
      <c r="G62" s="235"/>
      <c r="H62" s="235"/>
      <c r="I62" s="967"/>
      <c r="J62" s="968">
        <f>-SUM('R4 - Totex'!D23:I23)*0.7*0.8</f>
        <v>0.69989239054476915</v>
      </c>
      <c r="K62" s="969" t="s">
        <v>639</v>
      </c>
      <c r="L62" s="961"/>
      <c r="M62" s="961"/>
      <c r="N62" s="970"/>
      <c r="O62" s="971"/>
    </row>
    <row r="63" spans="2:15" hidden="1">
      <c r="B63" s="14"/>
      <c r="C63" s="235"/>
      <c r="D63" s="235"/>
      <c r="E63" s="235"/>
      <c r="F63" s="235"/>
      <c r="G63" s="235"/>
      <c r="H63" s="235"/>
      <c r="I63" s="972"/>
      <c r="J63" s="973"/>
      <c r="K63" s="42"/>
      <c r="L63" s="42"/>
      <c r="M63" s="42"/>
      <c r="N63" s="305"/>
      <c r="O63" s="974"/>
    </row>
    <row r="64" spans="2:15" hidden="1">
      <c r="I64" s="975"/>
      <c r="J64" s="976">
        <f>+J18+J62</f>
        <v>2145.4409168829729</v>
      </c>
      <c r="K64" s="977" t="s">
        <v>640</v>
      </c>
      <c r="L64" s="42"/>
      <c r="M64" s="42"/>
      <c r="N64" s="305"/>
      <c r="O64" s="974"/>
    </row>
    <row r="65" spans="9:15" hidden="1">
      <c r="I65" s="975"/>
      <c r="J65" s="973">
        <f>+J19</f>
        <v>212.32203857234191</v>
      </c>
      <c r="K65" s="42" t="s">
        <v>328</v>
      </c>
      <c r="L65" s="42"/>
      <c r="M65" s="42"/>
      <c r="N65" s="305"/>
      <c r="O65" s="974"/>
    </row>
    <row r="66" spans="9:15" hidden="1">
      <c r="I66" s="975"/>
      <c r="J66" s="973">
        <v>0.58361097367896686</v>
      </c>
      <c r="K66" s="42" t="s">
        <v>335</v>
      </c>
      <c r="L66" s="42"/>
      <c r="M66" s="42"/>
      <c r="N66" s="305"/>
      <c r="O66" s="974"/>
    </row>
    <row r="67" spans="9:15" hidden="1">
      <c r="I67" s="975"/>
      <c r="J67" s="976">
        <f>SUM(J65:J66)</f>
        <v>212.90564954602087</v>
      </c>
      <c r="K67" s="977" t="s">
        <v>641</v>
      </c>
      <c r="L67" s="42"/>
      <c r="M67" s="42"/>
      <c r="N67" s="305"/>
      <c r="O67" s="974"/>
    </row>
    <row r="68" spans="9:15" hidden="1">
      <c r="I68" s="975"/>
      <c r="J68" s="973">
        <f>+J22</f>
        <v>-164.97048963961421</v>
      </c>
      <c r="K68" s="42" t="s">
        <v>329</v>
      </c>
      <c r="L68" s="42"/>
      <c r="M68" s="42"/>
      <c r="N68" s="305"/>
      <c r="O68" s="974"/>
    </row>
    <row r="69" spans="9:15" hidden="1">
      <c r="I69" s="975"/>
      <c r="J69" s="973">
        <v>0</v>
      </c>
      <c r="K69" s="42" t="s">
        <v>330</v>
      </c>
      <c r="L69" s="42"/>
      <c r="M69" s="42"/>
      <c r="N69" s="305"/>
      <c r="O69" s="974"/>
    </row>
    <row r="70" spans="9:15" hidden="1">
      <c r="I70" s="975"/>
      <c r="J70" s="976">
        <f>SUM(J68:J69)</f>
        <v>-164.97048963961421</v>
      </c>
      <c r="K70" s="977" t="s">
        <v>332</v>
      </c>
      <c r="L70" s="42"/>
      <c r="M70" s="42"/>
      <c r="N70" s="305"/>
      <c r="O70" s="974"/>
    </row>
    <row r="71" spans="9:15" hidden="1">
      <c r="I71" s="975"/>
      <c r="J71" s="976">
        <f>+J64+J67+J70</f>
        <v>2193.3760767893796</v>
      </c>
      <c r="K71" s="977" t="s">
        <v>334</v>
      </c>
      <c r="L71" s="42"/>
      <c r="M71" s="42"/>
      <c r="N71" s="305"/>
      <c r="O71" s="974"/>
    </row>
    <row r="72" spans="9:15" hidden="1">
      <c r="I72" s="975"/>
      <c r="J72" s="42"/>
      <c r="K72" s="42"/>
      <c r="L72" s="42"/>
      <c r="M72" s="42"/>
      <c r="N72" s="305"/>
      <c r="O72" s="974"/>
    </row>
    <row r="73" spans="9:15" hidden="1">
      <c r="I73" s="975"/>
      <c r="J73" s="96">
        <f>J75*J42</f>
        <v>1391.1449356692804</v>
      </c>
      <c r="K73" s="42" t="s">
        <v>341</v>
      </c>
      <c r="L73" s="42"/>
      <c r="M73" s="42"/>
      <c r="N73" s="305"/>
      <c r="O73" s="974"/>
    </row>
    <row r="74" spans="9:15" hidden="1">
      <c r="I74" s="975"/>
      <c r="J74" s="521">
        <f>J75*(1-J42)</f>
        <v>749.07804228345856</v>
      </c>
      <c r="K74" s="42" t="s">
        <v>232</v>
      </c>
      <c r="L74" s="42"/>
      <c r="M74" s="42"/>
      <c r="N74" s="305"/>
      <c r="O74" s="974"/>
    </row>
    <row r="75" spans="9:15" hidden="1">
      <c r="I75" s="975"/>
      <c r="J75" s="103">
        <f>AVERAGE(J64,J71*(1/(1+J43)))</f>
        <v>2140.2229779527388</v>
      </c>
      <c r="K75" s="42" t="s">
        <v>231</v>
      </c>
      <c r="L75" s="42"/>
      <c r="M75" s="42"/>
      <c r="N75" s="305"/>
      <c r="O75" s="974"/>
    </row>
    <row r="76" spans="9:15" ht="13.2" hidden="1" thickBot="1">
      <c r="I76" s="978"/>
      <c r="J76" s="962"/>
      <c r="K76" s="962"/>
      <c r="L76" s="962"/>
      <c r="M76" s="962"/>
      <c r="N76" s="979"/>
      <c r="O76" s="980"/>
    </row>
  </sheetData>
  <conditionalFormatting sqref="D6:K6">
    <cfRule type="expression" dxfId="33" priority="13">
      <formula>AND(D$5="Actuals",E$5="Forecast")</formula>
    </cfRule>
  </conditionalFormatting>
  <conditionalFormatting sqref="D5:K5">
    <cfRule type="expression" dxfId="32"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topLeftCell="A43" zoomScale="50" zoomScaleNormal="50" workbookViewId="0">
      <selection activeCell="K75" sqref="K75"/>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17" t="s">
        <v>261</v>
      </c>
      <c r="B1" s="913"/>
      <c r="C1" s="256"/>
      <c r="D1" s="256"/>
      <c r="E1" s="256"/>
      <c r="F1" s="256"/>
      <c r="G1" s="256"/>
      <c r="H1" s="256"/>
      <c r="I1" s="257"/>
      <c r="J1" s="257"/>
      <c r="K1" s="258"/>
      <c r="L1" s="259"/>
    </row>
    <row r="2" spans="1:13" s="31" customFormat="1" ht="21">
      <c r="A2" s="906" t="str">
        <f>'RFPR cover'!C5</f>
        <v>WPD-WMID</v>
      </c>
      <c r="B2" s="898"/>
      <c r="C2" s="29"/>
      <c r="D2" s="29"/>
      <c r="E2" s="29"/>
      <c r="F2" s="29"/>
      <c r="G2" s="29"/>
      <c r="H2" s="29"/>
      <c r="I2" s="27"/>
      <c r="J2" s="27"/>
      <c r="K2" s="27"/>
      <c r="L2" s="123"/>
    </row>
    <row r="3" spans="1:13" s="31" customFormat="1" ht="21">
      <c r="A3" s="909">
        <f>'RFPR cover'!C7</f>
        <v>2022</v>
      </c>
      <c r="B3" s="916"/>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Actuals</v>
      </c>
      <c r="J5" s="389" t="str">
        <f>IF(J6&lt;=('RFPR cover'!$C$7-1),"Actuals","Forecast")</f>
        <v>Forecast</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364</v>
      </c>
      <c r="C8" s="293"/>
      <c r="D8" s="293"/>
      <c r="E8" s="293"/>
      <c r="F8" s="293"/>
      <c r="G8" s="293"/>
      <c r="H8" s="293"/>
      <c r="I8" s="293"/>
      <c r="J8" s="293"/>
      <c r="K8" s="293"/>
      <c r="L8" s="293"/>
    </row>
    <row r="9" spans="1:13" s="2" customFormat="1">
      <c r="B9" s="368" t="s">
        <v>469</v>
      </c>
      <c r="C9" s="293"/>
      <c r="D9" s="293"/>
      <c r="E9" s="293"/>
      <c r="F9" s="293"/>
      <c r="G9" s="293"/>
      <c r="H9" s="293"/>
      <c r="I9" s="293"/>
      <c r="J9" s="293"/>
      <c r="K9" s="293"/>
      <c r="L9" s="293"/>
    </row>
    <row r="10" spans="1:13" s="2" customFormat="1">
      <c r="B10" s="368" t="s">
        <v>365</v>
      </c>
      <c r="C10" s="293"/>
      <c r="D10" s="293"/>
      <c r="E10" s="293"/>
      <c r="F10" s="293"/>
      <c r="G10" s="293"/>
      <c r="H10" s="293"/>
      <c r="I10" s="293"/>
      <c r="J10" s="293"/>
      <c r="K10" s="293"/>
      <c r="L10" s="293"/>
    </row>
    <row r="11" spans="1:13" s="35" customFormat="1">
      <c r="B11" s="428"/>
    </row>
    <row r="12" spans="1:13">
      <c r="B12" s="199" t="s">
        <v>532</v>
      </c>
      <c r="C12" s="266" t="s">
        <v>128</v>
      </c>
      <c r="D12" s="638">
        <v>20.382599999999996</v>
      </c>
      <c r="E12" s="638">
        <v>18.507599999999986</v>
      </c>
      <c r="F12" s="638">
        <v>33.358870000000003</v>
      </c>
      <c r="G12" s="638">
        <v>28.453640000000011</v>
      </c>
      <c r="H12" s="638">
        <v>32.670119999999997</v>
      </c>
      <c r="I12" s="638">
        <v>26.334759999999974</v>
      </c>
      <c r="J12" s="639"/>
      <c r="K12" s="640"/>
    </row>
    <row r="13" spans="1:13">
      <c r="B13" s="14"/>
      <c r="C13" s="14"/>
      <c r="D13" s="737"/>
      <c r="E13" s="737"/>
      <c r="F13" s="737"/>
      <c r="G13" s="737"/>
      <c r="H13" s="737"/>
      <c r="I13" s="737"/>
      <c r="J13" s="737"/>
      <c r="K13" s="737"/>
    </row>
    <row r="14" spans="1:13">
      <c r="B14" s="14" t="s">
        <v>468</v>
      </c>
      <c r="C14" s="266"/>
      <c r="D14" s="737"/>
      <c r="E14" s="737"/>
      <c r="F14" s="737"/>
      <c r="G14" s="737"/>
      <c r="H14" s="737"/>
      <c r="I14" s="737"/>
      <c r="J14" s="737"/>
      <c r="K14" s="737"/>
    </row>
    <row r="15" spans="1:13">
      <c r="B15" s="369" t="s">
        <v>490</v>
      </c>
      <c r="C15" s="266" t="s">
        <v>128</v>
      </c>
      <c r="D15" s="594"/>
      <c r="E15" s="595"/>
      <c r="F15" s="595"/>
      <c r="G15" s="595"/>
      <c r="H15" s="595"/>
      <c r="I15" s="595"/>
      <c r="J15" s="595"/>
      <c r="K15" s="605"/>
    </row>
    <row r="16" spans="1:13">
      <c r="B16" s="430" t="s">
        <v>631</v>
      </c>
      <c r="C16" s="266" t="s">
        <v>128</v>
      </c>
      <c r="D16" s="638">
        <v>0.47107171797475511</v>
      </c>
      <c r="E16" s="638">
        <v>0.42644647084061005</v>
      </c>
      <c r="F16" s="638">
        <v>0.36018490717571361</v>
      </c>
      <c r="G16" s="638">
        <v>0.31336643103889777</v>
      </c>
      <c r="H16" s="638">
        <v>0.27893806487892825</v>
      </c>
      <c r="I16" s="638">
        <v>0.26227884164683246</v>
      </c>
      <c r="J16" s="595"/>
      <c r="K16" s="605"/>
    </row>
    <row r="17" spans="2:12">
      <c r="B17" s="430" t="s">
        <v>632</v>
      </c>
      <c r="C17" s="266" t="s">
        <v>128</v>
      </c>
      <c r="D17" s="638">
        <v>-0.59203293434939164</v>
      </c>
      <c r="E17" s="638">
        <v>-0.43571913127819129</v>
      </c>
      <c r="F17" s="638">
        <v>-0.33594945962880857</v>
      </c>
      <c r="G17" s="638">
        <v>9.0852848282815687E-2</v>
      </c>
      <c r="H17" s="638">
        <v>-0.31171812985802644</v>
      </c>
      <c r="I17" s="638">
        <v>0.43770786545638946</v>
      </c>
      <c r="J17" s="595"/>
      <c r="K17" s="605"/>
    </row>
    <row r="18" spans="2:12">
      <c r="B18" s="430" t="s">
        <v>142</v>
      </c>
      <c r="C18" s="266" t="s">
        <v>128</v>
      </c>
      <c r="D18" s="638">
        <v>-7.8356904753335552E-2</v>
      </c>
      <c r="E18" s="638">
        <v>6.0115816285113421E-3</v>
      </c>
      <c r="F18" s="638">
        <v>-0.11713622391884432</v>
      </c>
      <c r="G18" s="638">
        <v>8.5148948233356586E-2</v>
      </c>
      <c r="H18" s="638">
        <v>0.10676455380404556</v>
      </c>
      <c r="I18" s="638">
        <v>0.12258631121465378</v>
      </c>
      <c r="J18" s="595"/>
      <c r="K18" s="605"/>
    </row>
    <row r="19" spans="2:12">
      <c r="B19" s="268" t="s">
        <v>366</v>
      </c>
      <c r="C19" s="266" t="s">
        <v>128</v>
      </c>
      <c r="D19" s="738">
        <f>SUM(D15:D18)</f>
        <v>-0.19931812112797209</v>
      </c>
      <c r="E19" s="739">
        <f t="shared" ref="E19:K19" si="1">SUM(E15:E18)</f>
        <v>-3.261078809069895E-3</v>
      </c>
      <c r="F19" s="739">
        <f t="shared" si="1"/>
        <v>-9.2900776371939275E-2</v>
      </c>
      <c r="G19" s="739">
        <f t="shared" si="1"/>
        <v>0.48936822755507003</v>
      </c>
      <c r="H19" s="739">
        <f t="shared" si="1"/>
        <v>7.3984488824947375E-2</v>
      </c>
      <c r="I19" s="739">
        <f t="shared" si="1"/>
        <v>0.82257301831787577</v>
      </c>
      <c r="J19" s="739">
        <f t="shared" si="1"/>
        <v>0</v>
      </c>
      <c r="K19" s="740">
        <f t="shared" si="1"/>
        <v>0</v>
      </c>
    </row>
    <row r="20" spans="2:12" s="31" customFormat="1">
      <c r="B20" s="369"/>
      <c r="C20" s="369"/>
      <c r="D20" s="741"/>
      <c r="E20" s="741"/>
      <c r="F20" s="741"/>
      <c r="G20" s="741"/>
      <c r="H20" s="741"/>
      <c r="I20" s="741"/>
      <c r="J20" s="741"/>
      <c r="K20" s="741"/>
      <c r="L20" s="369"/>
    </row>
    <row r="21" spans="2:12">
      <c r="B21" s="14" t="s">
        <v>333</v>
      </c>
      <c r="C21" s="266"/>
      <c r="D21" s="742"/>
      <c r="E21" s="742"/>
      <c r="F21" s="742"/>
      <c r="G21" s="742"/>
      <c r="H21" s="742"/>
      <c r="I21" s="742"/>
      <c r="J21" s="742"/>
      <c r="K21" s="742"/>
      <c r="L21" s="266"/>
    </row>
    <row r="22" spans="2:12">
      <c r="B22" s="369" t="s">
        <v>491</v>
      </c>
      <c r="C22" s="266" t="s">
        <v>128</v>
      </c>
      <c r="D22" s="851">
        <f>('R5 - Output Incentives'!D102)*INDEX(Data!$G$14:$G$30,MATCH('R10 - Tax'!D$6,Data!$C$14:$C$30,0),1)</f>
        <v>7.0481023580610005</v>
      </c>
      <c r="E22" s="852">
        <f>('R5 - Output Incentives'!E102)*INDEX(Data!$G$14:$G$30,MATCH('R10 - Tax'!E$6,Data!$C$14:$C$30,0),1)</f>
        <v>7.7607323944354079</v>
      </c>
      <c r="F22" s="852">
        <f>('R5 - Output Incentives'!F102)*INDEX(Data!$G$14:$G$30,MATCH('R10 - Tax'!F$6,Data!$C$14:$C$30,0),1)</f>
        <v>5.4124905508682781</v>
      </c>
      <c r="G22" s="852">
        <f>('R5 - Output Incentives'!G102)*INDEX(Data!$G$14:$G$30,MATCH('R10 - Tax'!G$6,Data!$C$14:$C$30,0),1)</f>
        <v>5.4921083142709559</v>
      </c>
      <c r="H22" s="854">
        <f>('R5 - Output Incentives'!H102)*INDEX(Data!$G$14:$G$30,MATCH('R10 - Tax'!H$6,Data!$C$14:$C$30,0),1)</f>
        <v>5.8083678811712263</v>
      </c>
      <c r="I22" s="854">
        <f>('R5 - Output Incentives'!I102)*INDEX(Data!$G$14:$G$30,MATCH('R10 - Tax'!I$6,Data!$C$14:$C$30,0),1)</f>
        <v>5.9742923881593661</v>
      </c>
      <c r="J22" s="854">
        <f>('R5 - Output Incentives'!J102)*INDEX(Data!$G$14:$G$30,MATCH('R10 - Tax'!J$6,Data!$C$14:$C$30,0),1)</f>
        <v>5.7959646189652219</v>
      </c>
      <c r="K22" s="855">
        <f>('R5 - Output Incentives'!K102)*INDEX(Data!$G$14:$G$30,MATCH('R10 - Tax'!K$6,Data!$C$14:$C$30,0),1)</f>
        <v>6.038200552541209</v>
      </c>
    </row>
    <row r="23" spans="2:12">
      <c r="B23" s="369" t="s">
        <v>492</v>
      </c>
      <c r="C23" s="266" t="s">
        <v>128</v>
      </c>
      <c r="D23" s="598">
        <f>('R4 - Totex'!D77-'R4 - Totex'!D79)*D40</f>
        <v>1.3800873835563356</v>
      </c>
      <c r="E23" s="600">
        <f>('R4 - Totex'!E77-'R4 - Totex'!E79)*E40</f>
        <v>1.4115469936448415</v>
      </c>
      <c r="F23" s="600">
        <f>('R4 - Totex'!F77-'R4 - Totex'!F79)*F40</f>
        <v>1.3511492795807538</v>
      </c>
      <c r="G23" s="600">
        <f>('R4 - Totex'!G77-'R4 - Totex'!G79)*G40</f>
        <v>1.4169632694592209</v>
      </c>
      <c r="H23" s="856">
        <f>('R4 - Totex'!H77-'R4 - Totex'!H79)*H40</f>
        <v>1.4978790148287668</v>
      </c>
      <c r="I23" s="856">
        <f>('R4 - Totex'!I77-'R4 - Totex'!I79)*I40</f>
        <v>1.5434766794922383</v>
      </c>
      <c r="J23" s="856">
        <f>('R4 - Totex'!J77-'R4 - Totex'!J79)*J40</f>
        <v>1.6179624071203023</v>
      </c>
      <c r="K23" s="857">
        <f>('R4 - Totex'!K77-'R4 - Totex'!K79)*K40</f>
        <v>1.7702097079851726</v>
      </c>
    </row>
    <row r="24" spans="2:12">
      <c r="B24" s="369" t="s">
        <v>493</v>
      </c>
      <c r="C24" s="266" t="s">
        <v>128</v>
      </c>
      <c r="D24" s="596">
        <v>0.32146882236141161</v>
      </c>
      <c r="E24" s="596">
        <v>6.2741382475988416</v>
      </c>
      <c r="F24" s="596">
        <v>-0.17443181814604458</v>
      </c>
      <c r="G24" s="596">
        <v>8.6308928480806402E-2</v>
      </c>
      <c r="H24" s="596">
        <v>-2.1041006864441707</v>
      </c>
      <c r="I24" s="596">
        <v>-5.2528822001158462</v>
      </c>
      <c r="J24" s="597"/>
      <c r="K24" s="606"/>
    </row>
    <row r="25" spans="2:12">
      <c r="B25" s="369" t="s">
        <v>494</v>
      </c>
      <c r="C25" s="266" t="s">
        <v>128</v>
      </c>
      <c r="D25" s="596"/>
      <c r="E25" s="597"/>
      <c r="F25" s="597"/>
      <c r="G25" s="597"/>
      <c r="H25" s="597"/>
      <c r="I25" s="597"/>
      <c r="J25" s="597"/>
      <c r="K25" s="606"/>
    </row>
    <row r="26" spans="2:12">
      <c r="B26" s="369" t="s">
        <v>495</v>
      </c>
      <c r="C26" s="266" t="s">
        <v>128</v>
      </c>
      <c r="D26" s="596"/>
      <c r="E26" s="597"/>
      <c r="F26" s="597"/>
      <c r="G26" s="597"/>
      <c r="H26" s="597"/>
      <c r="I26" s="597"/>
      <c r="J26" s="597"/>
      <c r="K26" s="606"/>
    </row>
    <row r="27" spans="2:12">
      <c r="B27" s="369" t="s">
        <v>496</v>
      </c>
      <c r="C27" s="266" t="s">
        <v>128</v>
      </c>
      <c r="D27" s="596"/>
      <c r="E27" s="597"/>
      <c r="F27" s="597"/>
      <c r="G27" s="597"/>
      <c r="H27" s="597"/>
      <c r="I27" s="597"/>
      <c r="J27" s="597"/>
      <c r="K27" s="606"/>
    </row>
    <row r="28" spans="2:12">
      <c r="B28" s="369" t="s">
        <v>573</v>
      </c>
      <c r="C28" s="266" t="s">
        <v>128</v>
      </c>
      <c r="D28" s="596">
        <v>-6.4223404505124801E-2</v>
      </c>
      <c r="E28" s="596">
        <v>1.1104480978076292</v>
      </c>
      <c r="F28" s="596">
        <v>-0.35833737547610633</v>
      </c>
      <c r="G28" s="596">
        <v>0.30541420574700195</v>
      </c>
      <c r="H28" s="596">
        <v>0.1213563465930152</v>
      </c>
      <c r="I28" s="596">
        <v>-0.56427110070565512</v>
      </c>
      <c r="J28" s="597"/>
      <c r="K28" s="606"/>
    </row>
    <row r="29" spans="2:12">
      <c r="B29" s="430" t="s">
        <v>633</v>
      </c>
      <c r="C29" s="266" t="s">
        <v>128</v>
      </c>
      <c r="D29" s="596">
        <v>1.9073689576744561</v>
      </c>
      <c r="E29" s="596">
        <v>0.36411939335078158</v>
      </c>
      <c r="F29" s="596">
        <v>-2.0436530516942151</v>
      </c>
      <c r="G29" s="596">
        <v>-0.24645887200134592</v>
      </c>
      <c r="H29" s="596">
        <v>1.1283899102302453</v>
      </c>
      <c r="I29" s="596">
        <v>1.2303004861073656</v>
      </c>
      <c r="J29" s="597"/>
      <c r="K29" s="606"/>
    </row>
    <row r="30" spans="2:12">
      <c r="B30" s="430" t="s">
        <v>388</v>
      </c>
      <c r="C30" s="266" t="s">
        <v>128</v>
      </c>
      <c r="D30" s="596">
        <v>0.30232691298962688</v>
      </c>
      <c r="E30" s="596">
        <v>0.31442758776717106</v>
      </c>
      <c r="F30" s="596">
        <v>0.8330414664621697</v>
      </c>
      <c r="G30" s="596">
        <v>1.9527422883537571</v>
      </c>
      <c r="H30" s="596">
        <v>2.3537517272815656</v>
      </c>
      <c r="I30" s="596">
        <v>1.6030159479725357</v>
      </c>
      <c r="J30" s="597"/>
      <c r="K30" s="606"/>
    </row>
    <row r="31" spans="2:12">
      <c r="B31" s="430" t="s">
        <v>587</v>
      </c>
      <c r="C31" s="266" t="s">
        <v>128</v>
      </c>
      <c r="D31" s="596">
        <v>-2.5162061268745353</v>
      </c>
      <c r="E31" s="596">
        <v>-1.9070527922753542</v>
      </c>
      <c r="F31" s="596">
        <v>0</v>
      </c>
      <c r="G31" s="596">
        <v>0</v>
      </c>
      <c r="H31" s="596">
        <v>0</v>
      </c>
      <c r="I31" s="596">
        <v>0</v>
      </c>
      <c r="J31" s="597"/>
      <c r="K31" s="606"/>
    </row>
    <row r="32" spans="2:12">
      <c r="B32" s="430" t="s">
        <v>634</v>
      </c>
      <c r="C32" s="266" t="s">
        <v>128</v>
      </c>
      <c r="D32" s="596">
        <v>1.8752627585419096E-2</v>
      </c>
      <c r="E32" s="596">
        <v>2.1813914707414533E-2</v>
      </c>
      <c r="F32" s="596">
        <v>2.4742819167295454E-2</v>
      </c>
      <c r="G32" s="596">
        <v>2.9852867553602003E-2</v>
      </c>
      <c r="H32" s="596">
        <v>3.6145520088523175E-2</v>
      </c>
      <c r="I32" s="596">
        <v>4.3402341223909902E-2</v>
      </c>
      <c r="J32" s="597"/>
      <c r="K32" s="606"/>
    </row>
    <row r="33" spans="2:13">
      <c r="B33" s="430" t="s">
        <v>635</v>
      </c>
      <c r="C33" s="266"/>
      <c r="D33" s="596">
        <v>-1.772259700814524</v>
      </c>
      <c r="E33" s="596">
        <v>-0.66429012149207911</v>
      </c>
      <c r="F33" s="596">
        <v>0.52666634500251863</v>
      </c>
      <c r="G33" s="596">
        <v>-0.36139966948557972</v>
      </c>
      <c r="H33" s="596">
        <v>-1.4802539590689459</v>
      </c>
      <c r="I33" s="596">
        <v>-1.5796304477327003</v>
      </c>
      <c r="J33" s="608"/>
      <c r="K33" s="609"/>
    </row>
    <row r="34" spans="2:13">
      <c r="B34" s="430" t="s">
        <v>636</v>
      </c>
      <c r="C34" s="266" t="s">
        <v>128</v>
      </c>
      <c r="D34" s="607">
        <v>0</v>
      </c>
      <c r="E34" s="607">
        <v>-2.0423501682617</v>
      </c>
      <c r="F34" s="607">
        <v>1.9845402092947539</v>
      </c>
      <c r="G34" s="607">
        <v>5.9331746501692872E-2</v>
      </c>
      <c r="H34" s="607">
        <v>0.19849409347482919</v>
      </c>
      <c r="I34" s="607">
        <v>-0.11124364752319112</v>
      </c>
      <c r="J34" s="608"/>
      <c r="K34" s="609"/>
    </row>
    <row r="35" spans="2:13">
      <c r="B35" s="14" t="s">
        <v>177</v>
      </c>
      <c r="C35" s="266" t="s">
        <v>128</v>
      </c>
      <c r="D35" s="743">
        <f t="shared" ref="D35:K35" si="2">SUM(D22:D34)</f>
        <v>6.6254178300340678</v>
      </c>
      <c r="E35" s="744">
        <f t="shared" si="2"/>
        <v>12.643533547282949</v>
      </c>
      <c r="F35" s="744">
        <f t="shared" si="2"/>
        <v>7.5562084250594035</v>
      </c>
      <c r="G35" s="744">
        <f t="shared" si="2"/>
        <v>8.734863078880112</v>
      </c>
      <c r="H35" s="744">
        <f t="shared" si="2"/>
        <v>7.560029848155053</v>
      </c>
      <c r="I35" s="744">
        <f t="shared" si="2"/>
        <v>2.8864604468780235</v>
      </c>
      <c r="J35" s="744">
        <f t="shared" si="2"/>
        <v>7.4139270260855241</v>
      </c>
      <c r="K35" s="745">
        <f t="shared" si="2"/>
        <v>7.8084102605263812</v>
      </c>
    </row>
    <row r="37" spans="2:13" ht="12.75" customHeight="1">
      <c r="B37" s="817" t="s">
        <v>503</v>
      </c>
      <c r="C37" s="266" t="s">
        <v>128</v>
      </c>
      <c r="D37" s="638"/>
      <c r="E37" s="638"/>
      <c r="F37" s="639"/>
      <c r="G37" s="639"/>
      <c r="H37" s="639"/>
      <c r="I37" s="639"/>
      <c r="J37" s="591">
        <v>27.523815829135586</v>
      </c>
      <c r="K37" s="591">
        <v>30.315622605341645</v>
      </c>
    </row>
    <row r="38" spans="2:13" ht="12.75" customHeight="1">
      <c r="B38" s="817" t="s">
        <v>472</v>
      </c>
      <c r="C38" s="266" t="s">
        <v>128</v>
      </c>
      <c r="D38" s="743">
        <f t="shared" ref="D38:K38" si="3">D12+D37-D19-D35</f>
        <v>13.956500291093903</v>
      </c>
      <c r="E38" s="744">
        <f>E12+E37-E19-E35</f>
        <v>5.867327531526108</v>
      </c>
      <c r="F38" s="744">
        <f>F12+F37-F19-F35</f>
        <v>25.895562351312542</v>
      </c>
      <c r="G38" s="744">
        <f>G12+G37-G19-G35</f>
        <v>19.229408693564828</v>
      </c>
      <c r="H38" s="744">
        <f t="shared" si="3"/>
        <v>25.036105663019995</v>
      </c>
      <c r="I38" s="744">
        <f t="shared" si="3"/>
        <v>22.625726534804077</v>
      </c>
      <c r="J38" s="744">
        <f t="shared" si="3"/>
        <v>20.109888803050062</v>
      </c>
      <c r="K38" s="745">
        <f t="shared" si="3"/>
        <v>22.507212344815265</v>
      </c>
    </row>
    <row r="39" spans="2:13" ht="12.75" customHeight="1">
      <c r="B39" s="481"/>
      <c r="C39" s="266"/>
      <c r="D39" s="266"/>
      <c r="E39" s="266"/>
      <c r="F39" s="266"/>
      <c r="G39" s="266"/>
      <c r="H39" s="266"/>
      <c r="I39" s="266"/>
      <c r="J39" s="266"/>
      <c r="K39" s="266"/>
    </row>
    <row r="40" spans="2:13">
      <c r="B40" s="37" t="s">
        <v>480</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1.2717196280780627</v>
      </c>
      <c r="K40" s="112">
        <f>Data!J$34</f>
        <v>1.3772723572085417</v>
      </c>
      <c r="L40" s="266"/>
    </row>
    <row r="41" spans="2:13">
      <c r="B41" s="199"/>
      <c r="C41" s="266"/>
      <c r="D41" s="266"/>
      <c r="E41" s="266"/>
      <c r="F41" s="266"/>
      <c r="G41" s="266"/>
      <c r="H41" s="266"/>
      <c r="I41" s="266"/>
      <c r="J41" s="266"/>
      <c r="K41" s="266"/>
    </row>
    <row r="42" spans="2:13">
      <c r="B42" s="543" t="s">
        <v>473</v>
      </c>
      <c r="C42" s="396" t="str">
        <f>'RFPR cover'!$C$14</f>
        <v>£m 12/13</v>
      </c>
      <c r="D42" s="782">
        <f t="shared" ref="D42:K42" si="4">D38/D40</f>
        <v>13.162576498453939</v>
      </c>
      <c r="E42" s="783">
        <f t="shared" si="4"/>
        <v>5.4174781267968477</v>
      </c>
      <c r="F42" s="783">
        <f t="shared" si="4"/>
        <v>23.047698569366467</v>
      </c>
      <c r="G42" s="783">
        <f t="shared" si="4"/>
        <v>16.607210428572348</v>
      </c>
      <c r="H42" s="783">
        <f t="shared" si="4"/>
        <v>21.076476053355734</v>
      </c>
      <c r="I42" s="783">
        <f t="shared" si="4"/>
        <v>18.819070935567851</v>
      </c>
      <c r="J42" s="783">
        <f t="shared" si="4"/>
        <v>15.813146513624185</v>
      </c>
      <c r="K42" s="784">
        <f t="shared" si="4"/>
        <v>16.341874740325817</v>
      </c>
    </row>
    <row r="43" spans="2:13">
      <c r="B43" s="817"/>
      <c r="C43" s="817"/>
      <c r="D43" s="817"/>
      <c r="E43" s="817"/>
      <c r="F43" s="817"/>
      <c r="G43" s="817"/>
      <c r="H43" s="817"/>
      <c r="I43" s="817"/>
      <c r="J43" s="817"/>
      <c r="K43" s="817"/>
    </row>
    <row r="44" spans="2:13">
      <c r="B44" s="825" t="s">
        <v>453</v>
      </c>
      <c r="C44" s="210"/>
      <c r="D44" s="210"/>
      <c r="E44" s="210"/>
      <c r="F44" s="210"/>
      <c r="G44" s="210"/>
      <c r="H44" s="210"/>
      <c r="I44" s="210"/>
      <c r="J44" s="210"/>
      <c r="K44" s="210"/>
    </row>
    <row r="45" spans="2:13">
      <c r="B45" s="368" t="s">
        <v>441</v>
      </c>
      <c r="C45" s="431"/>
      <c r="D45" s="431"/>
      <c r="E45" s="431"/>
      <c r="F45" s="431"/>
      <c r="G45" s="431"/>
      <c r="H45" s="431"/>
      <c r="I45" s="431"/>
      <c r="J45" s="431"/>
      <c r="K45" s="431"/>
      <c r="L45" s="431"/>
      <c r="M45" s="431"/>
    </row>
    <row r="47" spans="2:13" ht="12.75" customHeight="1">
      <c r="B47" s="213" t="s">
        <v>115</v>
      </c>
      <c r="C47" s="155" t="s">
        <v>7</v>
      </c>
      <c r="D47" s="887">
        <f>'RFPR cover'!$C$12</f>
        <v>0.65</v>
      </c>
      <c r="E47" s="888">
        <f>'RFPR cover'!$C$12</f>
        <v>0.65</v>
      </c>
      <c r="F47" s="888">
        <f>'RFPR cover'!$C$12</f>
        <v>0.65</v>
      </c>
      <c r="G47" s="888">
        <f>'RFPR cover'!$C$12</f>
        <v>0.65</v>
      </c>
      <c r="H47" s="888">
        <f>'RFPR cover'!$C$12</f>
        <v>0.65</v>
      </c>
      <c r="I47" s="888">
        <f>'RFPR cover'!$C$12</f>
        <v>0.65</v>
      </c>
      <c r="J47" s="888">
        <f>'RFPR cover'!$C$12</f>
        <v>0.65</v>
      </c>
      <c r="K47" s="889">
        <f>'RFPR cover'!$C$12</f>
        <v>0.65</v>
      </c>
    </row>
    <row r="48" spans="2:13" ht="12.75" customHeight="1">
      <c r="B48" s="213" t="s">
        <v>403</v>
      </c>
      <c r="C48" s="155" t="s">
        <v>7</v>
      </c>
      <c r="D48" s="887">
        <f>'R8 - Net Debt'!D57</f>
        <v>0.63017798050050566</v>
      </c>
      <c r="E48" s="888">
        <f>'R8 - Net Debt'!E57</f>
        <v>0.6303993776169724</v>
      </c>
      <c r="F48" s="888">
        <f>'R8 - Net Debt'!F57</f>
        <v>0.63081176928366989</v>
      </c>
      <c r="G48" s="888">
        <f>'R8 - Net Debt'!G57</f>
        <v>0.61183781229972867</v>
      </c>
      <c r="H48" s="888">
        <f>'R8 - Net Debt'!H57</f>
        <v>0.59987115227978582</v>
      </c>
      <c r="I48" s="888">
        <f>'R8 - Net Debt'!I57</f>
        <v>0.59303049478409819</v>
      </c>
      <c r="J48" s="888">
        <f>'R8 - Net Debt'!J57</f>
        <v>0.55297140947298684</v>
      </c>
      <c r="K48" s="889">
        <f>'R8 - Net Debt'!K57</f>
        <v>0.5002531223511173</v>
      </c>
    </row>
    <row r="49" spans="2:14" ht="12.75" customHeight="1">
      <c r="B49" s="213"/>
      <c r="C49" s="155"/>
      <c r="D49" s="155"/>
      <c r="E49" s="155"/>
      <c r="F49" s="155"/>
      <c r="G49" s="155"/>
      <c r="H49" s="155"/>
      <c r="I49" s="155"/>
      <c r="J49" s="155"/>
      <c r="K49" s="155"/>
      <c r="L49" s="155"/>
    </row>
    <row r="50" spans="2:14" ht="12.75" customHeight="1">
      <c r="B50" s="817" t="s">
        <v>473</v>
      </c>
      <c r="C50" s="266" t="s">
        <v>128</v>
      </c>
      <c r="D50" s="782">
        <f>D38</f>
        <v>13.956500291093903</v>
      </c>
      <c r="E50" s="782">
        <f t="shared" ref="E50:K50" si="5">E38</f>
        <v>5.867327531526108</v>
      </c>
      <c r="F50" s="782">
        <f t="shared" si="5"/>
        <v>25.895562351312542</v>
      </c>
      <c r="G50" s="782">
        <f t="shared" si="5"/>
        <v>19.229408693564828</v>
      </c>
      <c r="H50" s="782">
        <f t="shared" si="5"/>
        <v>25.036105663019995</v>
      </c>
      <c r="I50" s="782">
        <f t="shared" si="5"/>
        <v>22.625726534804077</v>
      </c>
      <c r="J50" s="782">
        <f t="shared" si="5"/>
        <v>20.109888803050062</v>
      </c>
      <c r="K50" s="782">
        <f t="shared" si="5"/>
        <v>22.507212344815265</v>
      </c>
    </row>
    <row r="51" spans="2:14">
      <c r="B51" s="213" t="s">
        <v>454</v>
      </c>
      <c r="C51" s="266" t="s">
        <v>128</v>
      </c>
      <c r="D51" s="782">
        <f>D86-D88</f>
        <v>-0.38865712492365301</v>
      </c>
      <c r="E51" s="782">
        <f t="shared" ref="E51:K51" si="6">E86-E88</f>
        <v>-0.28347745751732267</v>
      </c>
      <c r="F51" s="782">
        <f t="shared" si="6"/>
        <v>-0.13878420329052021</v>
      </c>
      <c r="G51" s="782">
        <f t="shared" si="6"/>
        <v>-0.40288812416308151</v>
      </c>
      <c r="H51" s="782">
        <f t="shared" si="6"/>
        <v>-0.64282620944299795</v>
      </c>
      <c r="I51" s="782">
        <f t="shared" si="6"/>
        <v>-1.1054542190330583</v>
      </c>
      <c r="J51" s="782">
        <f t="shared" si="6"/>
        <v>0.15365038720510293</v>
      </c>
      <c r="K51" s="782">
        <f t="shared" si="6"/>
        <v>2.334874771599857</v>
      </c>
      <c r="L51" s="266"/>
    </row>
    <row r="52" spans="2:14" s="31" customFormat="1">
      <c r="B52" s="826" t="s">
        <v>411</v>
      </c>
      <c r="C52" s="266" t="s">
        <v>128</v>
      </c>
      <c r="D52" s="743">
        <f>SUM(D50:D51)</f>
        <v>13.567843166170249</v>
      </c>
      <c r="E52" s="744">
        <f t="shared" ref="E52:K52" si="7">SUM(E50:E51)</f>
        <v>5.5838500740087849</v>
      </c>
      <c r="F52" s="744">
        <f t="shared" si="7"/>
        <v>25.756778148022022</v>
      </c>
      <c r="G52" s="744">
        <f t="shared" si="7"/>
        <v>18.826520569401747</v>
      </c>
      <c r="H52" s="744">
        <f t="shared" si="7"/>
        <v>24.393279453576998</v>
      </c>
      <c r="I52" s="744">
        <f t="shared" si="7"/>
        <v>21.520272315771017</v>
      </c>
      <c r="J52" s="744">
        <f t="shared" si="7"/>
        <v>20.263539190255166</v>
      </c>
      <c r="K52" s="745">
        <f t="shared" si="7"/>
        <v>24.842087116415122</v>
      </c>
      <c r="L52" s="802"/>
    </row>
    <row r="54" spans="2:14">
      <c r="B54" s="826" t="s">
        <v>411</v>
      </c>
      <c r="C54" s="396" t="str">
        <f>'RFPR cover'!$C$14</f>
        <v>£m 12/13</v>
      </c>
      <c r="D54" s="743">
        <f>D52/D40</f>
        <v>12.796028364482181</v>
      </c>
      <c r="E54" s="744">
        <f t="shared" ref="E54:K54" si="8">E52/E40</f>
        <v>5.1557349537272801</v>
      </c>
      <c r="F54" s="744">
        <f t="shared" si="8"/>
        <v>22.924177155147497</v>
      </c>
      <c r="G54" s="744">
        <f t="shared" si="8"/>
        <v>16.259261723348345</v>
      </c>
      <c r="H54" s="744">
        <f t="shared" si="8"/>
        <v>20.535317160988267</v>
      </c>
      <c r="I54" s="744">
        <f t="shared" si="8"/>
        <v>17.899603384680383</v>
      </c>
      <c r="J54" s="744">
        <f t="shared" si="8"/>
        <v>15.933967474323921</v>
      </c>
      <c r="K54" s="745">
        <f t="shared" si="8"/>
        <v>18.037163808881719</v>
      </c>
    </row>
    <row r="55" spans="2:14">
      <c r="B55" s="826"/>
      <c r="C55" s="396"/>
      <c r="D55" s="396"/>
      <c r="E55" s="396"/>
      <c r="F55" s="396"/>
      <c r="G55" s="396"/>
      <c r="H55" s="396"/>
      <c r="I55" s="396"/>
      <c r="J55" s="396"/>
      <c r="K55" s="396"/>
    </row>
    <row r="57" spans="2:14">
      <c r="B57" s="785" t="s">
        <v>377</v>
      </c>
      <c r="C57" s="786"/>
      <c r="D57" s="786"/>
      <c r="E57" s="786"/>
      <c r="F57" s="786"/>
      <c r="G57" s="786"/>
      <c r="H57" s="786"/>
      <c r="I57" s="786"/>
      <c r="J57" s="786"/>
      <c r="K57" s="786"/>
      <c r="L57" s="786"/>
      <c r="M57" s="489"/>
    </row>
    <row r="58" spans="2:14" s="31" customFormat="1">
      <c r="B58" s="490"/>
      <c r="C58" s="489"/>
      <c r="D58" s="489"/>
      <c r="E58" s="489"/>
      <c r="F58" s="489"/>
      <c r="G58" s="489"/>
      <c r="H58" s="489"/>
      <c r="I58" s="489"/>
      <c r="J58" s="489"/>
      <c r="K58" s="489"/>
      <c r="L58" s="489"/>
      <c r="M58" s="489"/>
    </row>
    <row r="59" spans="2:14">
      <c r="B59" s="367" t="s">
        <v>474</v>
      </c>
      <c r="C59" s="293"/>
      <c r="D59" s="293"/>
      <c r="E59" s="293"/>
      <c r="F59" s="293"/>
      <c r="G59" s="293"/>
      <c r="H59" s="293"/>
      <c r="I59" s="293"/>
      <c r="J59" s="293"/>
      <c r="K59" s="293"/>
      <c r="L59" s="293"/>
      <c r="M59" s="200"/>
      <c r="N59" s="200"/>
    </row>
    <row r="60" spans="2:14" s="31" customFormat="1">
      <c r="B60" s="372"/>
      <c r="C60" s="35"/>
      <c r="D60" s="35"/>
      <c r="E60" s="35"/>
      <c r="F60" s="35"/>
      <c r="G60" s="35"/>
      <c r="H60" s="35"/>
      <c r="I60" s="35"/>
      <c r="J60" s="35"/>
      <c r="K60" s="35"/>
      <c r="L60" s="35"/>
      <c r="M60" s="37"/>
      <c r="N60" s="37"/>
    </row>
    <row r="61" spans="2:14">
      <c r="B61" s="200" t="s">
        <v>376</v>
      </c>
      <c r="C61" s="210" t="str">
        <f>'RFPR cover'!$C$14</f>
        <v>£m 12/13</v>
      </c>
      <c r="D61" s="582">
        <v>12.25790398904048</v>
      </c>
      <c r="E61" s="582">
        <v>10.663836532511056</v>
      </c>
      <c r="F61" s="582">
        <v>19.21351332995847</v>
      </c>
      <c r="G61" s="582">
        <v>16.624099786647292</v>
      </c>
      <c r="H61" s="582">
        <v>17.359925433570762</v>
      </c>
      <c r="I61" s="582">
        <v>17.128730427051021</v>
      </c>
      <c r="J61" s="582">
        <v>13.280581642975569</v>
      </c>
      <c r="K61" s="582">
        <v>11.470351100548188</v>
      </c>
    </row>
    <row r="62" spans="2:14">
      <c r="B62" s="200" t="s">
        <v>379</v>
      </c>
      <c r="C62" s="210" t="str">
        <f>'RFPR cover'!$C$14</f>
        <v>£m 12/13</v>
      </c>
      <c r="D62" s="590"/>
      <c r="E62" s="591"/>
      <c r="F62" s="591"/>
      <c r="G62" s="591"/>
      <c r="H62" s="591"/>
      <c r="I62" s="591"/>
      <c r="J62" s="591"/>
      <c r="K62" s="683"/>
    </row>
    <row r="63" spans="2:14">
      <c r="B63" s="200" t="s">
        <v>380</v>
      </c>
      <c r="C63" s="210" t="str">
        <f>'RFPR cover'!$C$14</f>
        <v>£m 12/13</v>
      </c>
      <c r="D63" s="646">
        <f t="shared" ref="D63:K63" si="9">SUM(D61:D62)</f>
        <v>12.25790398904048</v>
      </c>
      <c r="E63" s="647">
        <f t="shared" si="9"/>
        <v>10.663836532511056</v>
      </c>
      <c r="F63" s="647">
        <f t="shared" si="9"/>
        <v>19.21351332995847</v>
      </c>
      <c r="G63" s="647">
        <f t="shared" si="9"/>
        <v>16.624099786647292</v>
      </c>
      <c r="H63" s="647">
        <f t="shared" si="9"/>
        <v>17.359925433570762</v>
      </c>
      <c r="I63" s="647">
        <f t="shared" si="9"/>
        <v>17.128730427051021</v>
      </c>
      <c r="J63" s="647">
        <f t="shared" si="9"/>
        <v>13.280581642975569</v>
      </c>
      <c r="K63" s="648">
        <f t="shared" si="9"/>
        <v>11.470351100548188</v>
      </c>
    </row>
    <row r="64" spans="2:14">
      <c r="B64" s="200"/>
      <c r="C64" s="210"/>
      <c r="D64" s="210"/>
      <c r="E64" s="210"/>
      <c r="F64" s="210"/>
      <c r="G64" s="210"/>
      <c r="H64" s="210"/>
      <c r="I64" s="210"/>
      <c r="J64" s="210"/>
      <c r="K64" s="210"/>
      <c r="L64" s="210"/>
    </row>
    <row r="65" spans="2:13">
      <c r="B65" s="511" t="s">
        <v>475</v>
      </c>
      <c r="C65" s="293"/>
      <c r="D65" s="293"/>
      <c r="E65" s="293"/>
      <c r="F65" s="293"/>
      <c r="G65" s="293"/>
      <c r="H65" s="293"/>
      <c r="I65" s="293"/>
      <c r="J65" s="293"/>
      <c r="K65" s="293"/>
      <c r="L65" s="293"/>
    </row>
    <row r="66" spans="2:13" s="31" customFormat="1">
      <c r="B66" s="512"/>
      <c r="C66" s="35"/>
      <c r="D66" s="35"/>
      <c r="E66" s="35"/>
      <c r="F66" s="35"/>
      <c r="G66" s="35"/>
      <c r="H66" s="35"/>
      <c r="I66" s="35"/>
      <c r="J66" s="35"/>
      <c r="K66" s="35"/>
      <c r="L66" s="35"/>
    </row>
    <row r="67" spans="2:13">
      <c r="B67" s="200" t="s">
        <v>367</v>
      </c>
      <c r="C67" s="210" t="str">
        <f>'RFPR cover'!$C$14</f>
        <v>£m 12/13</v>
      </c>
      <c r="D67" s="582">
        <v>12.256857616551153</v>
      </c>
      <c r="E67" s="582">
        <v>10.663465505073409</v>
      </c>
      <c r="F67" s="582">
        <v>19.21293774752375</v>
      </c>
      <c r="G67" s="582">
        <v>16.623663999365917</v>
      </c>
      <c r="H67" s="582">
        <v>17.358941116191641</v>
      </c>
      <c r="I67" s="582">
        <v>17.112062538606057</v>
      </c>
      <c r="J67" s="582">
        <v>12.664306252525783</v>
      </c>
      <c r="K67" s="582">
        <v>7.2497244978629825</v>
      </c>
    </row>
    <row r="68" spans="2:13">
      <c r="B68" s="200" t="s">
        <v>382</v>
      </c>
      <c r="C68" s="210" t="str">
        <f>'RFPR cover'!$C$14</f>
        <v>£m 12/13</v>
      </c>
      <c r="D68" s="590"/>
      <c r="E68" s="591"/>
      <c r="F68" s="591"/>
      <c r="G68" s="591"/>
      <c r="H68" s="591"/>
      <c r="I68" s="591"/>
      <c r="J68" s="591"/>
      <c r="K68" s="683"/>
    </row>
    <row r="69" spans="2:13">
      <c r="B69" s="14" t="s">
        <v>383</v>
      </c>
      <c r="C69" s="210" t="str">
        <f>'RFPR cover'!$C$14</f>
        <v>£m 12/13</v>
      </c>
      <c r="D69" s="610">
        <f t="shared" ref="D69:K69" si="10">SUM(D67:D68)</f>
        <v>12.256857616551153</v>
      </c>
      <c r="E69" s="611">
        <f t="shared" si="10"/>
        <v>10.663465505073409</v>
      </c>
      <c r="F69" s="611">
        <f t="shared" si="10"/>
        <v>19.21293774752375</v>
      </c>
      <c r="G69" s="611">
        <f t="shared" si="10"/>
        <v>16.623663999365917</v>
      </c>
      <c r="H69" s="611">
        <f t="shared" si="10"/>
        <v>17.358941116191641</v>
      </c>
      <c r="I69" s="611">
        <f t="shared" si="10"/>
        <v>17.112062538606057</v>
      </c>
      <c r="J69" s="611">
        <f t="shared" si="10"/>
        <v>12.664306252525783</v>
      </c>
      <c r="K69" s="612">
        <f t="shared" si="10"/>
        <v>7.2497244978629825</v>
      </c>
    </row>
    <row r="70" spans="2:13" s="31" customFormat="1">
      <c r="B70" s="512"/>
      <c r="C70" s="35"/>
      <c r="D70" s="746"/>
      <c r="E70" s="746"/>
      <c r="F70" s="746"/>
      <c r="G70" s="746"/>
      <c r="H70" s="746"/>
      <c r="I70" s="746"/>
      <c r="J70" s="746"/>
      <c r="K70" s="746"/>
      <c r="L70" s="35"/>
    </row>
    <row r="71" spans="2:13" s="31" customFormat="1">
      <c r="B71" s="513" t="s">
        <v>381</v>
      </c>
      <c r="C71" s="35"/>
      <c r="D71" s="701">
        <f t="shared" ref="D71:K71" si="11">D69-D63</f>
        <v>-1.046372489327041E-3</v>
      </c>
      <c r="E71" s="702">
        <f t="shared" si="11"/>
        <v>-3.7102743764627633E-4</v>
      </c>
      <c r="F71" s="702">
        <f t="shared" si="11"/>
        <v>-5.7558243472044524E-4</v>
      </c>
      <c r="G71" s="702">
        <f t="shared" si="11"/>
        <v>-4.3578728137561029E-4</v>
      </c>
      <c r="H71" s="702">
        <f t="shared" si="11"/>
        <v>-9.8431737912108019E-4</v>
      </c>
      <c r="I71" s="702">
        <f t="shared" si="11"/>
        <v>-1.6667888444963808E-2</v>
      </c>
      <c r="J71" s="702">
        <f t="shared" si="11"/>
        <v>-0.61627539044978619</v>
      </c>
      <c r="K71" s="703">
        <f t="shared" si="11"/>
        <v>-4.2206266026852051</v>
      </c>
      <c r="L71" s="35"/>
    </row>
    <row r="72" spans="2:13">
      <c r="B72" s="200" t="s">
        <v>378</v>
      </c>
      <c r="C72" s="210" t="str">
        <f>'RFPR cover'!$C$14</f>
        <v>£m 12/13</v>
      </c>
      <c r="D72" s="586">
        <v>0</v>
      </c>
      <c r="E72" s="586">
        <v>0</v>
      </c>
      <c r="F72" s="586">
        <v>3.5529779918164195E-5</v>
      </c>
      <c r="G72" s="586">
        <v>2.690044946795922E-5</v>
      </c>
      <c r="H72" s="586">
        <v>6.4757722313402155E-5</v>
      </c>
      <c r="I72" s="586">
        <v>1.096573907705789E-3</v>
      </c>
      <c r="J72" s="586">
        <v>1.9242825093609639E-2</v>
      </c>
      <c r="K72" s="586">
        <v>0.14043107214605044</v>
      </c>
    </row>
    <row r="73" spans="2:13">
      <c r="B73" s="200" t="s">
        <v>429</v>
      </c>
      <c r="C73" s="210" t="str">
        <f>'RFPR cover'!$C$14</f>
        <v>£m 12/13</v>
      </c>
      <c r="D73" s="586">
        <v>0</v>
      </c>
      <c r="E73" s="586">
        <v>0</v>
      </c>
      <c r="F73" s="586">
        <v>-3.5529779918164195E-5</v>
      </c>
      <c r="G73" s="586">
        <v>-2.690044946795922E-5</v>
      </c>
      <c r="H73" s="586">
        <v>0</v>
      </c>
      <c r="I73" s="586">
        <v>0</v>
      </c>
      <c r="J73" s="586">
        <v>0</v>
      </c>
      <c r="K73" s="586">
        <v>0</v>
      </c>
    </row>
    <row r="74" spans="2:13">
      <c r="B74" s="200" t="s">
        <v>333</v>
      </c>
      <c r="C74" s="210" t="str">
        <f>'RFPR cover'!$C$14</f>
        <v>£m 12/13</v>
      </c>
      <c r="D74" s="586">
        <v>-1.046372489327041E-3</v>
      </c>
      <c r="E74" s="586">
        <v>-3.7102743764627633E-4</v>
      </c>
      <c r="F74" s="586">
        <v>-5.7558243472044524E-4</v>
      </c>
      <c r="G74" s="586">
        <v>-4.3578728137561029E-4</v>
      </c>
      <c r="H74" s="586">
        <v>-1.0490751014415878E-3</v>
      </c>
      <c r="I74" s="586">
        <v>-1.7764497304817439E-2</v>
      </c>
      <c r="J74" s="586">
        <v>-0.63551745197652743</v>
      </c>
      <c r="K74" s="586">
        <v>-4.3609722901539785</v>
      </c>
    </row>
    <row r="75" spans="2:13">
      <c r="B75" s="200" t="s">
        <v>122</v>
      </c>
      <c r="C75" s="210" t="str">
        <f>'RFPR cover'!$C$14</f>
        <v>£m 12/13</v>
      </c>
      <c r="D75" s="514" t="str">
        <f>IF(ABS(D71-SUM(D72:D74))&lt;'RFPR cover'!$F$14,"OK","ERROR")</f>
        <v>OK</v>
      </c>
      <c r="E75" s="515" t="str">
        <f>IF(ABS(E71-SUM(E72:E74))&lt;'RFPR cover'!$F$14,"OK","ERROR")</f>
        <v>OK</v>
      </c>
      <c r="F75" s="515" t="str">
        <f>IF(ABS(F71-SUM(F72:F74))&lt;'RFPR cover'!$F$14,"OK","ERROR")</f>
        <v>OK</v>
      </c>
      <c r="G75" s="515" t="str">
        <f>IF(ABS(G71-SUM(G72:G74))&lt;'RFPR cover'!$F$14,"OK","ERROR")</f>
        <v>OK</v>
      </c>
      <c r="H75" s="515" t="str">
        <f>IF(ABS(H71-SUM(H72:H74))&lt;'RFPR cover'!$F$14,"OK","ERROR")</f>
        <v>OK</v>
      </c>
      <c r="I75" s="515" t="str">
        <f>IF(ABS(I71-SUM(I72:I74))&lt;'RFPR cover'!$F$14,"OK","ERROR")</f>
        <v>OK</v>
      </c>
      <c r="J75" s="515" t="str">
        <f>IF(ABS(J71-SUM(J72:J74))&lt;'RFPR cover'!$F$14,"OK","ERROR")</f>
        <v>OK</v>
      </c>
      <c r="K75" s="516" t="str">
        <f>IF(ABS(K71-SUM(K72:K74))&lt;'RFPR cover'!$F$14,"OK","ERROR")</f>
        <v>OK</v>
      </c>
    </row>
    <row r="76" spans="2:13">
      <c r="B76" s="200"/>
      <c r="C76" s="200"/>
      <c r="D76" s="200"/>
      <c r="E76" s="200"/>
      <c r="F76" s="200"/>
      <c r="G76" s="200"/>
      <c r="H76" s="200"/>
      <c r="I76" s="200"/>
      <c r="J76" s="200"/>
      <c r="K76" s="200"/>
      <c r="L76" s="200"/>
      <c r="M76" s="200"/>
    </row>
    <row r="78" spans="2:13">
      <c r="B78" s="830" t="s">
        <v>431</v>
      </c>
      <c r="C78" s="830"/>
      <c r="D78" s="830"/>
      <c r="E78" s="830"/>
      <c r="F78" s="830"/>
      <c r="G78" s="830"/>
      <c r="H78" s="830"/>
      <c r="I78" s="830"/>
      <c r="J78" s="830"/>
      <c r="K78" s="830"/>
      <c r="L78" s="830"/>
    </row>
    <row r="80" spans="2:13">
      <c r="B80" s="14" t="s">
        <v>432</v>
      </c>
      <c r="C80" s="211" t="str">
        <f>'RFPR cover'!$C$14</f>
        <v>£m 12/13</v>
      </c>
      <c r="D80" s="610">
        <f t="shared" ref="D80:K80" si="12">D$69-D42</f>
        <v>-0.90571888190278571</v>
      </c>
      <c r="E80" s="611">
        <f t="shared" si="12"/>
        <v>5.2459873782765616</v>
      </c>
      <c r="F80" s="611">
        <f t="shared" si="12"/>
        <v>-3.8347608218427176</v>
      </c>
      <c r="G80" s="611">
        <f t="shared" si="12"/>
        <v>1.6453570793569128E-2</v>
      </c>
      <c r="H80" s="611">
        <f t="shared" si="12"/>
        <v>-3.7175349371640927</v>
      </c>
      <c r="I80" s="611">
        <f t="shared" si="12"/>
        <v>-1.7070083969617933</v>
      </c>
      <c r="J80" s="611">
        <f t="shared" si="12"/>
        <v>-3.1488402610984014</v>
      </c>
      <c r="K80" s="612">
        <f t="shared" si="12"/>
        <v>-9.0921502424628358</v>
      </c>
    </row>
    <row r="81" spans="2:11">
      <c r="B81" s="14"/>
      <c r="C81" s="14"/>
      <c r="D81" s="14"/>
      <c r="E81" s="14"/>
      <c r="F81" s="14"/>
      <c r="G81" s="14"/>
      <c r="H81" s="14"/>
      <c r="I81" s="14"/>
      <c r="J81" s="14"/>
      <c r="K81" s="14"/>
    </row>
    <row r="82" spans="2:11">
      <c r="B82" s="14" t="s">
        <v>443</v>
      </c>
      <c r="C82" s="211" t="str">
        <f>'RFPR cover'!$C$14</f>
        <v>£m 12/13</v>
      </c>
      <c r="D82" s="610">
        <f t="shared" ref="D82:K82" si="13">D$69-D54</f>
        <v>-0.53917074793102771</v>
      </c>
      <c r="E82" s="611">
        <f t="shared" si="13"/>
        <v>5.5077305513461292</v>
      </c>
      <c r="F82" s="611">
        <f t="shared" si="13"/>
        <v>-3.7112394076237472</v>
      </c>
      <c r="G82" s="611">
        <f t="shared" si="13"/>
        <v>0.36440227601757158</v>
      </c>
      <c r="H82" s="611">
        <f t="shared" si="13"/>
        <v>-3.1763760447966263</v>
      </c>
      <c r="I82" s="611">
        <f t="shared" si="13"/>
        <v>-0.78754084607432517</v>
      </c>
      <c r="J82" s="611">
        <f t="shared" si="13"/>
        <v>-3.2696612217981382</v>
      </c>
      <c r="K82" s="612">
        <f t="shared" si="13"/>
        <v>-10.787439311018737</v>
      </c>
    </row>
    <row r="84" spans="2:11">
      <c r="B84" s="14" t="s">
        <v>442</v>
      </c>
      <c r="C84" s="211" t="str">
        <f>'RFPR cover'!$C$14</f>
        <v>£m 12/13</v>
      </c>
      <c r="D84" s="610">
        <f>D80-D82</f>
        <v>-0.36654813397175801</v>
      </c>
      <c r="E84" s="611">
        <f t="shared" ref="E84:K84" si="14">E80-E82</f>
        <v>-0.26174317306956763</v>
      </c>
      <c r="F84" s="611">
        <f t="shared" si="14"/>
        <v>-0.12352141421897045</v>
      </c>
      <c r="G84" s="611">
        <f t="shared" si="14"/>
        <v>-0.34794870522400245</v>
      </c>
      <c r="H84" s="611">
        <f t="shared" si="14"/>
        <v>-0.54115889236746639</v>
      </c>
      <c r="I84" s="611">
        <f t="shared" si="14"/>
        <v>-0.91946755088746812</v>
      </c>
      <c r="J84" s="611">
        <f t="shared" si="14"/>
        <v>0.1208209606997368</v>
      </c>
      <c r="K84" s="612">
        <f t="shared" si="14"/>
        <v>1.6952890685559012</v>
      </c>
    </row>
    <row r="86" spans="2:11">
      <c r="B86" t="s">
        <v>526</v>
      </c>
      <c r="C86" s="266" t="s">
        <v>128</v>
      </c>
      <c r="D86" s="586">
        <f>-'R7 - Financing'!D86*Data!$G$20*D$40</f>
        <v>5.5080946021336752</v>
      </c>
      <c r="E86" s="586">
        <f>-'R7 - Financing'!E86*Data!$G$21*E$40</f>
        <v>2.4433634803667252</v>
      </c>
      <c r="F86" s="586">
        <f>-'R7 - Financing'!F86*Data!$G$22*F$40</f>
        <v>-1.6750344971568587</v>
      </c>
      <c r="G86" s="586">
        <f>-'R7 - Financing'!G86*Data!$G$23*G$40</f>
        <v>0.86613076009772705</v>
      </c>
      <c r="H86" s="586">
        <f>-'R7 - Financing'!H86*Data!$G$24*H$40</f>
        <v>2.8942485270366776</v>
      </c>
      <c r="I86" s="586">
        <f>-'R7 - Financing'!I86*Data!$G$25*I$40</f>
        <v>8.1103866974480283</v>
      </c>
      <c r="J86" s="586">
        <f>-'R7 - Financing'!J86*Data!$G$26*J$40</f>
        <v>-3.4296945060526882</v>
      </c>
      <c r="K86" s="586">
        <f>-'R7 - Financing'!K86*Data!$G$27*K$40</f>
        <v>-9.2536799956240703</v>
      </c>
    </row>
    <row r="87" spans="2:11">
      <c r="B87" t="s">
        <v>526</v>
      </c>
      <c r="C87" s="396" t="str">
        <f>'RFPR cover'!$C$14</f>
        <v>£m 12/13</v>
      </c>
      <c r="D87" s="782">
        <f>D86/D$40</f>
        <v>5.1947633754266302</v>
      </c>
      <c r="E87" s="782">
        <f t="shared" ref="E87:K87" si="15">E86/E$40</f>
        <v>2.2560302181149936</v>
      </c>
      <c r="F87" s="782">
        <f t="shared" si="15"/>
        <v>-1.4908226228114658</v>
      </c>
      <c r="G87" s="782">
        <f t="shared" si="15"/>
        <v>0.74802174215663297</v>
      </c>
      <c r="H87" s="782">
        <f t="shared" si="15"/>
        <v>2.436503527888946</v>
      </c>
      <c r="I87" s="782">
        <f t="shared" si="15"/>
        <v>6.7458581866698051</v>
      </c>
      <c r="J87" s="782">
        <f t="shared" si="15"/>
        <v>-2.6968951570213253</v>
      </c>
      <c r="K87" s="782">
        <f t="shared" si="15"/>
        <v>-6.7188453664890559</v>
      </c>
    </row>
    <row r="88" spans="2:11">
      <c r="B88" t="s">
        <v>527</v>
      </c>
      <c r="C88" s="266" t="s">
        <v>128</v>
      </c>
      <c r="D88" s="586">
        <f>-'R7 - Financing'!D88*Data!$G$20*D$40</f>
        <v>5.8967517270573282</v>
      </c>
      <c r="E88" s="586">
        <f>-'R7 - Financing'!E88*Data!$G$21*E$40</f>
        <v>2.7268409378840479</v>
      </c>
      <c r="F88" s="586">
        <f>-'R7 - Financing'!F88*Data!$G$22*F$40</f>
        <v>-1.5362502938663385</v>
      </c>
      <c r="G88" s="586">
        <f>-'R7 - Financing'!G88*Data!$G$23*G$40</f>
        <v>1.2690188842608086</v>
      </c>
      <c r="H88" s="586">
        <f>-'R7 - Financing'!H88*Data!$G$24*H$40</f>
        <v>3.5370747364796755</v>
      </c>
      <c r="I88" s="586">
        <f>-'R7 - Financing'!I88*Data!$G$25*I$40</f>
        <v>9.2158409164810866</v>
      </c>
      <c r="J88" s="586">
        <f>-'R7 - Financing'!J88*Data!$G$26*J$40</f>
        <v>-3.5833448932577912</v>
      </c>
      <c r="K88" s="586">
        <f>-'R7 - Financing'!K88*Data!$G$27*K$40</f>
        <v>-11.588554767223927</v>
      </c>
    </row>
    <row r="89" spans="2:11">
      <c r="B89" t="s">
        <v>527</v>
      </c>
      <c r="C89" s="396" t="str">
        <f>'RFPR cover'!$C$14</f>
        <v>£m 12/13</v>
      </c>
      <c r="D89" s="782">
        <f t="shared" ref="D89:K89" si="16">D88/D$40</f>
        <v>5.5613115093983874</v>
      </c>
      <c r="E89" s="782">
        <f t="shared" si="16"/>
        <v>2.5177733911845617</v>
      </c>
      <c r="F89" s="782">
        <f t="shared" si="16"/>
        <v>-1.3673012085924978</v>
      </c>
      <c r="G89" s="782">
        <f t="shared" si="16"/>
        <v>1.0959704473806364</v>
      </c>
      <c r="H89" s="782">
        <f t="shared" si="16"/>
        <v>2.9776624202564137</v>
      </c>
      <c r="I89" s="782">
        <f t="shared" si="16"/>
        <v>7.6653257375572723</v>
      </c>
      <c r="J89" s="782">
        <f t="shared" si="16"/>
        <v>-2.8177161177210617</v>
      </c>
      <c r="K89" s="782">
        <f t="shared" si="16"/>
        <v>-8.4141344350449554</v>
      </c>
    </row>
    <row r="90" spans="2:11">
      <c r="B90" t="s">
        <v>530</v>
      </c>
      <c r="C90" s="396" t="str">
        <f>'RFPR cover'!$C$14</f>
        <v>£m 12/13</v>
      </c>
      <c r="D90" s="782">
        <f>D87-D89</f>
        <v>-0.36654813397175712</v>
      </c>
      <c r="E90" s="782">
        <f t="shared" ref="E90:K90" si="17">E87-E89</f>
        <v>-0.26174317306956807</v>
      </c>
      <c r="F90" s="782">
        <f t="shared" si="17"/>
        <v>-0.12352141421896801</v>
      </c>
      <c r="G90" s="782">
        <f t="shared" si="17"/>
        <v>-0.34794870522400345</v>
      </c>
      <c r="H90" s="782">
        <f t="shared" si="17"/>
        <v>-0.54115889236746773</v>
      </c>
      <c r="I90" s="782">
        <f t="shared" si="17"/>
        <v>-0.91946755088746723</v>
      </c>
      <c r="J90" s="782">
        <f t="shared" si="17"/>
        <v>0.12082096069973636</v>
      </c>
      <c r="K90" s="782">
        <f t="shared" si="17"/>
        <v>1.6952890685558994</v>
      </c>
    </row>
  </sheetData>
  <conditionalFormatting sqref="D6:K7">
    <cfRule type="expression" dxfId="31" priority="81">
      <formula>AND(D$6="Actuals",E$6="Forecast")</formula>
    </cfRule>
  </conditionalFormatting>
  <conditionalFormatting sqref="D5:K5">
    <cfRule type="expression" dxfId="30" priority="56">
      <formula>AND(D$5="Actuals",E$5="Forecast")</formula>
    </cfRule>
  </conditionalFormatting>
  <conditionalFormatting sqref="D37:F37">
    <cfRule type="expression" dxfId="29" priority="24">
      <formula>AND(D$5="Actuals",E$5="Actuals")</formula>
    </cfRule>
  </conditionalFormatting>
  <conditionalFormatting sqref="J28:K34 D12:K12 D15:K19 D24:K27">
    <cfRule type="expression" dxfId="28" priority="23">
      <formula>NOT(AND(D$5="Actuals"))</formula>
    </cfRule>
  </conditionalFormatting>
  <conditionalFormatting sqref="G37">
    <cfRule type="expression" dxfId="27" priority="189">
      <formula>AND(E$5="Actuals",F$5="Actuals")</formula>
    </cfRule>
  </conditionalFormatting>
  <conditionalFormatting sqref="H37:I37">
    <cfRule type="expression" dxfId="26" priority="12">
      <formula>AND(F$5="Actuals",G$5="Actuals")</formula>
    </cfRule>
  </conditionalFormatting>
  <conditionalFormatting sqref="D34:I34">
    <cfRule type="expression" dxfId="25" priority="10">
      <formula>NOT(AND(D$5="Actuals"))</formula>
    </cfRule>
  </conditionalFormatting>
  <conditionalFormatting sqref="D28:I28">
    <cfRule type="expression" dxfId="24" priority="6">
      <formula>NOT(AND(D$5="Actuals"))</formula>
    </cfRule>
  </conditionalFormatting>
  <conditionalFormatting sqref="D29:I29">
    <cfRule type="expression" dxfId="23" priority="5">
      <formula>NOT(AND(D$5="Actuals"))</formula>
    </cfRule>
  </conditionalFormatting>
  <conditionalFormatting sqref="D30:I30">
    <cfRule type="expression" dxfId="22" priority="4">
      <formula>NOT(AND(D$5="Actuals"))</formula>
    </cfRule>
  </conditionalFormatting>
  <conditionalFormatting sqref="D31:I31">
    <cfRule type="expression" dxfId="21" priority="3">
      <formula>NOT(AND(D$5="Actuals"))</formula>
    </cfRule>
  </conditionalFormatting>
  <conditionalFormatting sqref="D32:I32">
    <cfRule type="expression" dxfId="20" priority="2">
      <formula>NOT(AND(D$5="Actuals"))</formula>
    </cfRule>
  </conditionalFormatting>
  <conditionalFormatting sqref="D33:I33">
    <cfRule type="expression" dxfId="19" priority="1">
      <formula>NOT(AND(D$5="Actuals"))</formula>
    </cfRule>
  </conditionalFormatting>
  <pageMargins left="0.70866141732283472" right="0.70866141732283472" top="0.74803149606299213" bottom="0.74803149606299213" header="0.31496062992125984" footer="0.31496062992125984"/>
  <pageSetup paperSize="8" scale="79" orientation="landscape" r:id="rId1"/>
  <ignoredErrors>
    <ignoredError sqref="D88"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zoomScale="70" zoomScaleNormal="70" workbookViewId="0">
      <selection activeCell="E20" sqref="E20"/>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1" t="s">
        <v>260</v>
      </c>
      <c r="B1" s="932"/>
      <c r="C1" s="120"/>
      <c r="D1" s="120"/>
      <c r="E1" s="120"/>
      <c r="F1" s="120"/>
      <c r="G1" s="120"/>
      <c r="H1" s="120"/>
      <c r="I1" s="126"/>
      <c r="J1" s="126"/>
      <c r="K1" s="127"/>
      <c r="L1" s="128"/>
    </row>
    <row r="2" spans="1:18" s="31" customFormat="1" ht="21">
      <c r="A2" s="906" t="str">
        <f>'RFPR cover'!C5</f>
        <v>WPD-WMID</v>
      </c>
      <c r="B2" s="898"/>
      <c r="C2" s="29"/>
      <c r="D2" s="29"/>
      <c r="E2" s="29"/>
      <c r="F2" s="29"/>
      <c r="G2" s="29"/>
      <c r="H2" s="29"/>
      <c r="I2" s="27"/>
      <c r="J2" s="27"/>
      <c r="K2" s="27"/>
      <c r="L2" s="123"/>
    </row>
    <row r="3" spans="1:18" s="31" customFormat="1" ht="22.8">
      <c r="A3" s="923">
        <f>'RFPR cover'!C7</f>
        <v>2022</v>
      </c>
      <c r="B3" s="915"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N/A</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38">
        <v>0</v>
      </c>
      <c r="E8" s="639">
        <v>90.78</v>
      </c>
      <c r="F8" s="639">
        <v>165</v>
      </c>
      <c r="G8" s="639">
        <v>10</v>
      </c>
      <c r="H8" s="639">
        <v>90</v>
      </c>
      <c r="I8" s="639">
        <v>0</v>
      </c>
      <c r="J8" s="639">
        <v>67</v>
      </c>
      <c r="K8" s="640"/>
    </row>
    <row r="9" spans="1:18">
      <c r="B9" s="15" t="s">
        <v>105</v>
      </c>
      <c r="C9" s="14"/>
      <c r="D9" s="747"/>
      <c r="E9" s="747"/>
      <c r="F9" s="747"/>
      <c r="G9" s="747"/>
      <c r="H9" s="747"/>
      <c r="I9" s="747"/>
      <c r="J9" s="747"/>
      <c r="K9" s="747"/>
    </row>
    <row r="10" spans="1:18">
      <c r="B10" s="430" t="s">
        <v>22</v>
      </c>
      <c r="C10" s="152" t="s">
        <v>128</v>
      </c>
      <c r="D10" s="594">
        <v>0</v>
      </c>
      <c r="E10" s="595">
        <v>3.800174480928078</v>
      </c>
      <c r="F10" s="595">
        <v>11.36689680407037</v>
      </c>
      <c r="G10" s="595">
        <v>0.89018571133751401</v>
      </c>
      <c r="H10" s="595">
        <v>5.7348646847720461</v>
      </c>
      <c r="I10" s="595">
        <v>0</v>
      </c>
      <c r="J10" s="595">
        <v>7.7115881465163989</v>
      </c>
      <c r="K10" s="605"/>
      <c r="M10" s="322"/>
    </row>
    <row r="11" spans="1:18">
      <c r="B11" s="430" t="s">
        <v>22</v>
      </c>
      <c r="C11" s="152" t="s">
        <v>128</v>
      </c>
      <c r="D11" s="596">
        <v>0</v>
      </c>
      <c r="E11" s="597">
        <v>0</v>
      </c>
      <c r="F11" s="597">
        <v>0</v>
      </c>
      <c r="G11" s="597">
        <v>0</v>
      </c>
      <c r="H11" s="597">
        <v>0</v>
      </c>
      <c r="I11" s="597">
        <v>0</v>
      </c>
      <c r="J11" s="597">
        <v>0</v>
      </c>
      <c r="K11" s="606"/>
    </row>
    <row r="12" spans="1:18">
      <c r="B12" s="430" t="s">
        <v>20</v>
      </c>
      <c r="C12" s="152" t="s">
        <v>128</v>
      </c>
      <c r="D12" s="607">
        <v>0</v>
      </c>
      <c r="E12" s="608">
        <v>0</v>
      </c>
      <c r="F12" s="608">
        <v>0</v>
      </c>
      <c r="G12" s="608">
        <v>0</v>
      </c>
      <c r="H12" s="608">
        <v>0</v>
      </c>
      <c r="I12" s="608">
        <v>0</v>
      </c>
      <c r="J12" s="608">
        <v>0</v>
      </c>
      <c r="K12" s="609"/>
      <c r="Q12" s="216"/>
    </row>
    <row r="13" spans="1:18">
      <c r="B13" s="14" t="s">
        <v>106</v>
      </c>
      <c r="C13" s="152" t="s">
        <v>128</v>
      </c>
      <c r="D13" s="738">
        <f>D8-SUM(D10:D12)</f>
        <v>0</v>
      </c>
      <c r="E13" s="739">
        <f t="shared" ref="E13:K13" si="1">E8-SUM(E10:E12)</f>
        <v>86.979825519071923</v>
      </c>
      <c r="F13" s="739">
        <f t="shared" si="1"/>
        <v>153.63310319592964</v>
      </c>
      <c r="G13" s="739">
        <f t="shared" si="1"/>
        <v>9.109814288662486</v>
      </c>
      <c r="H13" s="739">
        <f t="shared" si="1"/>
        <v>84.265135315227951</v>
      </c>
      <c r="I13" s="739">
        <f t="shared" ref="I13" si="2">I8-SUM(I10:I12)</f>
        <v>0</v>
      </c>
      <c r="J13" s="739">
        <f t="shared" si="1"/>
        <v>59.288411853483602</v>
      </c>
      <c r="K13" s="740">
        <f t="shared" si="1"/>
        <v>0</v>
      </c>
      <c r="R13" s="215"/>
    </row>
    <row r="14" spans="1:18">
      <c r="C14" s="14"/>
      <c r="Q14" s="216"/>
    </row>
    <row r="15" spans="1:18">
      <c r="B15" s="14" t="s">
        <v>502</v>
      </c>
      <c r="C15" s="152" t="s">
        <v>128</v>
      </c>
      <c r="D15" s="594">
        <v>0</v>
      </c>
      <c r="E15" s="595">
        <v>0</v>
      </c>
      <c r="F15" s="595">
        <v>0</v>
      </c>
      <c r="G15" s="595">
        <v>0</v>
      </c>
      <c r="H15" s="595">
        <v>0</v>
      </c>
      <c r="I15" s="595">
        <v>0</v>
      </c>
      <c r="J15" s="595">
        <v>0</v>
      </c>
      <c r="K15" s="605"/>
    </row>
  </sheetData>
  <conditionalFormatting sqref="D6:K6">
    <cfRule type="expression" dxfId="18" priority="12">
      <formula>AND(D$5="Actuals",E$5="N/A")</formula>
    </cfRule>
  </conditionalFormatting>
  <conditionalFormatting sqref="D5:K5">
    <cfRule type="expression" dxfId="17" priority="5">
      <formula>AND(D$5="Actuals",E$5="N/A")</formula>
    </cfRule>
  </conditionalFormatting>
  <conditionalFormatting sqref="D5:K6 D8:H8 D10:H13 J10:K13 J8:K8">
    <cfRule type="expression" dxfId="16" priority="4">
      <formula>D$5="N/A"</formula>
    </cfRule>
  </conditionalFormatting>
  <conditionalFormatting sqref="D15:H15 J15:K15">
    <cfRule type="expression" dxfId="15" priority="3">
      <formula>D$5="N/A"</formula>
    </cfRule>
  </conditionalFormatting>
  <conditionalFormatting sqref="I8 I10:I13">
    <cfRule type="expression" dxfId="14" priority="2">
      <formula>I$5="N/A"</formula>
    </cfRule>
  </conditionalFormatting>
  <conditionalFormatting sqref="I15">
    <cfRule type="expression" dxfId="13" priority="1">
      <formula>I$5="N/A"</formula>
    </cfRule>
  </conditionalFormatting>
  <pageMargins left="0.70866141732283472" right="0.70866141732283472" top="0.74803149606299213" bottom="0.74803149606299213" header="0.31496062992125984" footer="0.31496062992125984"/>
  <pageSetup paperSize="8" scale="85" orientation="landscape" r:id="rId1"/>
  <ignoredErrors>
    <ignoredError sqref="I13"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zoomScale="60" zoomScaleNormal="60" workbookViewId="0">
      <selection activeCell="D26" sqref="D26"/>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17" t="s">
        <v>259</v>
      </c>
      <c r="B1" s="913"/>
      <c r="C1" s="256"/>
      <c r="D1" s="256"/>
      <c r="E1" s="256"/>
      <c r="F1" s="256"/>
      <c r="G1" s="256"/>
      <c r="H1" s="256"/>
      <c r="I1" s="257"/>
      <c r="J1" s="257"/>
      <c r="K1" s="258"/>
      <c r="L1" s="259"/>
    </row>
    <row r="2" spans="1:12" s="31" customFormat="1" ht="21">
      <c r="A2" s="906" t="str">
        <f>'RFPR cover'!C5</f>
        <v>WPD-WMID</v>
      </c>
      <c r="B2" s="898"/>
      <c r="C2" s="29"/>
      <c r="D2" s="29"/>
      <c r="E2" s="29"/>
      <c r="F2" s="29"/>
      <c r="G2" s="29"/>
      <c r="H2" s="29"/>
      <c r="I2" s="27"/>
      <c r="J2" s="27"/>
      <c r="K2" s="27"/>
      <c r="L2" s="123"/>
    </row>
    <row r="3" spans="1:12" s="31" customFormat="1" ht="21">
      <c r="A3" s="909">
        <f>'RFPR cover'!C7</f>
        <v>2022</v>
      </c>
      <c r="B3" s="916"/>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391</v>
      </c>
      <c r="C8" s="152" t="s">
        <v>128</v>
      </c>
      <c r="D8" s="748">
        <v>40.895576512943457</v>
      </c>
      <c r="E8" s="749">
        <v>85.966753350537701</v>
      </c>
      <c r="F8" s="749">
        <v>0</v>
      </c>
      <c r="G8" s="749">
        <v>37.997129320940687</v>
      </c>
      <c r="H8" s="749">
        <v>39.751668551898419</v>
      </c>
      <c r="I8" s="749">
        <v>39.345074743961348</v>
      </c>
      <c r="J8" s="749">
        <v>8.8526418173913015</v>
      </c>
      <c r="K8" s="750"/>
    </row>
    <row r="9" spans="1:12">
      <c r="B9" s="16" t="s">
        <v>24</v>
      </c>
      <c r="D9" s="747"/>
      <c r="E9" s="747"/>
      <c r="F9" s="747"/>
      <c r="G9" s="747"/>
      <c r="H9" s="747"/>
      <c r="I9" s="747"/>
      <c r="J9" s="747"/>
      <c r="K9" s="747"/>
    </row>
    <row r="10" spans="1:12">
      <c r="B10" t="s">
        <v>23</v>
      </c>
      <c r="C10" s="152" t="s">
        <v>128</v>
      </c>
      <c r="D10" s="677">
        <v>32.01426104234946</v>
      </c>
      <c r="E10" s="678">
        <v>67.29726779598144</v>
      </c>
      <c r="F10" s="678">
        <v>0</v>
      </c>
      <c r="G10" s="678">
        <v>30.643299950161339</v>
      </c>
      <c r="H10" s="678">
        <v>32.058271893816382</v>
      </c>
      <c r="I10" s="678">
        <v>34.814206706885315</v>
      </c>
      <c r="J10" s="678">
        <v>7.8331965090491948</v>
      </c>
      <c r="K10" s="679"/>
    </row>
    <row r="11" spans="1:12">
      <c r="B11" t="s">
        <v>25</v>
      </c>
      <c r="C11" s="152" t="s">
        <v>128</v>
      </c>
      <c r="D11" s="751">
        <v>1.1172056072545251</v>
      </c>
      <c r="E11" s="752">
        <v>2.3484823315864065</v>
      </c>
      <c r="F11" s="752">
        <v>0</v>
      </c>
      <c r="G11" s="752">
        <v>0.17104707475120423</v>
      </c>
      <c r="H11" s="752">
        <v>0.17894527149277109</v>
      </c>
      <c r="I11" s="752">
        <v>-2.7906106703949405</v>
      </c>
      <c r="J11" s="752">
        <v>-0.62788740083886152</v>
      </c>
      <c r="K11" s="753"/>
    </row>
    <row r="12" spans="1:12">
      <c r="D12" s="747"/>
      <c r="E12" s="747"/>
      <c r="F12" s="747"/>
      <c r="G12" s="747"/>
      <c r="H12" s="747"/>
      <c r="I12" s="747"/>
      <c r="J12" s="747"/>
      <c r="K12" s="747"/>
    </row>
    <row r="13" spans="1:12">
      <c r="D13" s="747"/>
      <c r="E13" s="747"/>
      <c r="F13" s="747"/>
      <c r="G13" s="747"/>
      <c r="H13" s="747"/>
      <c r="I13" s="747"/>
      <c r="J13" s="747"/>
      <c r="K13" s="747"/>
    </row>
    <row r="14" spans="1:12">
      <c r="B14" t="s">
        <v>23</v>
      </c>
      <c r="C14" s="210" t="str">
        <f>'RFPR cover'!$C$14</f>
        <v>£m 12/13</v>
      </c>
      <c r="D14" s="17">
        <f>D10/Data!C$34</f>
        <v>30.193110824516751</v>
      </c>
      <c r="E14" s="17">
        <f>E10/Data!D$34</f>
        <v>62.137570183181971</v>
      </c>
      <c r="F14" s="17">
        <f>F10/Data!E$34</f>
        <v>0</v>
      </c>
      <c r="G14" s="17">
        <f>G10/Data!F$34</f>
        <v>26.464658305821672</v>
      </c>
      <c r="H14" s="17">
        <f>H10/Data!G$34</f>
        <v>26.988039153389817</v>
      </c>
      <c r="I14" s="17">
        <f>I10/Data!H$34</f>
        <v>28.956905519678159</v>
      </c>
      <c r="J14" s="17">
        <f>J10/Data!I$34</f>
        <v>6.1595310287751293</v>
      </c>
      <c r="K14" s="17">
        <f>K10/Data!J$34</f>
        <v>0</v>
      </c>
    </row>
    <row r="15" spans="1:12">
      <c r="D15" s="747"/>
      <c r="E15" s="747"/>
      <c r="F15" s="747"/>
      <c r="G15" s="747"/>
      <c r="H15" s="747"/>
      <c r="I15" s="747"/>
      <c r="J15" s="747"/>
      <c r="K15" s="747"/>
    </row>
    <row r="16" spans="1:12">
      <c r="D16" s="747"/>
      <c r="E16" s="747"/>
      <c r="F16" s="747"/>
      <c r="G16" s="747"/>
      <c r="H16" s="747"/>
      <c r="I16" s="747"/>
      <c r="J16" s="747"/>
      <c r="K16" s="747"/>
    </row>
    <row r="17" spans="2:11" s="2" customFormat="1">
      <c r="B17" s="14" t="s">
        <v>313</v>
      </c>
      <c r="C17" s="210" t="str">
        <f>'RFPR cover'!$C$14</f>
        <v>£m 12/13</v>
      </c>
      <c r="D17" s="754">
        <v>32.58122295595448</v>
      </c>
      <c r="E17" s="754">
        <v>32.58122295595448</v>
      </c>
      <c r="F17" s="754">
        <v>32.58122295595448</v>
      </c>
      <c r="G17" s="754">
        <v>32.576096326071422</v>
      </c>
      <c r="H17" s="754">
        <v>32.58009632607142</v>
      </c>
      <c r="I17" s="754">
        <v>32.581638680960168</v>
      </c>
      <c r="J17" s="754">
        <v>34.846204309690876</v>
      </c>
      <c r="K17" s="754">
        <v>34.846204309690876</v>
      </c>
    </row>
    <row r="18" spans="2:11" s="2" customFormat="1">
      <c r="B18" s="200" t="s">
        <v>314</v>
      </c>
      <c r="C18" s="210" t="str">
        <f>'RFPR cover'!$C$14</f>
        <v>£m 12/13</v>
      </c>
      <c r="D18" s="754">
        <v>4.5099120948329592</v>
      </c>
      <c r="E18" s="754">
        <v>4.5099120948329592</v>
      </c>
      <c r="F18" s="754">
        <v>4.5099120948329592</v>
      </c>
      <c r="G18" s="754">
        <v>4.5047854649497205</v>
      </c>
      <c r="H18" s="754">
        <v>4.5087854649497201</v>
      </c>
      <c r="I18" s="754">
        <v>4.5103278198384693</v>
      </c>
      <c r="J18" s="754">
        <v>4.5103278198384693</v>
      </c>
      <c r="K18" s="754">
        <v>4.5103278198384693</v>
      </c>
    </row>
    <row r="19" spans="2:11" s="2" customFormat="1">
      <c r="B19" s="14" t="s">
        <v>315</v>
      </c>
      <c r="C19" s="210" t="str">
        <f>'RFPR cover'!$C$14</f>
        <v>£m 12/13</v>
      </c>
      <c r="D19" s="17">
        <f>D17-D18</f>
        <v>28.071310861121521</v>
      </c>
      <c r="E19" s="17">
        <f t="shared" ref="E19:K19" si="1">E17-E18</f>
        <v>28.071310861121521</v>
      </c>
      <c r="F19" s="17">
        <f t="shared" si="1"/>
        <v>28.071310861121521</v>
      </c>
      <c r="G19" s="17">
        <f t="shared" si="1"/>
        <v>28.071310861121702</v>
      </c>
      <c r="H19" s="17">
        <f t="shared" si="1"/>
        <v>28.071310861121699</v>
      </c>
      <c r="I19" s="17">
        <f t="shared" si="1"/>
        <v>28.071310861121699</v>
      </c>
      <c r="J19" s="17">
        <f t="shared" si="1"/>
        <v>30.335876489852406</v>
      </c>
      <c r="K19" s="17">
        <f t="shared" si="1"/>
        <v>30.335876489852406</v>
      </c>
    </row>
    <row r="20" spans="2:11" s="2" customFormat="1">
      <c r="B20" s="14"/>
      <c r="C20" s="14"/>
      <c r="D20" s="14"/>
      <c r="E20" s="14"/>
      <c r="F20" s="14"/>
      <c r="G20" s="14"/>
      <c r="H20" s="14"/>
      <c r="I20" s="14"/>
      <c r="J20" s="14"/>
      <c r="K20" s="14"/>
    </row>
    <row r="21" spans="2:11" s="2" customFormat="1">
      <c r="B21" s="14"/>
      <c r="C21" s="14"/>
      <c r="D21" s="1037" t="s">
        <v>118</v>
      </c>
      <c r="E21" s="14"/>
      <c r="F21" s="14"/>
      <c r="G21" s="14"/>
      <c r="H21" s="14"/>
      <c r="I21" s="14"/>
      <c r="J21" s="14"/>
      <c r="K21" s="14"/>
    </row>
    <row r="22" spans="2:11" s="2" customFormat="1" ht="12.75" customHeight="1">
      <c r="B22" s="14"/>
      <c r="C22" s="14"/>
      <c r="D22" s="1038"/>
      <c r="E22" s="14"/>
      <c r="F22" s="14"/>
      <c r="G22" s="14"/>
      <c r="H22" s="14"/>
      <c r="I22" s="14"/>
      <c r="J22" s="14"/>
      <c r="K22" s="14"/>
    </row>
    <row r="23" spans="2:11">
      <c r="C23" s="14"/>
      <c r="D23" s="1039"/>
      <c r="E23" s="14"/>
    </row>
    <row r="24" spans="2:11">
      <c r="B24" s="14" t="s">
        <v>117</v>
      </c>
      <c r="C24" s="14"/>
      <c r="D24" s="523">
        <v>43555</v>
      </c>
    </row>
    <row r="25" spans="2:11">
      <c r="B25" s="14"/>
      <c r="C25" s="14"/>
      <c r="D25" s="40"/>
      <c r="E25" s="41"/>
      <c r="F25" s="41"/>
    </row>
    <row r="26" spans="2:11">
      <c r="B26" s="200" t="s">
        <v>312</v>
      </c>
      <c r="C26" s="14"/>
      <c r="D26" s="989" t="s">
        <v>644</v>
      </c>
      <c r="E26" s="41"/>
      <c r="F26" s="41"/>
    </row>
    <row r="27" spans="2:11">
      <c r="B27" s="200"/>
      <c r="C27" s="14"/>
      <c r="D27" s="40"/>
      <c r="E27" s="41"/>
      <c r="F27" s="41"/>
    </row>
    <row r="28" spans="2:11">
      <c r="B28" s="14"/>
      <c r="D28" s="362" t="s">
        <v>282</v>
      </c>
      <c r="E28" s="41"/>
      <c r="F28" s="41"/>
    </row>
    <row r="29" spans="2:11">
      <c r="B29" t="s">
        <v>26</v>
      </c>
      <c r="D29" s="754">
        <v>380.85187999999999</v>
      </c>
    </row>
    <row r="30" spans="2:11">
      <c r="B30" t="s">
        <v>27</v>
      </c>
      <c r="D30" s="754">
        <v>3556.5481199999995</v>
      </c>
    </row>
    <row r="31" spans="2:11">
      <c r="D31" s="747"/>
    </row>
    <row r="32" spans="2:11">
      <c r="B32" t="s">
        <v>28</v>
      </c>
      <c r="D32" s="754">
        <v>407.20000000000005</v>
      </c>
    </row>
    <row r="33" spans="2:4">
      <c r="B33" t="s">
        <v>29</v>
      </c>
      <c r="D33" s="754">
        <v>3181.8999999999996</v>
      </c>
    </row>
    <row r="34" spans="2:4">
      <c r="D34" s="747"/>
    </row>
    <row r="35" spans="2:4">
      <c r="B35" s="43" t="s">
        <v>31</v>
      </c>
      <c r="D35" s="17">
        <f>D29-D32</f>
        <v>-26.348120000000051</v>
      </c>
    </row>
    <row r="36" spans="2:4">
      <c r="B36" s="43" t="s">
        <v>30</v>
      </c>
      <c r="D36" s="17">
        <f>D30-D33</f>
        <v>374.64811999999984</v>
      </c>
    </row>
    <row r="37" spans="2:4">
      <c r="D37" s="747"/>
    </row>
    <row r="38" spans="2:4">
      <c r="B38" t="s">
        <v>32</v>
      </c>
      <c r="D38" s="754">
        <v>185.26702651220612</v>
      </c>
    </row>
    <row r="39" spans="2:4">
      <c r="B39" t="s">
        <v>33</v>
      </c>
      <c r="D39" s="754">
        <v>-13.96840734568441</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2"/>
  <sheetViews>
    <sheetView zoomScale="70" zoomScaleNormal="70" workbookViewId="0">
      <selection activeCell="M28" sqref="M28"/>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3" t="s">
        <v>258</v>
      </c>
      <c r="B1" s="913"/>
      <c r="C1" s="256"/>
      <c r="D1" s="256"/>
      <c r="E1" s="256"/>
      <c r="F1" s="256"/>
      <c r="G1" s="256"/>
      <c r="H1" s="256"/>
      <c r="I1" s="257"/>
      <c r="J1" s="257"/>
      <c r="K1" s="258"/>
      <c r="L1" s="363"/>
      <c r="M1" s="33"/>
      <c r="N1" s="33"/>
      <c r="O1" s="32" t="s">
        <v>84</v>
      </c>
      <c r="P1" s="33"/>
      <c r="Q1" s="33"/>
      <c r="R1" s="33"/>
      <c r="S1" s="33"/>
    </row>
    <row r="2" spans="1:19" s="31" customFormat="1" ht="21">
      <c r="A2" s="906" t="str">
        <f>'RFPR cover'!C5</f>
        <v>WPD-WMID</v>
      </c>
      <c r="B2" s="898"/>
      <c r="C2" s="29"/>
      <c r="D2" s="29"/>
      <c r="E2" s="29"/>
      <c r="F2" s="29"/>
      <c r="G2" s="29"/>
      <c r="H2" s="29"/>
      <c r="I2" s="27"/>
      <c r="J2" s="27"/>
      <c r="K2" s="27"/>
      <c r="L2" s="123"/>
      <c r="M2" s="33"/>
      <c r="N2" s="33"/>
      <c r="O2" s="32" t="s">
        <v>84</v>
      </c>
      <c r="P2" s="33"/>
      <c r="Q2" s="33"/>
      <c r="R2" s="33"/>
      <c r="S2" s="33"/>
    </row>
    <row r="3" spans="1:19" s="31" customFormat="1" ht="21">
      <c r="A3" s="909">
        <f>'RFPR cover'!C7</f>
        <v>2022</v>
      </c>
      <c r="B3" s="916"/>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M5" s="323"/>
      <c r="N5" s="33"/>
      <c r="O5" s="32" t="s">
        <v>84</v>
      </c>
      <c r="P5" s="33"/>
      <c r="Q5" s="33"/>
      <c r="R5" s="33"/>
      <c r="S5" s="33"/>
    </row>
    <row r="6" spans="1:19" s="2" customFormat="1">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9">
      <c r="D7" s="758"/>
      <c r="E7" s="758"/>
      <c r="F7" s="758"/>
      <c r="G7" s="758"/>
      <c r="H7" s="758"/>
      <c r="I7" s="758"/>
      <c r="J7" s="758"/>
      <c r="K7" s="758"/>
    </row>
    <row r="8" spans="1:19">
      <c r="B8" s="51" t="s">
        <v>465</v>
      </c>
      <c r="C8" s="210" t="str">
        <f>'RFPR cover'!$C$14</f>
        <v>£m 12/13</v>
      </c>
      <c r="D8" s="755">
        <f>(D16+D21)/Data!C34</f>
        <v>1.3580847463506953E-3</v>
      </c>
      <c r="E8" s="755">
        <f>(E16+E21)/Data!D34</f>
        <v>6.9803729923922074E-4</v>
      </c>
      <c r="F8" s="755">
        <f>(F16+F21)/Data!E34</f>
        <v>9.8405617060980262E-4</v>
      </c>
      <c r="G8" s="755">
        <f>(G16+G21)/Data!F34</f>
        <v>9.0940875301792845E-5</v>
      </c>
      <c r="H8" s="755">
        <f>(H16+H21)/Data!G34</f>
        <v>4.7118807415996314E-3</v>
      </c>
      <c r="I8" s="755">
        <f>(I16+I21)/Data!H34</f>
        <v>2.6780445503744475E-3</v>
      </c>
      <c r="J8" s="755">
        <f>(J16+J21)/Data!I34</f>
        <v>2.4916812873202687</v>
      </c>
      <c r="K8" s="755">
        <f>(K16+K21)/Data!J34</f>
        <v>1.6981935256004384E-2</v>
      </c>
    </row>
    <row r="9" spans="1:19">
      <c r="D9" s="758"/>
      <c r="E9" s="758"/>
      <c r="F9" s="758"/>
      <c r="G9" s="758"/>
      <c r="H9" s="758"/>
      <c r="I9" s="758"/>
      <c r="J9" s="758"/>
      <c r="K9" s="758"/>
    </row>
    <row r="10" spans="1:19">
      <c r="B10" s="14" t="s">
        <v>449</v>
      </c>
      <c r="D10" s="758"/>
      <c r="E10" s="758"/>
      <c r="F10" s="758"/>
      <c r="G10" s="758"/>
      <c r="H10" s="758"/>
      <c r="I10" s="758"/>
      <c r="J10" s="758"/>
      <c r="K10" s="758"/>
    </row>
    <row r="11" spans="1:19">
      <c r="B11" s="44" t="s">
        <v>638</v>
      </c>
      <c r="C11" s="152" t="s">
        <v>128</v>
      </c>
      <c r="D11" s="638">
        <v>0</v>
      </c>
      <c r="E11" s="639">
        <v>0</v>
      </c>
      <c r="F11" s="639">
        <v>0</v>
      </c>
      <c r="G11" s="639">
        <v>0</v>
      </c>
      <c r="H11" s="639">
        <v>0</v>
      </c>
      <c r="I11" s="639">
        <v>0</v>
      </c>
      <c r="J11" s="639">
        <f>14.9/4</f>
        <v>3.7250000000000001</v>
      </c>
      <c r="K11" s="640">
        <v>0</v>
      </c>
    </row>
    <row r="12" spans="1:19">
      <c r="B12" s="44" t="s">
        <v>36</v>
      </c>
      <c r="C12" s="152" t="s">
        <v>128</v>
      </c>
      <c r="D12" s="638">
        <v>0</v>
      </c>
      <c r="E12" s="639">
        <v>0</v>
      </c>
      <c r="F12" s="639">
        <v>0</v>
      </c>
      <c r="G12" s="639">
        <v>0</v>
      </c>
      <c r="H12" s="639">
        <v>0</v>
      </c>
      <c r="I12" s="639">
        <v>0</v>
      </c>
      <c r="J12" s="639">
        <v>0</v>
      </c>
      <c r="K12" s="640">
        <v>0</v>
      </c>
    </row>
    <row r="13" spans="1:19">
      <c r="B13" s="44" t="s">
        <v>20</v>
      </c>
      <c r="C13" s="152" t="s">
        <v>128</v>
      </c>
      <c r="D13" s="638">
        <v>0</v>
      </c>
      <c r="E13" s="639">
        <v>0</v>
      </c>
      <c r="F13" s="639">
        <v>0</v>
      </c>
      <c r="G13" s="639">
        <v>0</v>
      </c>
      <c r="H13" s="639">
        <v>0</v>
      </c>
      <c r="I13" s="639">
        <v>0</v>
      </c>
      <c r="J13" s="639">
        <v>0</v>
      </c>
      <c r="K13" s="640">
        <v>0</v>
      </c>
    </row>
    <row r="14" spans="1:19">
      <c r="B14" s="14" t="s">
        <v>462</v>
      </c>
      <c r="C14" s="152" t="s">
        <v>128</v>
      </c>
      <c r="D14" s="755">
        <f>SUM(D11:D13)</f>
        <v>0</v>
      </c>
      <c r="E14" s="756">
        <f t="shared" ref="E14:K14" si="1">SUM(E11:E13)</f>
        <v>0</v>
      </c>
      <c r="F14" s="756">
        <f t="shared" si="1"/>
        <v>0</v>
      </c>
      <c r="G14" s="756">
        <f t="shared" si="1"/>
        <v>0</v>
      </c>
      <c r="H14" s="756">
        <f t="shared" si="1"/>
        <v>0</v>
      </c>
      <c r="I14" s="756">
        <f t="shared" si="1"/>
        <v>0</v>
      </c>
      <c r="J14" s="756">
        <f t="shared" si="1"/>
        <v>3.7250000000000001</v>
      </c>
      <c r="K14" s="757">
        <f t="shared" si="1"/>
        <v>0</v>
      </c>
    </row>
    <row r="15" spans="1:19">
      <c r="B15" s="35" t="s">
        <v>456</v>
      </c>
      <c r="C15" s="152" t="s">
        <v>128</v>
      </c>
      <c r="D15" s="638">
        <v>0</v>
      </c>
      <c r="E15" s="639">
        <v>0</v>
      </c>
      <c r="F15" s="639">
        <v>0</v>
      </c>
      <c r="G15" s="639">
        <v>0</v>
      </c>
      <c r="H15" s="639">
        <v>0</v>
      </c>
      <c r="I15" s="639">
        <v>0</v>
      </c>
      <c r="J15" s="639">
        <f>+J14*Data!$G$26</f>
        <v>0.70774999999999999</v>
      </c>
      <c r="K15" s="640">
        <f>+K14*Data!$G$27</f>
        <v>0</v>
      </c>
    </row>
    <row r="16" spans="1:19">
      <c r="B16" s="51" t="s">
        <v>463</v>
      </c>
      <c r="C16" s="152" t="s">
        <v>128</v>
      </c>
      <c r="D16" s="755">
        <f>D14-D15</f>
        <v>0</v>
      </c>
      <c r="E16" s="755">
        <f t="shared" ref="E16:K16" si="2">E14-E15</f>
        <v>0</v>
      </c>
      <c r="F16" s="755">
        <f t="shared" si="2"/>
        <v>0</v>
      </c>
      <c r="G16" s="755">
        <f t="shared" si="2"/>
        <v>0</v>
      </c>
      <c r="H16" s="755">
        <f t="shared" si="2"/>
        <v>0</v>
      </c>
      <c r="I16" s="755">
        <f t="shared" si="2"/>
        <v>0</v>
      </c>
      <c r="J16" s="755">
        <f t="shared" si="2"/>
        <v>3.0172500000000002</v>
      </c>
      <c r="K16" s="755">
        <f t="shared" si="2"/>
        <v>0</v>
      </c>
    </row>
    <row r="17" spans="2:13">
      <c r="J17" s="966"/>
    </row>
    <row r="18" spans="2:13">
      <c r="B18" s="14" t="s">
        <v>460</v>
      </c>
      <c r="D18" s="758"/>
      <c r="E18" s="758"/>
      <c r="F18" s="758"/>
      <c r="G18" s="758"/>
      <c r="H18" s="758"/>
      <c r="I18" s="758"/>
      <c r="J18" s="758"/>
      <c r="K18" s="758"/>
    </row>
    <row r="19" spans="2:13">
      <c r="B19" s="840" t="s">
        <v>461</v>
      </c>
      <c r="C19" s="152" t="s">
        <v>128</v>
      </c>
      <c r="D19" s="638">
        <v>1.7999999999999995E-3</v>
      </c>
      <c r="E19" s="639">
        <v>9.4499999999999792E-4</v>
      </c>
      <c r="F19" s="639">
        <v>1.3649999999999982E-3</v>
      </c>
      <c r="G19" s="639">
        <v>1.3000000000000164E-4</v>
      </c>
      <c r="H19" s="639">
        <v>6.9100000000000003E-3</v>
      </c>
      <c r="I19" s="639">
        <v>3.9750000000000002E-3</v>
      </c>
      <c r="J19" s="639">
        <v>0.187</v>
      </c>
      <c r="K19" s="640">
        <f>AVERAGE(D19:J19)</f>
        <v>2.8875000000000001E-2</v>
      </c>
      <c r="M19" s="322"/>
    </row>
    <row r="20" spans="2:13">
      <c r="B20" s="35" t="s">
        <v>456</v>
      </c>
      <c r="C20" s="152" t="s">
        <v>128</v>
      </c>
      <c r="D20" s="638">
        <v>3.5999999999999991E-4</v>
      </c>
      <c r="E20" s="639">
        <v>1.8899999999999961E-4</v>
      </c>
      <c r="F20" s="639">
        <v>2.5934999999999966E-4</v>
      </c>
      <c r="G20" s="639">
        <v>2.4700000000000312E-5</v>
      </c>
      <c r="H20" s="639">
        <v>1.3129000000000001E-3</v>
      </c>
      <c r="I20" s="639">
        <f>+I19*Data!$G$25</f>
        <v>7.5525000000000006E-4</v>
      </c>
      <c r="J20" s="639">
        <f>+J19*Data!$G$26</f>
        <v>3.5529999999999999E-2</v>
      </c>
      <c r="K20" s="639">
        <f>+K19*Data!$G$27</f>
        <v>5.4862500000000007E-3</v>
      </c>
    </row>
    <row r="21" spans="2:13">
      <c r="B21" s="51" t="s">
        <v>464</v>
      </c>
      <c r="C21" s="152" t="s">
        <v>128</v>
      </c>
      <c r="D21" s="755">
        <f>D19-D20</f>
        <v>1.4399999999999997E-3</v>
      </c>
      <c r="E21" s="755">
        <f t="shared" ref="E21:K21" si="3">E19-E20</f>
        <v>7.5599999999999832E-4</v>
      </c>
      <c r="F21" s="755">
        <f t="shared" si="3"/>
        <v>1.1056499999999984E-3</v>
      </c>
      <c r="G21" s="755">
        <f t="shared" si="3"/>
        <v>1.0530000000000133E-4</v>
      </c>
      <c r="H21" s="755">
        <f t="shared" si="3"/>
        <v>5.5971000000000007E-3</v>
      </c>
      <c r="I21" s="755">
        <f t="shared" si="3"/>
        <v>3.2197500000000004E-3</v>
      </c>
      <c r="J21" s="755">
        <f t="shared" si="3"/>
        <v>0.15146999999999999</v>
      </c>
      <c r="K21" s="755">
        <f t="shared" si="3"/>
        <v>2.338875E-2</v>
      </c>
    </row>
    <row r="22" spans="2:13">
      <c r="J22" s="966"/>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hyperlinks>
    <hyperlink ref="M12" r:id="rId1" display="\\Chvdcs01\rrp\ED1 RRPs\RRP 2021 22\RFPR\FINANCE BRIEF APRIL 22\RE  PSR investigation fine.msg"/>
  </hyperlinks>
  <pageMargins left="0.70866141732283472" right="0.70866141732283472" top="0.74803149606299213" bottom="0.74803149606299213" header="0.31496062992125984" footer="0.31496062992125984"/>
  <pageSetup paperSize="8" scale="9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zoomScale="60" zoomScaleNormal="60" workbookViewId="0">
      <selection activeCell="K20" sqref="K20"/>
    </sheetView>
  </sheetViews>
  <sheetFormatPr defaultRowHeight="12.6"/>
  <cols>
    <col min="1" max="1" width="8.36328125" customWidth="1"/>
    <col min="2" max="2" width="35.08984375" customWidth="1"/>
    <col min="8" max="8" width="10.08984375" bestFit="1" customWidth="1"/>
    <col min="14" max="14" width="9" customWidth="1"/>
  </cols>
  <sheetData>
    <row r="1" spans="1:14" ht="21">
      <c r="A1" s="903" t="s">
        <v>373</v>
      </c>
      <c r="B1" s="904"/>
      <c r="C1" s="904"/>
      <c r="D1" s="904"/>
      <c r="E1" s="904"/>
      <c r="F1" s="904"/>
      <c r="G1" s="904"/>
      <c r="H1" s="904"/>
      <c r="I1" s="904"/>
      <c r="J1" s="904"/>
      <c r="K1" s="904"/>
      <c r="L1" s="904"/>
      <c r="M1" s="904"/>
      <c r="N1" s="905"/>
    </row>
    <row r="2" spans="1:14" ht="21">
      <c r="A2" s="906" t="str">
        <f>'RFPR cover'!C5</f>
        <v>WPD-WMID</v>
      </c>
      <c r="B2" s="907"/>
      <c r="C2" s="907"/>
      <c r="D2" s="907"/>
      <c r="E2" s="907"/>
      <c r="F2" s="907"/>
      <c r="G2" s="907"/>
      <c r="H2" s="907"/>
      <c r="I2" s="907"/>
      <c r="J2" s="907"/>
      <c r="K2" s="907"/>
      <c r="L2" s="907"/>
      <c r="M2" s="907"/>
      <c r="N2" s="908"/>
    </row>
    <row r="3" spans="1:14" ht="21">
      <c r="A3" s="909">
        <f>'RFPR cover'!C7</f>
        <v>2022</v>
      </c>
      <c r="B3" s="910"/>
      <c r="C3" s="910"/>
      <c r="D3" s="910"/>
      <c r="E3" s="910"/>
      <c r="F3" s="910"/>
      <c r="G3" s="910"/>
      <c r="H3" s="910"/>
      <c r="I3" s="910"/>
      <c r="J3" s="910"/>
      <c r="K3" s="910"/>
      <c r="L3" s="910"/>
      <c r="M3" s="910"/>
      <c r="N3" s="911"/>
    </row>
    <row r="6" spans="1:14">
      <c r="A6" s="30"/>
      <c r="B6" s="21">
        <v>2018</v>
      </c>
      <c r="C6" s="20" t="s">
        <v>63</v>
      </c>
      <c r="D6" s="18"/>
      <c r="E6" s="18"/>
      <c r="F6" s="837"/>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1" t="s">
        <v>39</v>
      </c>
      <c r="C13" s="552" t="s">
        <v>40</v>
      </c>
      <c r="D13" s="552" t="s">
        <v>192</v>
      </c>
      <c r="E13" s="552" t="s">
        <v>41</v>
      </c>
      <c r="F13" s="552" t="s">
        <v>42</v>
      </c>
      <c r="G13" s="553" t="s">
        <v>320</v>
      </c>
    </row>
    <row r="14" spans="1:14">
      <c r="A14" s="30"/>
      <c r="B14" s="162" t="s">
        <v>74</v>
      </c>
      <c r="C14" s="169">
        <v>2010</v>
      </c>
      <c r="D14" s="163" t="str">
        <f>IF(VALUE(C14)&lt;='RFPR cover'!$C$7,"Actual","Forecast")</f>
        <v>Actual</v>
      </c>
      <c r="E14" s="373">
        <v>215.767</v>
      </c>
      <c r="F14" s="498">
        <v>221.75</v>
      </c>
      <c r="G14" s="164">
        <v>0.28000000000000003</v>
      </c>
      <c r="H14" s="838"/>
      <c r="J14" s="839"/>
    </row>
    <row r="15" spans="1:14">
      <c r="A15" s="30"/>
      <c r="B15" s="165" t="s">
        <v>75</v>
      </c>
      <c r="C15" s="170">
        <v>2011</v>
      </c>
      <c r="D15" s="166" t="str">
        <f>IF(VALUE(C15)&lt;='RFPR cover'!$C$7,"Actual","Forecast")</f>
        <v>Actual</v>
      </c>
      <c r="E15" s="374">
        <v>226.47499999999999</v>
      </c>
      <c r="F15" s="499">
        <v>233.45</v>
      </c>
      <c r="G15" s="167">
        <v>0.28000000000000003</v>
      </c>
      <c r="H15" s="838"/>
      <c r="J15" s="839"/>
    </row>
    <row r="16" spans="1:14" ht="14.25" customHeight="1">
      <c r="A16" s="30"/>
      <c r="B16" s="165" t="s">
        <v>76</v>
      </c>
      <c r="C16" s="170">
        <v>2012</v>
      </c>
      <c r="D16" s="166" t="str">
        <f>IF(VALUE(C16)&lt;='RFPR cover'!$C$7,"Actual","Forecast")</f>
        <v>Actual</v>
      </c>
      <c r="E16" s="374">
        <v>237.34200000000001</v>
      </c>
      <c r="F16" s="499">
        <v>241.65</v>
      </c>
      <c r="G16" s="167">
        <v>0.26</v>
      </c>
      <c r="H16" s="838"/>
      <c r="J16" s="839"/>
    </row>
    <row r="17" spans="2:15">
      <c r="B17" s="165" t="s">
        <v>77</v>
      </c>
      <c r="C17" s="170">
        <v>2013</v>
      </c>
      <c r="D17" s="166" t="str">
        <f>IF(VALUE(C17)&lt;='RFPR cover'!$C$7,"Actual","Forecast")</f>
        <v>Actual</v>
      </c>
      <c r="E17" s="374">
        <v>244.67500000000001</v>
      </c>
      <c r="F17" s="499">
        <v>249.1</v>
      </c>
      <c r="G17" s="167">
        <v>0.24</v>
      </c>
      <c r="H17" s="838"/>
      <c r="J17" s="839"/>
    </row>
    <row r="18" spans="2:15">
      <c r="B18" s="165" t="s">
        <v>78</v>
      </c>
      <c r="C18" s="170">
        <v>2014</v>
      </c>
      <c r="D18" s="166" t="str">
        <f>IF(VALUE(C18)&lt;='RFPR cover'!$C$7,"Actual","Forecast")</f>
        <v>Actual</v>
      </c>
      <c r="E18" s="374">
        <v>251.733</v>
      </c>
      <c r="F18" s="499">
        <v>255.25</v>
      </c>
      <c r="G18" s="167">
        <v>0.23</v>
      </c>
      <c r="H18" s="838"/>
      <c r="I18" s="517"/>
      <c r="J18" s="839"/>
    </row>
    <row r="19" spans="2:15">
      <c r="B19" s="165" t="s">
        <v>79</v>
      </c>
      <c r="C19" s="170">
        <v>2015</v>
      </c>
      <c r="D19" s="166" t="str">
        <f>IF(VALUE(C19)&lt;='RFPR cover'!$C$7,"Actual","Forecast")</f>
        <v>Actual</v>
      </c>
      <c r="E19" s="374">
        <v>256.66699999999997</v>
      </c>
      <c r="F19" s="499">
        <v>257.55</v>
      </c>
      <c r="G19" s="167">
        <v>0.21</v>
      </c>
      <c r="H19" s="838"/>
      <c r="I19" s="517"/>
      <c r="J19" s="839"/>
    </row>
    <row r="20" spans="2:15">
      <c r="B20" s="165" t="s">
        <v>80</v>
      </c>
      <c r="C20" s="170">
        <v>2016</v>
      </c>
      <c r="D20" s="166" t="str">
        <f>IF(VALUE(C20)&lt;='RFPR cover'!$C$7,"Actual","Forecast")</f>
        <v>Actual</v>
      </c>
      <c r="E20" s="374">
        <v>259.43299999999999</v>
      </c>
      <c r="F20" s="499">
        <v>261.25</v>
      </c>
      <c r="G20" s="167">
        <v>0.2</v>
      </c>
      <c r="H20" s="838"/>
      <c r="I20" s="517"/>
      <c r="J20" s="839"/>
    </row>
    <row r="21" spans="2:15">
      <c r="B21" s="165" t="s">
        <v>81</v>
      </c>
      <c r="C21" s="170">
        <v>2017</v>
      </c>
      <c r="D21" s="166" t="str">
        <f>IF(VALUE(C21)&lt;='RFPR cover'!$C$7,"Actual","Forecast")</f>
        <v>Actual</v>
      </c>
      <c r="E21" s="374">
        <v>264.99200000000002</v>
      </c>
      <c r="F21" s="499">
        <v>269.95000000000005</v>
      </c>
      <c r="G21" s="167">
        <v>0.2</v>
      </c>
      <c r="H21" s="838"/>
      <c r="I21" s="517"/>
      <c r="J21" s="839"/>
    </row>
    <row r="22" spans="2:15">
      <c r="B22" s="165" t="s">
        <v>63</v>
      </c>
      <c r="C22" s="170">
        <v>2018</v>
      </c>
      <c r="D22" s="166" t="str">
        <f>IF(VALUE(C22)&lt;='RFPR cover'!$C$7,"Actual","Forecast")</f>
        <v>Actual</v>
      </c>
      <c r="E22" s="374">
        <v>274.90800000000002</v>
      </c>
      <c r="F22" s="499">
        <v>279</v>
      </c>
      <c r="G22" s="167">
        <v>0.19</v>
      </c>
      <c r="H22" s="838"/>
      <c r="I22" s="517"/>
      <c r="J22" s="839"/>
    </row>
    <row r="23" spans="2:15">
      <c r="B23" s="500" t="s">
        <v>64</v>
      </c>
      <c r="C23" s="501">
        <v>2019</v>
      </c>
      <c r="D23" s="166" t="str">
        <f>IF(VALUE(C23)&lt;='RFPR cover'!$C$7,"Actual","Forecast")</f>
        <v>Actual</v>
      </c>
      <c r="E23" s="374">
        <v>283.30799999999999</v>
      </c>
      <c r="F23" s="499">
        <v>286.64999999999998</v>
      </c>
      <c r="G23" s="167">
        <v>0.19</v>
      </c>
      <c r="H23" s="838"/>
      <c r="J23" s="839"/>
    </row>
    <row r="24" spans="2:15">
      <c r="B24" s="500" t="s">
        <v>65</v>
      </c>
      <c r="C24" s="501">
        <v>2020</v>
      </c>
      <c r="D24" s="166" t="str">
        <f>IF(VALUE(C24)&lt;='RFPR cover'!$C$7,"Actual","Forecast")</f>
        <v>Actual</v>
      </c>
      <c r="E24" s="947">
        <v>290.642</v>
      </c>
      <c r="F24" s="947">
        <v>292.60000000000002</v>
      </c>
      <c r="G24" s="167">
        <v>0.19</v>
      </c>
    </row>
    <row r="25" spans="2:15">
      <c r="B25" s="500" t="s">
        <v>66</v>
      </c>
      <c r="C25" s="501">
        <v>2021</v>
      </c>
      <c r="D25" s="945" t="str">
        <f>IF(VALUE(C25)&lt;='RFPR cover'!$C$7,"Actual","Forecast")</f>
        <v>Actual</v>
      </c>
      <c r="E25" s="374">
        <v>294.16699999999997</v>
      </c>
      <c r="F25" s="374">
        <v>299</v>
      </c>
      <c r="G25" s="946">
        <v>0.19</v>
      </c>
      <c r="H25" s="517"/>
      <c r="J25" s="839"/>
    </row>
    <row r="26" spans="2:15">
      <c r="B26" s="500" t="s">
        <v>67</v>
      </c>
      <c r="C26" s="501">
        <v>2022</v>
      </c>
      <c r="D26" s="945" t="str">
        <f>IF(VALUE(C26)&lt;='RFPR cover'!$C$7,"Actual","Forecast")</f>
        <v>Actual</v>
      </c>
      <c r="E26" s="374">
        <v>311.15800000000002</v>
      </c>
      <c r="F26" s="374">
        <f>+(323.5+334.6)/2</f>
        <v>329.05</v>
      </c>
      <c r="G26" s="946">
        <v>0.19</v>
      </c>
      <c r="I26" s="958"/>
      <c r="J26" s="839"/>
      <c r="O26" s="955"/>
    </row>
    <row r="27" spans="2:15">
      <c r="B27" s="500" t="s">
        <v>68</v>
      </c>
      <c r="C27" s="501">
        <v>2023</v>
      </c>
      <c r="D27" s="945" t="str">
        <f>IF(VALUE(C27)&lt;='RFPR cover'!$C$7,"Actual","Forecast")</f>
        <v>Forecast</v>
      </c>
      <c r="E27" s="951">
        <f t="shared" ref="E27:F27" si="0">E26*(1+INDEX($D$43:$J$43,0,MATCH($C27,$D$42:$J$42,0)))</f>
        <v>336.98411399999998</v>
      </c>
      <c r="F27" s="951">
        <f t="shared" si="0"/>
        <v>356.36115000000001</v>
      </c>
      <c r="G27" s="946">
        <v>0.19</v>
      </c>
      <c r="H27" s="838"/>
      <c r="I27" s="838"/>
      <c r="J27" s="839"/>
    </row>
    <row r="28" spans="2:15">
      <c r="B28" s="500" t="s">
        <v>205</v>
      </c>
      <c r="C28" s="501">
        <v>2024</v>
      </c>
      <c r="D28" s="166" t="str">
        <f>IF(VALUE(C28)&lt;='RFPR cover'!$C$7,"Actual","Forecast")</f>
        <v>Forecast</v>
      </c>
      <c r="E28" s="948"/>
      <c r="F28" s="948"/>
      <c r="G28" s="167">
        <v>0.19</v>
      </c>
    </row>
    <row r="29" spans="2:15">
      <c r="B29" s="500" t="s">
        <v>206</v>
      </c>
      <c r="C29" s="501">
        <v>2025</v>
      </c>
      <c r="D29" s="166" t="str">
        <f>IF(VALUE(C29)&lt;='RFPR cover'!$C$7,"Actual","Forecast")</f>
        <v>Forecast</v>
      </c>
      <c r="E29" s="376"/>
      <c r="F29" s="376"/>
      <c r="G29" s="167">
        <v>0.19</v>
      </c>
    </row>
    <row r="30" spans="2:15">
      <c r="B30" s="502" t="s">
        <v>207</v>
      </c>
      <c r="C30" s="503">
        <v>2026</v>
      </c>
      <c r="D30" s="168" t="str">
        <f>IF(VALUE(C30)&lt;='RFPR cover'!$C$7,"Actual","Forecast")</f>
        <v>Forecast</v>
      </c>
      <c r="E30" s="375"/>
      <c r="F30" s="375"/>
      <c r="G30" s="167">
        <v>0.19</v>
      </c>
    </row>
    <row r="31" spans="2:15">
      <c r="B31" s="88"/>
      <c r="C31" s="67"/>
      <c r="D31" s="67"/>
      <c r="E31" s="67"/>
      <c r="F31" s="67"/>
    </row>
    <row r="32" spans="2:15">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Actuals</v>
      </c>
      <c r="J32" s="345" t="str">
        <f>IF(J33&lt;='RFPR cover'!$C$7,"Actuals","Forecast")</f>
        <v>Forecast</v>
      </c>
    </row>
    <row r="33" spans="2:15" ht="15.75" customHeight="1">
      <c r="B33" s="289"/>
      <c r="C33" s="90">
        <f>'RFPR cover'!$C$13</f>
        <v>2016</v>
      </c>
      <c r="D33" s="91">
        <f t="shared" ref="D33:J33" si="1">C33+1</f>
        <v>2017</v>
      </c>
      <c r="E33" s="91">
        <f t="shared" si="1"/>
        <v>2018</v>
      </c>
      <c r="F33" s="91">
        <f t="shared" si="1"/>
        <v>2019</v>
      </c>
      <c r="G33" s="91">
        <f t="shared" si="1"/>
        <v>2020</v>
      </c>
      <c r="H33" s="91">
        <f t="shared" si="1"/>
        <v>2021</v>
      </c>
      <c r="I33" s="91">
        <f t="shared" si="1"/>
        <v>2022</v>
      </c>
      <c r="J33" s="316">
        <f t="shared" si="1"/>
        <v>2023</v>
      </c>
    </row>
    <row r="34" spans="2:15" ht="15.75" customHeight="1">
      <c r="B34" s="496" t="s">
        <v>374</v>
      </c>
      <c r="C34" s="494">
        <f>INDEX(Data!$E$14:$E$30,MATCH(C$33,Data!$C$14:$C$30,0),0)/IF('RFPR cover'!$C$6="ED1",Data!$E$17,Data!$E$14)</f>
        <v>1.0603167467048125</v>
      </c>
      <c r="D34" s="491">
        <f>INDEX(Data!$E$14:$E$30,MATCH(D$33,Data!$C$14:$C$30,0),0)/IF('RFPR cover'!$C$6="ED1",Data!$E$17,Data!$E$14)</f>
        <v>1.0830366813119445</v>
      </c>
      <c r="E34" s="491">
        <f>INDEX(Data!$E$14:$E$30,MATCH(E$33,Data!$C$14:$C$30,0),0)/IF('RFPR cover'!$C$6="ED1",Data!$E$17,Data!$E$14)</f>
        <v>1.1235639113109226</v>
      </c>
      <c r="F34" s="491">
        <f>INDEX(Data!$E$14:$E$30,MATCH(F$33,Data!$C$14:$C$30,0),0)/IF('RFPR cover'!$C$6="ED1",Data!$E$17,Data!$E$14)</f>
        <v>1.1578951670583426</v>
      </c>
      <c r="G34" s="491">
        <f>INDEX(Data!$E$14:$E$30,MATCH(G$33,Data!$C$14:$C$30,0),0)/IF('RFPR cover'!$C$6="ED1",Data!$E$17,Data!$E$14)</f>
        <v>1.1878696229692449</v>
      </c>
      <c r="H34" s="491">
        <f>INDEX(Data!$E$14:$E$30,MATCH(H$33,Data!$C$14:$C$30,0),0)/IF('RFPR cover'!$C$6="ED1",Data!$E$17,Data!$E$14)</f>
        <v>1.2022764892203943</v>
      </c>
      <c r="I34" s="492">
        <f>INDEX(Data!$E$14:$E$30,MATCH(I$33,Data!$C$14:$C$30,0),0)/IF('RFPR cover'!$C$6="ED1",Data!$E$17,Data!$E$14)</f>
        <v>1.2717196280780627</v>
      </c>
      <c r="J34" s="493">
        <f>INDEX(Data!$E$14:$E$30,MATCH(J$33,Data!$C$14:$C$30,0),0)/IF('RFPR cover'!$C$6="ED1",Data!$E$17,Data!$E$14)</f>
        <v>1.3772723572085417</v>
      </c>
    </row>
    <row r="35" spans="2:15" ht="15.75" customHeight="1">
      <c r="B35" s="497" t="s">
        <v>42</v>
      </c>
      <c r="C35" s="495">
        <f>INDEX(Data!$F$14:$F$30,MATCH(C$33,Data!$C$14:$C$30,0),0)/IF('RFPR cover'!$C$6="ED1",Data!$E$17,Data!$E$14)</f>
        <v>1.0677429242873198</v>
      </c>
      <c r="D35" s="495">
        <f>INDEX(Data!$F$14:$F$30,MATCH(D$33,Data!$C$14:$C$30,0),0)/IF('RFPR cover'!$C$6="ED1",Data!$E$17,Data!$E$14)</f>
        <v>1.1033002963114336</v>
      </c>
      <c r="E35" s="495">
        <f>INDEX(Data!$F$14:$F$30,MATCH(E$33,Data!$C$14:$C$30,0),0)/IF('RFPR cover'!$C$6="ED1",Data!$E$17,Data!$E$14)</f>
        <v>1.1402881373250229</v>
      </c>
      <c r="F35" s="495">
        <f>INDEX(Data!$F$14:$F$30,MATCH(F$33,Data!$C$14:$C$30,0),0)/IF('RFPR cover'!$C$6="ED1",Data!$E$17,Data!$E$14)</f>
        <v>1.171554102380709</v>
      </c>
      <c r="G35" s="495">
        <f>INDEX(Data!$F$14:$F$30,MATCH(G$33,Data!$C$14:$C$30,0),0)/IF('RFPR cover'!$C$6="ED1",Data!$E$17,Data!$E$14)</f>
        <v>1.1958720752017984</v>
      </c>
      <c r="H35" s="495">
        <f>INDEX(Data!$F$14:$F$30,MATCH(H$33,Data!$C$14:$C$30,0),0)/IF('RFPR cover'!$C$6="ED1",Data!$E$17,Data!$E$14)</f>
        <v>1.2220292224379279</v>
      </c>
      <c r="I35" s="495">
        <f>INDEX(Data!$F$14:$F$30,MATCH(I$33,Data!$C$14:$C$30,0),0)/IF('RFPR cover'!$C$6="ED1",Data!$E$17,Data!$E$14)</f>
        <v>1.3448452028200675</v>
      </c>
      <c r="J35" s="495">
        <f>INDEX(Data!$F$14:$F$30,MATCH(J$33,Data!$C$14:$C$30,0),0)/IF('RFPR cover'!$C$6="ED1",Data!$E$17,Data!$E$14)</f>
        <v>1.4564673546541329</v>
      </c>
    </row>
    <row r="36" spans="2:15">
      <c r="B36" s="497" t="s">
        <v>504</v>
      </c>
      <c r="C36" s="495">
        <f>INDEX(Data!$E$14:$E$30,MATCH(C$33,Data!$C$14:$C$30,0))/INDEX(Data!$E$14:$E$30,MATCH(C$33-1,Data!$C$14:$C$30,0))</f>
        <v>1.0107766093810269</v>
      </c>
      <c r="D36" s="495">
        <f>INDEX(Data!$E$14:$E$30,MATCH(D$33,Data!$C$14:$C$30,0))/INDEX(Data!$E$14:$E$30,MATCH(D$33-1,Data!$C$14:$C$30,0))</f>
        <v>1.0214274976583551</v>
      </c>
      <c r="E36" s="495">
        <f>INDEX(Data!$E$14:$E$30,MATCH(E$33,Data!$C$14:$C$30,0))/INDEX(Data!$E$14:$E$30,MATCH(E$33-1,Data!$C$14:$C$30,0))</f>
        <v>1.0374199975848328</v>
      </c>
      <c r="F36" s="495">
        <f>INDEX(Data!$E$14:$E$30,MATCH(F$33,Data!$C$14:$C$30,0))/INDEX(Data!$E$14:$E$30,MATCH(F$33-1,Data!$C$14:$C$30,0))</f>
        <v>1.0305556768082411</v>
      </c>
      <c r="G36" s="495">
        <f>INDEX(Data!$E$14:$E$30,MATCH(G$33,Data!$C$14:$C$30,0))/INDEX(Data!$E$14:$E$30,MATCH(G$33-1,Data!$C$14:$C$30,0))</f>
        <v>1.0258870204865376</v>
      </c>
      <c r="H36" s="495">
        <f>INDEX(Data!$E$14:$E$30,MATCH(H$33,Data!$C$14:$C$30,0))/INDEX(Data!$E$14:$E$30,MATCH(H$33-1,Data!$C$14:$C$30,0))</f>
        <v>1.0121283228163858</v>
      </c>
      <c r="I36" s="495">
        <f>INDEX(Data!$E$14:$E$30,MATCH(I$33,Data!$C$14:$C$30,0))/INDEX(Data!$E$14:$E$30,MATCH(I$33-1,Data!$C$14:$C$30,0))</f>
        <v>1.057759707921011</v>
      </c>
      <c r="J36" s="495">
        <f>INDEX(Data!$E$14:$E$30,MATCH(J$33,Data!$C$14:$C$30,0))/INDEX(Data!$E$14:$E$30,MATCH(J$33-1,Data!$C$14:$C$30,0))</f>
        <v>1.083</v>
      </c>
    </row>
    <row r="37" spans="2:15" ht="15.75" customHeight="1">
      <c r="B37" s="14" t="s">
        <v>275</v>
      </c>
      <c r="F37" s="517"/>
    </row>
    <row r="38" spans="2:15">
      <c r="C38" s="510" t="s">
        <v>276</v>
      </c>
      <c r="D38" s="117">
        <v>2017</v>
      </c>
      <c r="E38" s="118">
        <f t="shared" ref="E38:J38" si="2">D38+1</f>
        <v>2018</v>
      </c>
      <c r="F38" s="118">
        <f t="shared" si="2"/>
        <v>2019</v>
      </c>
      <c r="G38" s="118">
        <f t="shared" si="2"/>
        <v>2020</v>
      </c>
      <c r="H38" s="118">
        <f t="shared" si="2"/>
        <v>2021</v>
      </c>
      <c r="I38" s="118">
        <f t="shared" si="2"/>
        <v>2022</v>
      </c>
      <c r="J38" s="195">
        <f t="shared" si="2"/>
        <v>2023</v>
      </c>
      <c r="K38" s="1008" t="s">
        <v>384</v>
      </c>
      <c r="L38" s="1008"/>
      <c r="M38" s="1008"/>
    </row>
    <row r="39" spans="2:15" ht="13.2" thickBot="1">
      <c r="B39" t="s">
        <v>385</v>
      </c>
      <c r="C39" s="200"/>
      <c r="D39" s="759"/>
      <c r="E39" s="759"/>
      <c r="F39" s="759"/>
      <c r="G39" s="759"/>
      <c r="H39" s="759"/>
      <c r="I39" s="949">
        <v>9.0999999999999998E-2</v>
      </c>
      <c r="J39" s="950">
        <v>5.8999999999999997E-2</v>
      </c>
      <c r="K39" s="1009" t="s">
        <v>648</v>
      </c>
      <c r="L39" s="1009"/>
      <c r="M39" s="1009"/>
      <c r="O39" s="322"/>
    </row>
    <row r="41" spans="2:15">
      <c r="B41" s="14" t="s">
        <v>277</v>
      </c>
    </row>
    <row r="42" spans="2:15">
      <c r="C42" s="509" t="s">
        <v>278</v>
      </c>
      <c r="D42" s="117">
        <v>2017</v>
      </c>
      <c r="E42" s="118">
        <f t="shared" ref="E42:J42" si="3">D42+1</f>
        <v>2018</v>
      </c>
      <c r="F42" s="118">
        <f t="shared" si="3"/>
        <v>2019</v>
      </c>
      <c r="G42" s="118">
        <f t="shared" si="3"/>
        <v>2020</v>
      </c>
      <c r="H42" s="118">
        <f t="shared" si="3"/>
        <v>2021</v>
      </c>
      <c r="I42" s="118">
        <f t="shared" si="3"/>
        <v>2022</v>
      </c>
      <c r="J42" s="195">
        <f t="shared" si="3"/>
        <v>2023</v>
      </c>
    </row>
    <row r="43" spans="2:15">
      <c r="B43" t="s">
        <v>279</v>
      </c>
      <c r="D43" s="570"/>
      <c r="E43" s="571"/>
      <c r="F43" s="571"/>
      <c r="G43" s="571"/>
      <c r="H43" s="571"/>
      <c r="I43" s="571"/>
      <c r="J43" s="760">
        <f>(I39*0.75)+(J39*0.25)</f>
        <v>8.3000000000000004E-2</v>
      </c>
      <c r="O43" s="322"/>
    </row>
    <row r="45" spans="2:15">
      <c r="B45" s="315" t="str">
        <f>"Selected Capitalisation rates for "&amp;'RFPR cover'!C5</f>
        <v>Selected Capitalisation rates for WPD-WMID</v>
      </c>
      <c r="C45" s="271"/>
      <c r="D45" s="271"/>
      <c r="E45" s="271"/>
      <c r="F45" s="271"/>
      <c r="G45" s="271"/>
      <c r="H45" s="271"/>
      <c r="I45" s="271"/>
      <c r="J45" s="271"/>
      <c r="K45" s="271"/>
      <c r="L45" s="271"/>
      <c r="M45" s="284"/>
    </row>
    <row r="46" spans="2:15">
      <c r="B46" s="201"/>
      <c r="C46" s="42"/>
      <c r="D46" s="42"/>
      <c r="E46" s="42"/>
      <c r="F46" s="42"/>
      <c r="G46" s="42"/>
      <c r="H46" s="42"/>
      <c r="I46" s="42"/>
      <c r="J46" s="42"/>
      <c r="K46" s="42"/>
      <c r="L46" s="42"/>
      <c r="M46" s="202"/>
    </row>
    <row r="47" spans="2:15">
      <c r="B47" s="201"/>
      <c r="C47" s="314" t="s">
        <v>252</v>
      </c>
      <c r="D47" s="42"/>
      <c r="E47" s="42"/>
      <c r="F47" s="42"/>
      <c r="G47" s="42"/>
      <c r="H47" s="42"/>
      <c r="I47" s="42"/>
      <c r="J47" s="42"/>
      <c r="K47" s="42"/>
      <c r="L47" s="42"/>
      <c r="M47" s="202"/>
    </row>
    <row r="48" spans="2:15">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1013" t="s">
        <v>253</v>
      </c>
      <c r="H54" s="1014"/>
      <c r="I54" s="1015"/>
      <c r="J54" s="1022" t="s">
        <v>255</v>
      </c>
      <c r="K54" s="1023"/>
    </row>
    <row r="55" spans="2:20">
      <c r="B55" s="305"/>
      <c r="C55" s="305"/>
      <c r="E55" s="303" t="s">
        <v>174</v>
      </c>
      <c r="F55" s="332" t="s">
        <v>184</v>
      </c>
      <c r="G55" s="1016" t="s">
        <v>253</v>
      </c>
      <c r="H55" s="1017"/>
      <c r="I55" s="1018"/>
      <c r="J55" s="1024" t="s">
        <v>255</v>
      </c>
      <c r="K55" s="1025"/>
    </row>
    <row r="56" spans="2:20">
      <c r="B56" s="305"/>
      <c r="C56" s="305"/>
      <c r="E56" s="303" t="s">
        <v>173</v>
      </c>
      <c r="F56" s="332" t="s">
        <v>184</v>
      </c>
      <c r="G56" s="1016" t="s">
        <v>244</v>
      </c>
      <c r="H56" s="1017"/>
      <c r="I56" s="1018"/>
      <c r="J56" s="1024" t="s">
        <v>245</v>
      </c>
      <c r="K56" s="1025"/>
    </row>
    <row r="57" spans="2:20">
      <c r="B57" s="305"/>
      <c r="C57" s="305"/>
      <c r="E57" s="304" t="s">
        <v>175</v>
      </c>
      <c r="F57" s="333" t="s">
        <v>184</v>
      </c>
      <c r="G57" s="1019" t="s">
        <v>254</v>
      </c>
      <c r="H57" s="1020"/>
      <c r="I57" s="1021"/>
      <c r="J57" s="1026" t="s">
        <v>256</v>
      </c>
      <c r="K57" s="1027"/>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351</v>
      </c>
      <c r="C61" s="43"/>
      <c r="I61" s="67"/>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195">
        <f t="shared" si="5"/>
        <v>2023</v>
      </c>
    </row>
    <row r="63" spans="2:20">
      <c r="B63" s="441" t="s">
        <v>349</v>
      </c>
      <c r="C63" s="566"/>
      <c r="D63" s="567"/>
      <c r="E63" s="439">
        <v>2.5499999999999998E-2</v>
      </c>
      <c r="F63" s="439">
        <v>2.3799999999999998E-2</v>
      </c>
      <c r="G63" s="439">
        <v>2.2200000000000001E-2</v>
      </c>
      <c r="H63" s="439">
        <v>1.9099999999999999E-2</v>
      </c>
      <c r="I63" s="439">
        <v>1.5800000000000002E-2</v>
      </c>
      <c r="J63" s="439">
        <v>1.09E-2</v>
      </c>
      <c r="K63" s="439">
        <v>7.6E-3</v>
      </c>
      <c r="L63" s="440">
        <v>3.8999999999999998E-3</v>
      </c>
    </row>
    <row r="64" spans="2:20">
      <c r="B64" s="442" t="s">
        <v>336</v>
      </c>
      <c r="C64" s="554"/>
      <c r="D64" s="555"/>
      <c r="E64" s="401">
        <v>2.5499999999999998E-2</v>
      </c>
      <c r="F64" s="401">
        <v>2.4199999999999999E-2</v>
      </c>
      <c r="G64" s="401">
        <v>2.29E-2</v>
      </c>
      <c r="H64" s="401">
        <v>2.0899999999999998E-2</v>
      </c>
      <c r="I64" s="401">
        <v>1.9400000000000001E-2</v>
      </c>
      <c r="J64" s="401">
        <v>1.78E-2</v>
      </c>
      <c r="K64" s="401">
        <v>1.6199999999999999E-2</v>
      </c>
      <c r="L64" s="404">
        <v>1.44E-2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8"/>
      <c r="L65" s="569"/>
    </row>
    <row r="66" spans="1:20">
      <c r="B66" s="442" t="s">
        <v>350</v>
      </c>
      <c r="C66" s="437">
        <v>2.92E-2</v>
      </c>
      <c r="D66" s="438">
        <v>2.7199999999999998E-2</v>
      </c>
      <c r="E66" s="438">
        <v>2.5499999999999998E-2</v>
      </c>
      <c r="F66" s="438">
        <v>2.3800000000000002E-2</v>
      </c>
      <c r="G66" s="438">
        <v>2.2200000000000001E-2</v>
      </c>
      <c r="H66" s="438">
        <v>1.9099999999999999E-2</v>
      </c>
      <c r="I66" s="438">
        <v>1.5800000000000002E-2</v>
      </c>
      <c r="J66" s="438">
        <v>1.09E-2</v>
      </c>
      <c r="K66" s="555"/>
      <c r="L66" s="556"/>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v>1.09E-2</v>
      </c>
      <c r="K67" s="555"/>
      <c r="L67" s="556"/>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7"/>
      <c r="L68" s="558"/>
    </row>
    <row r="69" spans="1:20">
      <c r="I69" s="67"/>
    </row>
    <row r="70" spans="1:20">
      <c r="H70" s="67"/>
      <c r="K70" s="42"/>
      <c r="L70" s="42"/>
      <c r="M70" s="42"/>
      <c r="N70" s="42"/>
      <c r="O70" s="42"/>
      <c r="P70" s="42"/>
      <c r="Q70" s="42"/>
      <c r="R70" s="42"/>
      <c r="S70" s="42"/>
      <c r="T70" s="42"/>
    </row>
    <row r="71" spans="1:20" ht="37.799999999999997">
      <c r="B71" s="22"/>
      <c r="C71" s="74" t="s">
        <v>251</v>
      </c>
      <c r="D71" s="75" t="s">
        <v>212</v>
      </c>
      <c r="E71" s="75" t="s">
        <v>72</v>
      </c>
      <c r="F71" s="75" t="s">
        <v>274</v>
      </c>
      <c r="G71" s="75" t="s">
        <v>116</v>
      </c>
      <c r="H71" s="76" t="s">
        <v>186</v>
      </c>
      <c r="I71" s="330" t="s">
        <v>269</v>
      </c>
      <c r="J71" s="330" t="s">
        <v>481</v>
      </c>
      <c r="K71" s="1010" t="s">
        <v>345</v>
      </c>
      <c r="L71" s="1011"/>
      <c r="M71" s="1011"/>
      <c r="N71" s="1011"/>
      <c r="O71" s="1011"/>
      <c r="P71" s="1011"/>
      <c r="Q71" s="1011"/>
      <c r="R71" s="1011"/>
      <c r="S71" s="1011"/>
      <c r="T71" s="1012"/>
    </row>
    <row r="72" spans="1:20">
      <c r="A72" s="334" t="s">
        <v>189</v>
      </c>
      <c r="B72" s="68" t="s">
        <v>69</v>
      </c>
      <c r="C72" s="306"/>
      <c r="D72" s="70"/>
      <c r="E72" s="69"/>
      <c r="F72" s="69"/>
      <c r="G72" s="70"/>
      <c r="H72" s="71"/>
      <c r="I72" s="71"/>
      <c r="J72" s="424"/>
      <c r="K72" s="425">
        <v>2014</v>
      </c>
      <c r="L72" s="426">
        <f t="shared" ref="L72:T72" si="6">K72+1</f>
        <v>2015</v>
      </c>
      <c r="M72" s="426">
        <f t="shared" si="6"/>
        <v>2016</v>
      </c>
      <c r="N72" s="426">
        <f t="shared" si="6"/>
        <v>2017</v>
      </c>
      <c r="O72" s="426">
        <f t="shared" si="6"/>
        <v>2018</v>
      </c>
      <c r="P72" s="426">
        <f t="shared" si="6"/>
        <v>2019</v>
      </c>
      <c r="Q72" s="426">
        <f t="shared" si="6"/>
        <v>2020</v>
      </c>
      <c r="R72" s="426">
        <f t="shared" si="6"/>
        <v>2021</v>
      </c>
      <c r="S72" s="426">
        <f t="shared" si="6"/>
        <v>2022</v>
      </c>
      <c r="T72" s="427">
        <f t="shared" si="6"/>
        <v>2023</v>
      </c>
    </row>
    <row r="73" spans="1:20">
      <c r="A73" s="60" t="s">
        <v>172</v>
      </c>
      <c r="B73" s="72" t="s">
        <v>43</v>
      </c>
      <c r="C73" s="307">
        <v>0.06</v>
      </c>
      <c r="D73" s="308">
        <v>0.58109999999999995</v>
      </c>
      <c r="E73" s="309">
        <v>0.65</v>
      </c>
      <c r="F73" s="309">
        <v>0.68</v>
      </c>
      <c r="G73" s="340">
        <v>2016</v>
      </c>
      <c r="H73" s="341" t="str">
        <f t="shared" ref="H73:H97" si="7">VLOOKUP($A73,$E$54:$F$57,2,FALSE)</f>
        <v>£m 12/13</v>
      </c>
      <c r="I73" s="341" t="s">
        <v>270</v>
      </c>
      <c r="J73" s="424" t="s">
        <v>482</v>
      </c>
      <c r="K73" s="554"/>
      <c r="L73" s="555"/>
      <c r="M73" s="432">
        <f t="shared" ref="M73:M82" si="8">E$64</f>
        <v>2.5499999999999998E-2</v>
      </c>
      <c r="N73" s="432">
        <f t="shared" ref="N73:N82" si="9">F$64</f>
        <v>2.4199999999999999E-2</v>
      </c>
      <c r="O73" s="432">
        <f t="shared" ref="O73:O82" si="10">G$64</f>
        <v>2.29E-2</v>
      </c>
      <c r="P73" s="432">
        <f t="shared" ref="P73:P82" si="11">H$64</f>
        <v>2.0899999999999998E-2</v>
      </c>
      <c r="Q73" s="432">
        <f t="shared" ref="Q73:Q82" si="12">I$64</f>
        <v>1.9400000000000001E-2</v>
      </c>
      <c r="R73" s="432">
        <f t="shared" ref="R73:R82" si="13">J$64</f>
        <v>1.78E-2</v>
      </c>
      <c r="S73" s="432">
        <f t="shared" ref="S73:S82" si="14">K$64</f>
        <v>1.6199999999999999E-2</v>
      </c>
      <c r="T73" s="436">
        <f t="shared" ref="T73:T82" si="15">L$64</f>
        <v>1.44E-2</v>
      </c>
    </row>
    <row r="74" spans="1:20">
      <c r="A74" s="60" t="s">
        <v>172</v>
      </c>
      <c r="B74" s="72" t="s">
        <v>44</v>
      </c>
      <c r="C74" s="307">
        <v>0.06</v>
      </c>
      <c r="D74" s="308">
        <v>0.55843703457782867</v>
      </c>
      <c r="E74" s="309">
        <v>0.65</v>
      </c>
      <c r="F74" s="309">
        <v>0.7</v>
      </c>
      <c r="G74" s="340">
        <v>2016</v>
      </c>
      <c r="H74" s="341" t="str">
        <f t="shared" si="7"/>
        <v>£m 12/13</v>
      </c>
      <c r="I74" s="341" t="s">
        <v>270</v>
      </c>
      <c r="J74" s="424" t="s">
        <v>482</v>
      </c>
      <c r="K74" s="554"/>
      <c r="L74" s="555"/>
      <c r="M74" s="432">
        <f t="shared" si="8"/>
        <v>2.5499999999999998E-2</v>
      </c>
      <c r="N74" s="432">
        <f t="shared" si="9"/>
        <v>2.4199999999999999E-2</v>
      </c>
      <c r="O74" s="432">
        <f t="shared" si="10"/>
        <v>2.29E-2</v>
      </c>
      <c r="P74" s="432">
        <f t="shared" si="11"/>
        <v>2.0899999999999998E-2</v>
      </c>
      <c r="Q74" s="432">
        <f t="shared" si="12"/>
        <v>1.9400000000000001E-2</v>
      </c>
      <c r="R74" s="432">
        <f t="shared" si="13"/>
        <v>1.78E-2</v>
      </c>
      <c r="S74" s="432">
        <f t="shared" si="14"/>
        <v>1.6199999999999999E-2</v>
      </c>
      <c r="T74" s="436">
        <f t="shared" si="15"/>
        <v>1.44E-2</v>
      </c>
    </row>
    <row r="75" spans="1:20">
      <c r="A75" s="60" t="s">
        <v>172</v>
      </c>
      <c r="B75" s="72" t="s">
        <v>73</v>
      </c>
      <c r="C75" s="307">
        <v>0.06</v>
      </c>
      <c r="D75" s="308">
        <v>0.55843703457782867</v>
      </c>
      <c r="E75" s="309">
        <v>0.65</v>
      </c>
      <c r="F75" s="309">
        <v>0.72</v>
      </c>
      <c r="G75" s="340">
        <v>2016</v>
      </c>
      <c r="H75" s="341" t="str">
        <f t="shared" si="7"/>
        <v>£m 12/13</v>
      </c>
      <c r="I75" s="341" t="s">
        <v>270</v>
      </c>
      <c r="J75" s="424" t="s">
        <v>482</v>
      </c>
      <c r="K75" s="554"/>
      <c r="L75" s="555"/>
      <c r="M75" s="432">
        <f t="shared" si="8"/>
        <v>2.5499999999999998E-2</v>
      </c>
      <c r="N75" s="432">
        <f t="shared" si="9"/>
        <v>2.4199999999999999E-2</v>
      </c>
      <c r="O75" s="432">
        <f t="shared" si="10"/>
        <v>2.29E-2</v>
      </c>
      <c r="P75" s="432">
        <f t="shared" si="11"/>
        <v>2.0899999999999998E-2</v>
      </c>
      <c r="Q75" s="432">
        <f t="shared" si="12"/>
        <v>1.9400000000000001E-2</v>
      </c>
      <c r="R75" s="432">
        <f t="shared" si="13"/>
        <v>1.78E-2</v>
      </c>
      <c r="S75" s="432">
        <f t="shared" si="14"/>
        <v>1.6199999999999999E-2</v>
      </c>
      <c r="T75" s="436">
        <f t="shared" si="15"/>
        <v>1.44E-2</v>
      </c>
    </row>
    <row r="76" spans="1:20">
      <c r="A76" s="60" t="s">
        <v>172</v>
      </c>
      <c r="B76" s="72" t="s">
        <v>59</v>
      </c>
      <c r="C76" s="307">
        <v>0.06</v>
      </c>
      <c r="D76" s="308">
        <v>0.53280000000000005</v>
      </c>
      <c r="E76" s="309">
        <v>0.65</v>
      </c>
      <c r="F76" s="309">
        <v>0.68</v>
      </c>
      <c r="G76" s="340">
        <v>2016</v>
      </c>
      <c r="H76" s="341" t="str">
        <f t="shared" si="7"/>
        <v>£m 12/13</v>
      </c>
      <c r="I76" s="341" t="s">
        <v>270</v>
      </c>
      <c r="J76" s="424" t="s">
        <v>482</v>
      </c>
      <c r="K76" s="554"/>
      <c r="L76" s="555"/>
      <c r="M76" s="432">
        <f t="shared" si="8"/>
        <v>2.5499999999999998E-2</v>
      </c>
      <c r="N76" s="432">
        <f t="shared" si="9"/>
        <v>2.4199999999999999E-2</v>
      </c>
      <c r="O76" s="432">
        <f t="shared" si="10"/>
        <v>2.29E-2</v>
      </c>
      <c r="P76" s="432">
        <f t="shared" si="11"/>
        <v>2.0899999999999998E-2</v>
      </c>
      <c r="Q76" s="432">
        <f t="shared" si="12"/>
        <v>1.9400000000000001E-2</v>
      </c>
      <c r="R76" s="432">
        <f t="shared" si="13"/>
        <v>1.78E-2</v>
      </c>
      <c r="S76" s="432">
        <f t="shared" si="14"/>
        <v>1.6199999999999999E-2</v>
      </c>
      <c r="T76" s="436">
        <f t="shared" si="15"/>
        <v>1.44E-2</v>
      </c>
    </row>
    <row r="77" spans="1:20">
      <c r="A77" s="60" t="s">
        <v>172</v>
      </c>
      <c r="B77" s="72" t="s">
        <v>57</v>
      </c>
      <c r="C77" s="307">
        <v>0.06</v>
      </c>
      <c r="D77" s="308">
        <v>0.53280000000000005</v>
      </c>
      <c r="E77" s="309">
        <v>0.65</v>
      </c>
      <c r="F77" s="309">
        <v>0.68</v>
      </c>
      <c r="G77" s="340">
        <v>2016</v>
      </c>
      <c r="H77" s="341" t="str">
        <f t="shared" si="7"/>
        <v>£m 12/13</v>
      </c>
      <c r="I77" s="341" t="s">
        <v>270</v>
      </c>
      <c r="J77" s="424" t="s">
        <v>482</v>
      </c>
      <c r="K77" s="554"/>
      <c r="L77" s="555"/>
      <c r="M77" s="432">
        <f t="shared" si="8"/>
        <v>2.5499999999999998E-2</v>
      </c>
      <c r="N77" s="432">
        <f t="shared" si="9"/>
        <v>2.4199999999999999E-2</v>
      </c>
      <c r="O77" s="432">
        <f t="shared" si="10"/>
        <v>2.29E-2</v>
      </c>
      <c r="P77" s="432">
        <f t="shared" si="11"/>
        <v>2.0899999999999998E-2</v>
      </c>
      <c r="Q77" s="432">
        <f t="shared" si="12"/>
        <v>1.9400000000000001E-2</v>
      </c>
      <c r="R77" s="432">
        <f t="shared" si="13"/>
        <v>1.78E-2</v>
      </c>
      <c r="S77" s="432">
        <f t="shared" si="14"/>
        <v>1.6199999999999999E-2</v>
      </c>
      <c r="T77" s="436">
        <f t="shared" si="15"/>
        <v>1.44E-2</v>
      </c>
    </row>
    <row r="78" spans="1:20">
      <c r="A78" s="60" t="s">
        <v>172</v>
      </c>
      <c r="B78" s="72" t="s">
        <v>58</v>
      </c>
      <c r="C78" s="307">
        <v>0.06</v>
      </c>
      <c r="D78" s="308">
        <v>0.53280000000000005</v>
      </c>
      <c r="E78" s="309">
        <v>0.65</v>
      </c>
      <c r="F78" s="309">
        <v>0.68</v>
      </c>
      <c r="G78" s="340">
        <v>2016</v>
      </c>
      <c r="H78" s="341" t="str">
        <f t="shared" si="7"/>
        <v>£m 12/13</v>
      </c>
      <c r="I78" s="341" t="s">
        <v>270</v>
      </c>
      <c r="J78" s="424" t="s">
        <v>482</v>
      </c>
      <c r="K78" s="554"/>
      <c r="L78" s="555"/>
      <c r="M78" s="432">
        <f t="shared" si="8"/>
        <v>2.5499999999999998E-2</v>
      </c>
      <c r="N78" s="432">
        <f t="shared" si="9"/>
        <v>2.4199999999999999E-2</v>
      </c>
      <c r="O78" s="432">
        <f t="shared" si="10"/>
        <v>2.29E-2</v>
      </c>
      <c r="P78" s="432">
        <f t="shared" si="11"/>
        <v>2.0899999999999998E-2</v>
      </c>
      <c r="Q78" s="432">
        <f t="shared" si="12"/>
        <v>1.9400000000000001E-2</v>
      </c>
      <c r="R78" s="432">
        <f t="shared" si="13"/>
        <v>1.78E-2</v>
      </c>
      <c r="S78" s="432">
        <f t="shared" si="14"/>
        <v>1.6199999999999999E-2</v>
      </c>
      <c r="T78" s="436">
        <f t="shared" si="15"/>
        <v>1.44E-2</v>
      </c>
    </row>
    <row r="79" spans="1:20">
      <c r="A79" s="60" t="s">
        <v>172</v>
      </c>
      <c r="B79" s="72" t="s">
        <v>45</v>
      </c>
      <c r="C79" s="307">
        <v>0.06</v>
      </c>
      <c r="D79" s="308">
        <v>0.53500000000000003</v>
      </c>
      <c r="E79" s="309">
        <v>0.65</v>
      </c>
      <c r="F79" s="309">
        <v>0.8</v>
      </c>
      <c r="G79" s="340">
        <v>2016</v>
      </c>
      <c r="H79" s="341" t="str">
        <f t="shared" si="7"/>
        <v>£m 12/13</v>
      </c>
      <c r="I79" s="341" t="s">
        <v>270</v>
      </c>
      <c r="J79" s="424" t="s">
        <v>482</v>
      </c>
      <c r="K79" s="554"/>
      <c r="L79" s="555"/>
      <c r="M79" s="432">
        <f t="shared" si="8"/>
        <v>2.5499999999999998E-2</v>
      </c>
      <c r="N79" s="432">
        <f t="shared" si="9"/>
        <v>2.4199999999999999E-2</v>
      </c>
      <c r="O79" s="432">
        <f t="shared" si="10"/>
        <v>2.29E-2</v>
      </c>
      <c r="P79" s="432">
        <f t="shared" si="11"/>
        <v>2.0899999999999998E-2</v>
      </c>
      <c r="Q79" s="432">
        <f t="shared" si="12"/>
        <v>1.9400000000000001E-2</v>
      </c>
      <c r="R79" s="432">
        <f t="shared" si="13"/>
        <v>1.78E-2</v>
      </c>
      <c r="S79" s="432">
        <f t="shared" si="14"/>
        <v>1.6199999999999999E-2</v>
      </c>
      <c r="T79" s="436">
        <f t="shared" si="15"/>
        <v>1.44E-2</v>
      </c>
    </row>
    <row r="80" spans="1:20">
      <c r="A80" s="60" t="s">
        <v>172</v>
      </c>
      <c r="B80" s="72" t="s">
        <v>46</v>
      </c>
      <c r="C80" s="307">
        <v>0.06</v>
      </c>
      <c r="D80" s="308">
        <v>0.53500000000000003</v>
      </c>
      <c r="E80" s="309">
        <v>0.65</v>
      </c>
      <c r="F80" s="309">
        <v>0.8</v>
      </c>
      <c r="G80" s="340">
        <v>2016</v>
      </c>
      <c r="H80" s="341" t="str">
        <f t="shared" si="7"/>
        <v>£m 12/13</v>
      </c>
      <c r="I80" s="341" t="s">
        <v>270</v>
      </c>
      <c r="J80" s="424" t="s">
        <v>482</v>
      </c>
      <c r="K80" s="554"/>
      <c r="L80" s="555"/>
      <c r="M80" s="432">
        <f t="shared" si="8"/>
        <v>2.5499999999999998E-2</v>
      </c>
      <c r="N80" s="432">
        <f t="shared" si="9"/>
        <v>2.4199999999999999E-2</v>
      </c>
      <c r="O80" s="432">
        <f t="shared" si="10"/>
        <v>2.29E-2</v>
      </c>
      <c r="P80" s="432">
        <f t="shared" si="11"/>
        <v>2.0899999999999998E-2</v>
      </c>
      <c r="Q80" s="432">
        <f t="shared" si="12"/>
        <v>1.9400000000000001E-2</v>
      </c>
      <c r="R80" s="432">
        <f t="shared" si="13"/>
        <v>1.78E-2</v>
      </c>
      <c r="S80" s="432">
        <f t="shared" si="14"/>
        <v>1.6199999999999999E-2</v>
      </c>
      <c r="T80" s="436">
        <f t="shared" si="15"/>
        <v>1.44E-2</v>
      </c>
    </row>
    <row r="81" spans="1:20">
      <c r="A81" s="60" t="s">
        <v>172</v>
      </c>
      <c r="B81" s="72" t="s">
        <v>47</v>
      </c>
      <c r="C81" s="307">
        <v>0.06</v>
      </c>
      <c r="D81" s="308">
        <v>0.56469999999999998</v>
      </c>
      <c r="E81" s="309">
        <v>0.65</v>
      </c>
      <c r="F81" s="309">
        <v>0.62</v>
      </c>
      <c r="G81" s="340">
        <v>2016</v>
      </c>
      <c r="H81" s="341" t="str">
        <f t="shared" si="7"/>
        <v>£m 12/13</v>
      </c>
      <c r="I81" s="341" t="s">
        <v>270</v>
      </c>
      <c r="J81" s="424" t="s">
        <v>482</v>
      </c>
      <c r="K81" s="554"/>
      <c r="L81" s="555"/>
      <c r="M81" s="432">
        <f t="shared" si="8"/>
        <v>2.5499999999999998E-2</v>
      </c>
      <c r="N81" s="432">
        <f t="shared" si="9"/>
        <v>2.4199999999999999E-2</v>
      </c>
      <c r="O81" s="432">
        <f t="shared" si="10"/>
        <v>2.29E-2</v>
      </c>
      <c r="P81" s="432">
        <f t="shared" si="11"/>
        <v>2.0899999999999998E-2</v>
      </c>
      <c r="Q81" s="432">
        <f t="shared" si="12"/>
        <v>1.9400000000000001E-2</v>
      </c>
      <c r="R81" s="432">
        <f t="shared" si="13"/>
        <v>1.78E-2</v>
      </c>
      <c r="S81" s="432">
        <f t="shared" si="14"/>
        <v>1.6199999999999999E-2</v>
      </c>
      <c r="T81" s="436">
        <f t="shared" si="15"/>
        <v>1.44E-2</v>
      </c>
    </row>
    <row r="82" spans="1:20">
      <c r="A82" s="60" t="s">
        <v>172</v>
      </c>
      <c r="B82" s="72" t="s">
        <v>48</v>
      </c>
      <c r="C82" s="307">
        <v>0.06</v>
      </c>
      <c r="D82" s="308">
        <v>0.56469999999999998</v>
      </c>
      <c r="E82" s="309">
        <v>0.65</v>
      </c>
      <c r="F82" s="309">
        <v>0.7</v>
      </c>
      <c r="G82" s="340">
        <v>2016</v>
      </c>
      <c r="H82" s="341" t="str">
        <f t="shared" si="7"/>
        <v>£m 12/13</v>
      </c>
      <c r="I82" s="341" t="s">
        <v>270</v>
      </c>
      <c r="J82" s="424" t="s">
        <v>482</v>
      </c>
      <c r="K82" s="554"/>
      <c r="L82" s="555"/>
      <c r="M82" s="432">
        <f t="shared" si="8"/>
        <v>2.5499999999999998E-2</v>
      </c>
      <c r="N82" s="432">
        <f t="shared" si="9"/>
        <v>2.4199999999999999E-2</v>
      </c>
      <c r="O82" s="432">
        <f t="shared" si="10"/>
        <v>2.29E-2</v>
      </c>
      <c r="P82" s="432">
        <f t="shared" si="11"/>
        <v>2.0899999999999998E-2</v>
      </c>
      <c r="Q82" s="432">
        <f t="shared" si="12"/>
        <v>1.9400000000000001E-2</v>
      </c>
      <c r="R82" s="432">
        <f t="shared" si="13"/>
        <v>1.78E-2</v>
      </c>
      <c r="S82" s="432">
        <f t="shared" si="14"/>
        <v>1.6199999999999999E-2</v>
      </c>
      <c r="T82" s="436">
        <f t="shared" si="15"/>
        <v>1.44E-2</v>
      </c>
    </row>
    <row r="83" spans="1:20">
      <c r="A83" s="60" t="s">
        <v>172</v>
      </c>
      <c r="B83" s="72" t="s">
        <v>246</v>
      </c>
      <c r="C83" s="307">
        <v>6.4000000000000001E-2</v>
      </c>
      <c r="D83" s="308">
        <v>0.7</v>
      </c>
      <c r="E83" s="309">
        <v>0.65</v>
      </c>
      <c r="F83" s="309">
        <v>0.8</v>
      </c>
      <c r="G83" s="340">
        <v>2016</v>
      </c>
      <c r="H83" s="341" t="str">
        <f t="shared" si="7"/>
        <v>£m 12/13</v>
      </c>
      <c r="I83" s="341" t="s">
        <v>271</v>
      </c>
      <c r="J83" s="424" t="s">
        <v>483</v>
      </c>
      <c r="K83" s="554"/>
      <c r="L83" s="555"/>
      <c r="M83" s="432">
        <f t="shared" ref="M83:T86" si="16">E$63</f>
        <v>2.5499999999999998E-2</v>
      </c>
      <c r="N83" s="432">
        <f t="shared" si="16"/>
        <v>2.3799999999999998E-2</v>
      </c>
      <c r="O83" s="432">
        <f t="shared" si="16"/>
        <v>2.2200000000000001E-2</v>
      </c>
      <c r="P83" s="432">
        <f t="shared" si="16"/>
        <v>1.9099999999999999E-2</v>
      </c>
      <c r="Q83" s="432">
        <f t="shared" si="16"/>
        <v>1.5800000000000002E-2</v>
      </c>
      <c r="R83" s="432">
        <f t="shared" si="16"/>
        <v>1.09E-2</v>
      </c>
      <c r="S83" s="432">
        <f t="shared" si="16"/>
        <v>7.6E-3</v>
      </c>
      <c r="T83" s="436">
        <f t="shared" si="16"/>
        <v>3.8999999999999998E-3</v>
      </c>
    </row>
    <row r="84" spans="1:20">
      <c r="A84" s="60" t="s">
        <v>172</v>
      </c>
      <c r="B84" s="72" t="s">
        <v>247</v>
      </c>
      <c r="C84" s="307">
        <v>6.4000000000000001E-2</v>
      </c>
      <c r="D84" s="308">
        <v>0.7</v>
      </c>
      <c r="E84" s="309">
        <v>0.65</v>
      </c>
      <c r="F84" s="309">
        <v>0.8</v>
      </c>
      <c r="G84" s="340">
        <v>2016</v>
      </c>
      <c r="H84" s="341" t="str">
        <f t="shared" si="7"/>
        <v>£m 12/13</v>
      </c>
      <c r="I84" s="341" t="s">
        <v>271</v>
      </c>
      <c r="J84" s="424" t="s">
        <v>483</v>
      </c>
      <c r="K84" s="554"/>
      <c r="L84" s="555"/>
      <c r="M84" s="432">
        <f t="shared" si="16"/>
        <v>2.5499999999999998E-2</v>
      </c>
      <c r="N84" s="432">
        <f t="shared" si="16"/>
        <v>2.3799999999999998E-2</v>
      </c>
      <c r="O84" s="432">
        <f t="shared" si="16"/>
        <v>2.2200000000000001E-2</v>
      </c>
      <c r="P84" s="432">
        <f t="shared" si="16"/>
        <v>1.9099999999999999E-2</v>
      </c>
      <c r="Q84" s="432">
        <f t="shared" si="16"/>
        <v>1.5800000000000002E-2</v>
      </c>
      <c r="R84" s="432">
        <f t="shared" si="16"/>
        <v>1.09E-2</v>
      </c>
      <c r="S84" s="432">
        <f t="shared" si="16"/>
        <v>7.6E-3</v>
      </c>
      <c r="T84" s="436">
        <f t="shared" si="16"/>
        <v>3.8999999999999998E-3</v>
      </c>
    </row>
    <row r="85" spans="1:20">
      <c r="A85" s="60" t="s">
        <v>172</v>
      </c>
      <c r="B85" s="72" t="s">
        <v>248</v>
      </c>
      <c r="C85" s="307">
        <v>6.4000000000000001E-2</v>
      </c>
      <c r="D85" s="308">
        <v>0.7</v>
      </c>
      <c r="E85" s="309">
        <v>0.65</v>
      </c>
      <c r="F85" s="309">
        <v>0.8</v>
      </c>
      <c r="G85" s="340">
        <v>2016</v>
      </c>
      <c r="H85" s="341" t="str">
        <f t="shared" si="7"/>
        <v>£m 12/13</v>
      </c>
      <c r="I85" s="341" t="s">
        <v>271</v>
      </c>
      <c r="J85" s="424" t="s">
        <v>483</v>
      </c>
      <c r="K85" s="554"/>
      <c r="L85" s="555"/>
      <c r="M85" s="432">
        <f t="shared" si="16"/>
        <v>2.5499999999999998E-2</v>
      </c>
      <c r="N85" s="432">
        <f t="shared" si="16"/>
        <v>2.3799999999999998E-2</v>
      </c>
      <c r="O85" s="432">
        <f t="shared" si="16"/>
        <v>2.2200000000000001E-2</v>
      </c>
      <c r="P85" s="432">
        <f t="shared" si="16"/>
        <v>1.9099999999999999E-2</v>
      </c>
      <c r="Q85" s="432">
        <f t="shared" si="16"/>
        <v>1.5800000000000002E-2</v>
      </c>
      <c r="R85" s="432">
        <f t="shared" si="16"/>
        <v>1.09E-2</v>
      </c>
      <c r="S85" s="432">
        <f t="shared" si="16"/>
        <v>7.6E-3</v>
      </c>
      <c r="T85" s="436">
        <f t="shared" si="16"/>
        <v>3.8999999999999998E-3</v>
      </c>
    </row>
    <row r="86" spans="1:20">
      <c r="A86" s="60" t="s">
        <v>172</v>
      </c>
      <c r="B86" s="72" t="s">
        <v>249</v>
      </c>
      <c r="C86" s="307">
        <v>6.4000000000000001E-2</v>
      </c>
      <c r="D86" s="308">
        <v>0.7</v>
      </c>
      <c r="E86" s="309">
        <v>0.65</v>
      </c>
      <c r="F86" s="309">
        <v>0.8</v>
      </c>
      <c r="G86" s="340">
        <v>2016</v>
      </c>
      <c r="H86" s="341" t="str">
        <f t="shared" si="7"/>
        <v>£m 12/13</v>
      </c>
      <c r="I86" s="341" t="s">
        <v>271</v>
      </c>
      <c r="J86" s="424" t="s">
        <v>483</v>
      </c>
      <c r="K86" s="554"/>
      <c r="L86" s="555"/>
      <c r="M86" s="432">
        <f t="shared" si="16"/>
        <v>2.5499999999999998E-2</v>
      </c>
      <c r="N86" s="432">
        <f t="shared" si="16"/>
        <v>2.3799999999999998E-2</v>
      </c>
      <c r="O86" s="432">
        <f t="shared" si="16"/>
        <v>2.2200000000000001E-2</v>
      </c>
      <c r="P86" s="432">
        <f t="shared" si="16"/>
        <v>1.9099999999999999E-2</v>
      </c>
      <c r="Q86" s="432">
        <f t="shared" si="16"/>
        <v>1.5800000000000002E-2</v>
      </c>
      <c r="R86" s="432">
        <f t="shared" si="16"/>
        <v>1.09E-2</v>
      </c>
      <c r="S86" s="432">
        <f t="shared" si="16"/>
        <v>7.6E-3</v>
      </c>
      <c r="T86" s="436">
        <f t="shared" si="16"/>
        <v>3.8999999999999998E-3</v>
      </c>
    </row>
    <row r="87" spans="1:20">
      <c r="A87" s="60" t="s">
        <v>173</v>
      </c>
      <c r="B87" s="72" t="s">
        <v>53</v>
      </c>
      <c r="C87" s="307">
        <v>6.7000000000000004E-2</v>
      </c>
      <c r="D87" s="308">
        <v>0.63039999999999996</v>
      </c>
      <c r="E87" s="309">
        <v>0.65</v>
      </c>
      <c r="F87" s="309">
        <v>0.26634501855794862</v>
      </c>
      <c r="G87" s="340">
        <v>2014</v>
      </c>
      <c r="H87" s="341" t="str">
        <f t="shared" si="7"/>
        <v>£m 09/10</v>
      </c>
      <c r="I87" s="341" t="s">
        <v>270</v>
      </c>
      <c r="J87" s="424" t="s">
        <v>483</v>
      </c>
      <c r="K87" s="434">
        <f t="shared" ref="K87:R94" si="17">C$67</f>
        <v>2.92E-2</v>
      </c>
      <c r="L87" s="432">
        <f t="shared" si="17"/>
        <v>2.7199999999999998E-2</v>
      </c>
      <c r="M87" s="432">
        <f t="shared" si="17"/>
        <v>2.5499999999999998E-2</v>
      </c>
      <c r="N87" s="432">
        <f t="shared" si="17"/>
        <v>2.3800000000000002E-2</v>
      </c>
      <c r="O87" s="432">
        <f t="shared" si="17"/>
        <v>2.2200000000000001E-2</v>
      </c>
      <c r="P87" s="432">
        <f t="shared" si="17"/>
        <v>1.9099999999999999E-2</v>
      </c>
      <c r="Q87" s="432">
        <f t="shared" si="17"/>
        <v>1.5800000000000002E-2</v>
      </c>
      <c r="R87" s="432">
        <f t="shared" si="17"/>
        <v>1.09E-2</v>
      </c>
      <c r="S87" s="555"/>
      <c r="T87" s="556"/>
    </row>
    <row r="88" spans="1:20">
      <c r="A88" s="60" t="s">
        <v>173</v>
      </c>
      <c r="B88" s="72" t="s">
        <v>54</v>
      </c>
      <c r="C88" s="307">
        <v>6.7000000000000004E-2</v>
      </c>
      <c r="D88" s="308">
        <v>0.63039999999999996</v>
      </c>
      <c r="E88" s="309">
        <v>0.65</v>
      </c>
      <c r="F88" s="309">
        <v>0.23469337831705597</v>
      </c>
      <c r="G88" s="340">
        <v>2014</v>
      </c>
      <c r="H88" s="341" t="str">
        <f t="shared" si="7"/>
        <v>£m 09/10</v>
      </c>
      <c r="I88" s="341" t="s">
        <v>270</v>
      </c>
      <c r="J88" s="424" t="s">
        <v>483</v>
      </c>
      <c r="K88" s="434">
        <f t="shared" si="17"/>
        <v>2.92E-2</v>
      </c>
      <c r="L88" s="432">
        <f t="shared" si="17"/>
        <v>2.7199999999999998E-2</v>
      </c>
      <c r="M88" s="432">
        <f t="shared" si="17"/>
        <v>2.5499999999999998E-2</v>
      </c>
      <c r="N88" s="432">
        <f t="shared" si="17"/>
        <v>2.3800000000000002E-2</v>
      </c>
      <c r="O88" s="432">
        <f t="shared" si="17"/>
        <v>2.2200000000000001E-2</v>
      </c>
      <c r="P88" s="432">
        <f t="shared" si="17"/>
        <v>1.9099999999999999E-2</v>
      </c>
      <c r="Q88" s="432">
        <f t="shared" si="17"/>
        <v>1.5800000000000002E-2</v>
      </c>
      <c r="R88" s="432">
        <f t="shared" si="17"/>
        <v>1.09E-2</v>
      </c>
      <c r="S88" s="555"/>
      <c r="T88" s="556"/>
    </row>
    <row r="89" spans="1:20">
      <c r="A89" s="60" t="s">
        <v>173</v>
      </c>
      <c r="B89" s="72" t="s">
        <v>55</v>
      </c>
      <c r="C89" s="307">
        <v>6.7000000000000004E-2</v>
      </c>
      <c r="D89" s="308">
        <v>0.63039999999999996</v>
      </c>
      <c r="E89" s="309">
        <v>0.65</v>
      </c>
      <c r="F89" s="309">
        <v>0.24946223864843597</v>
      </c>
      <c r="G89" s="340">
        <v>2014</v>
      </c>
      <c r="H89" s="341" t="str">
        <f t="shared" si="7"/>
        <v>£m 09/10</v>
      </c>
      <c r="I89" s="341" t="s">
        <v>270</v>
      </c>
      <c r="J89" s="424" t="s">
        <v>483</v>
      </c>
      <c r="K89" s="434">
        <f t="shared" si="17"/>
        <v>2.92E-2</v>
      </c>
      <c r="L89" s="432">
        <f t="shared" si="17"/>
        <v>2.7199999999999998E-2</v>
      </c>
      <c r="M89" s="432">
        <f t="shared" si="17"/>
        <v>2.5499999999999998E-2</v>
      </c>
      <c r="N89" s="432">
        <f t="shared" si="17"/>
        <v>2.3800000000000002E-2</v>
      </c>
      <c r="O89" s="432">
        <f t="shared" si="17"/>
        <v>2.2200000000000001E-2</v>
      </c>
      <c r="P89" s="432">
        <f t="shared" si="17"/>
        <v>1.9099999999999999E-2</v>
      </c>
      <c r="Q89" s="432">
        <f t="shared" si="17"/>
        <v>1.5800000000000002E-2</v>
      </c>
      <c r="R89" s="432">
        <f t="shared" si="17"/>
        <v>1.09E-2</v>
      </c>
      <c r="S89" s="555"/>
      <c r="T89" s="556"/>
    </row>
    <row r="90" spans="1:20">
      <c r="A90" s="60" t="s">
        <v>173</v>
      </c>
      <c r="B90" s="72" t="s">
        <v>56</v>
      </c>
      <c r="C90" s="307">
        <v>6.7000000000000004E-2</v>
      </c>
      <c r="D90" s="308">
        <v>0.63039999999999996</v>
      </c>
      <c r="E90" s="309">
        <v>0.65</v>
      </c>
      <c r="F90" s="309">
        <v>0.26095352485819256</v>
      </c>
      <c r="G90" s="340">
        <v>2014</v>
      </c>
      <c r="H90" s="341" t="str">
        <f t="shared" si="7"/>
        <v>£m 09/10</v>
      </c>
      <c r="I90" s="341" t="s">
        <v>270</v>
      </c>
      <c r="J90" s="424" t="s">
        <v>483</v>
      </c>
      <c r="K90" s="434">
        <f t="shared" si="17"/>
        <v>2.92E-2</v>
      </c>
      <c r="L90" s="432">
        <f t="shared" si="17"/>
        <v>2.7199999999999998E-2</v>
      </c>
      <c r="M90" s="432">
        <f t="shared" si="17"/>
        <v>2.5499999999999998E-2</v>
      </c>
      <c r="N90" s="432">
        <f t="shared" si="17"/>
        <v>2.3800000000000002E-2</v>
      </c>
      <c r="O90" s="432">
        <f t="shared" si="17"/>
        <v>2.2200000000000001E-2</v>
      </c>
      <c r="P90" s="432">
        <f t="shared" si="17"/>
        <v>1.9099999999999999E-2</v>
      </c>
      <c r="Q90" s="432">
        <f t="shared" si="17"/>
        <v>1.5800000000000002E-2</v>
      </c>
      <c r="R90" s="432">
        <f t="shared" si="17"/>
        <v>1.09E-2</v>
      </c>
      <c r="S90" s="555"/>
      <c r="T90" s="556"/>
    </row>
    <row r="91" spans="1:20">
      <c r="A91" s="60" t="s">
        <v>173</v>
      </c>
      <c r="B91" s="72" t="s">
        <v>50</v>
      </c>
      <c r="C91" s="307">
        <v>6.7000000000000004E-2</v>
      </c>
      <c r="D91" s="308">
        <v>0.63980000000000004</v>
      </c>
      <c r="E91" s="309">
        <v>0.65</v>
      </c>
      <c r="F91" s="309">
        <v>0.34984411379298247</v>
      </c>
      <c r="G91" s="340">
        <v>2014</v>
      </c>
      <c r="H91" s="341" t="str">
        <f t="shared" si="7"/>
        <v>£m 09/10</v>
      </c>
      <c r="I91" s="341" t="s">
        <v>270</v>
      </c>
      <c r="J91" s="424" t="s">
        <v>483</v>
      </c>
      <c r="K91" s="434">
        <f t="shared" si="17"/>
        <v>2.92E-2</v>
      </c>
      <c r="L91" s="432">
        <f t="shared" si="17"/>
        <v>2.7199999999999998E-2</v>
      </c>
      <c r="M91" s="432">
        <f t="shared" si="17"/>
        <v>2.5499999999999998E-2</v>
      </c>
      <c r="N91" s="432">
        <f t="shared" si="17"/>
        <v>2.3800000000000002E-2</v>
      </c>
      <c r="O91" s="432">
        <f t="shared" si="17"/>
        <v>2.2200000000000001E-2</v>
      </c>
      <c r="P91" s="432">
        <f t="shared" si="17"/>
        <v>1.9099999999999999E-2</v>
      </c>
      <c r="Q91" s="432">
        <f t="shared" si="17"/>
        <v>1.5800000000000002E-2</v>
      </c>
      <c r="R91" s="432">
        <f t="shared" si="17"/>
        <v>1.09E-2</v>
      </c>
      <c r="S91" s="555"/>
      <c r="T91" s="556"/>
    </row>
    <row r="92" spans="1:20">
      <c r="A92" s="60" t="s">
        <v>173</v>
      </c>
      <c r="B92" s="72" t="s">
        <v>52</v>
      </c>
      <c r="C92" s="307">
        <v>6.7000000000000004E-2</v>
      </c>
      <c r="D92" s="308">
        <v>0.63729999999999998</v>
      </c>
      <c r="E92" s="309">
        <v>0.65</v>
      </c>
      <c r="F92" s="309">
        <v>0.35129049661183626</v>
      </c>
      <c r="G92" s="340">
        <v>2014</v>
      </c>
      <c r="H92" s="341" t="str">
        <f t="shared" si="7"/>
        <v>£m 09/10</v>
      </c>
      <c r="I92" s="341" t="s">
        <v>270</v>
      </c>
      <c r="J92" s="424" t="s">
        <v>483</v>
      </c>
      <c r="K92" s="434">
        <f t="shared" si="17"/>
        <v>2.92E-2</v>
      </c>
      <c r="L92" s="432">
        <f t="shared" si="17"/>
        <v>2.7199999999999998E-2</v>
      </c>
      <c r="M92" s="432">
        <f t="shared" si="17"/>
        <v>2.5499999999999998E-2</v>
      </c>
      <c r="N92" s="432">
        <f t="shared" si="17"/>
        <v>2.3800000000000002E-2</v>
      </c>
      <c r="O92" s="432">
        <f t="shared" si="17"/>
        <v>2.2200000000000001E-2</v>
      </c>
      <c r="P92" s="432">
        <f t="shared" si="17"/>
        <v>1.9099999999999999E-2</v>
      </c>
      <c r="Q92" s="432">
        <f t="shared" si="17"/>
        <v>1.5800000000000002E-2</v>
      </c>
      <c r="R92" s="432">
        <f t="shared" si="17"/>
        <v>1.09E-2</v>
      </c>
      <c r="S92" s="555"/>
      <c r="T92" s="556"/>
    </row>
    <row r="93" spans="1:20">
      <c r="A93" s="60" t="s">
        <v>173</v>
      </c>
      <c r="B93" s="72" t="s">
        <v>51</v>
      </c>
      <c r="C93" s="307">
        <v>6.7000000000000004E-2</v>
      </c>
      <c r="D93" s="308">
        <v>0.63729999999999998</v>
      </c>
      <c r="E93" s="309">
        <v>0.65</v>
      </c>
      <c r="F93" s="309">
        <v>0.32230855902021693</v>
      </c>
      <c r="G93" s="340">
        <v>2014</v>
      </c>
      <c r="H93" s="341" t="str">
        <f t="shared" si="7"/>
        <v>£m 09/10</v>
      </c>
      <c r="I93" s="341" t="s">
        <v>270</v>
      </c>
      <c r="J93" s="424" t="s">
        <v>483</v>
      </c>
      <c r="K93" s="434">
        <f t="shared" si="17"/>
        <v>2.92E-2</v>
      </c>
      <c r="L93" s="432">
        <f t="shared" si="17"/>
        <v>2.7199999999999998E-2</v>
      </c>
      <c r="M93" s="432">
        <f t="shared" si="17"/>
        <v>2.5499999999999998E-2</v>
      </c>
      <c r="N93" s="432">
        <f t="shared" si="17"/>
        <v>2.3800000000000002E-2</v>
      </c>
      <c r="O93" s="432">
        <f t="shared" si="17"/>
        <v>2.2200000000000001E-2</v>
      </c>
      <c r="P93" s="432">
        <f t="shared" si="17"/>
        <v>1.9099999999999999E-2</v>
      </c>
      <c r="Q93" s="432">
        <f t="shared" si="17"/>
        <v>1.5800000000000002E-2</v>
      </c>
      <c r="R93" s="432">
        <f t="shared" si="17"/>
        <v>1.09E-2</v>
      </c>
      <c r="S93" s="555"/>
      <c r="T93" s="556"/>
    </row>
    <row r="94" spans="1:20">
      <c r="A94" s="60" t="s">
        <v>173</v>
      </c>
      <c r="B94" s="72" t="s">
        <v>49</v>
      </c>
      <c r="C94" s="307">
        <v>6.7000000000000004E-2</v>
      </c>
      <c r="D94" s="308">
        <v>0.63170000000000004</v>
      </c>
      <c r="E94" s="309">
        <v>0.65</v>
      </c>
      <c r="F94" s="309">
        <v>0.35781904469402892</v>
      </c>
      <c r="G94" s="340">
        <v>2014</v>
      </c>
      <c r="H94" s="341" t="str">
        <f t="shared" si="7"/>
        <v>£m 09/10</v>
      </c>
      <c r="I94" s="341" t="s">
        <v>270</v>
      </c>
      <c r="J94" s="424" t="s">
        <v>483</v>
      </c>
      <c r="K94" s="434">
        <f t="shared" si="17"/>
        <v>2.92E-2</v>
      </c>
      <c r="L94" s="432">
        <f t="shared" si="17"/>
        <v>2.7199999999999998E-2</v>
      </c>
      <c r="M94" s="432">
        <f t="shared" si="17"/>
        <v>2.5499999999999998E-2</v>
      </c>
      <c r="N94" s="432">
        <f t="shared" si="17"/>
        <v>2.3800000000000002E-2</v>
      </c>
      <c r="O94" s="432">
        <f t="shared" si="17"/>
        <v>2.2200000000000001E-2</v>
      </c>
      <c r="P94" s="432">
        <f t="shared" si="17"/>
        <v>1.9099999999999999E-2</v>
      </c>
      <c r="Q94" s="432">
        <f t="shared" si="17"/>
        <v>1.5800000000000002E-2</v>
      </c>
      <c r="R94" s="432">
        <f t="shared" si="17"/>
        <v>1.09E-2</v>
      </c>
      <c r="S94" s="555"/>
      <c r="T94" s="556"/>
    </row>
    <row r="95" spans="1:20">
      <c r="A95" s="60" t="s">
        <v>175</v>
      </c>
      <c r="B95" s="72" t="s">
        <v>113</v>
      </c>
      <c r="C95" s="307">
        <v>6.8000000000000005E-2</v>
      </c>
      <c r="D95" s="308">
        <v>0.44359999999999999</v>
      </c>
      <c r="E95" s="309">
        <v>0.625</v>
      </c>
      <c r="F95" s="309">
        <v>0.64400000000000002</v>
      </c>
      <c r="G95" s="340">
        <v>2014</v>
      </c>
      <c r="H95" s="341" t="str">
        <f t="shared" si="7"/>
        <v>£m 09/10</v>
      </c>
      <c r="I95" s="341" t="s">
        <v>270</v>
      </c>
      <c r="J95" s="424" t="s">
        <v>483</v>
      </c>
      <c r="K95" s="434">
        <f t="shared" ref="K95:R96" si="18">C$68</f>
        <v>2.92E-2</v>
      </c>
      <c r="L95" s="432">
        <f t="shared" si="18"/>
        <v>2.7199999999999998E-2</v>
      </c>
      <c r="M95" s="432">
        <f t="shared" si="18"/>
        <v>2.5499999999999998E-2</v>
      </c>
      <c r="N95" s="432">
        <f t="shared" si="18"/>
        <v>2.3800000000000002E-2</v>
      </c>
      <c r="O95" s="432">
        <f t="shared" si="18"/>
        <v>2.2200000000000001E-2</v>
      </c>
      <c r="P95" s="432">
        <f t="shared" si="18"/>
        <v>1.9099999999999999E-2</v>
      </c>
      <c r="Q95" s="432">
        <f t="shared" si="18"/>
        <v>1.5800000000000002E-2</v>
      </c>
      <c r="R95" s="432">
        <f t="shared" si="18"/>
        <v>1.09E-2</v>
      </c>
      <c r="S95" s="555"/>
      <c r="T95" s="556"/>
    </row>
    <row r="96" spans="1:20">
      <c r="A96" s="60" t="s">
        <v>175</v>
      </c>
      <c r="B96" s="72" t="s">
        <v>114</v>
      </c>
      <c r="C96" s="307">
        <v>6.8000000000000005E-2</v>
      </c>
      <c r="D96" s="308">
        <v>0.44359999999999999</v>
      </c>
      <c r="E96" s="309">
        <v>0.625</v>
      </c>
      <c r="F96" s="309">
        <v>0.374</v>
      </c>
      <c r="G96" s="340">
        <v>2014</v>
      </c>
      <c r="H96" s="341" t="str">
        <f t="shared" si="7"/>
        <v>£m 09/10</v>
      </c>
      <c r="I96" s="341" t="s">
        <v>270</v>
      </c>
      <c r="J96" s="424" t="s">
        <v>483</v>
      </c>
      <c r="K96" s="434">
        <f t="shared" si="18"/>
        <v>2.92E-2</v>
      </c>
      <c r="L96" s="432">
        <f t="shared" si="18"/>
        <v>2.7199999999999998E-2</v>
      </c>
      <c r="M96" s="432">
        <f t="shared" si="18"/>
        <v>2.5499999999999998E-2</v>
      </c>
      <c r="N96" s="432">
        <f t="shared" si="18"/>
        <v>2.3800000000000002E-2</v>
      </c>
      <c r="O96" s="432">
        <f t="shared" si="18"/>
        <v>2.2200000000000001E-2</v>
      </c>
      <c r="P96" s="432">
        <f t="shared" si="18"/>
        <v>1.9099999999999999E-2</v>
      </c>
      <c r="Q96" s="432">
        <f t="shared" si="18"/>
        <v>1.5800000000000002E-2</v>
      </c>
      <c r="R96" s="432">
        <f t="shared" si="18"/>
        <v>1.09E-2</v>
      </c>
      <c r="S96" s="555"/>
      <c r="T96" s="556"/>
    </row>
    <row r="97" spans="1:20">
      <c r="A97" s="60" t="s">
        <v>174</v>
      </c>
      <c r="B97" s="72" t="s">
        <v>111</v>
      </c>
      <c r="C97" s="307">
        <v>7.0000000000000007E-2</v>
      </c>
      <c r="D97" s="308">
        <v>0.46889999999999998</v>
      </c>
      <c r="E97" s="309">
        <v>0.6</v>
      </c>
      <c r="F97" s="309">
        <v>0.85</v>
      </c>
      <c r="G97" s="340">
        <v>2014</v>
      </c>
      <c r="H97" s="341" t="str">
        <f t="shared" si="7"/>
        <v>£m 09/10</v>
      </c>
      <c r="I97" s="341" t="s">
        <v>270</v>
      </c>
      <c r="J97" s="424" t="s">
        <v>483</v>
      </c>
      <c r="K97" s="434">
        <f t="shared" ref="K97:R99" si="19">C$66</f>
        <v>2.92E-2</v>
      </c>
      <c r="L97" s="432">
        <f t="shared" si="19"/>
        <v>2.7199999999999998E-2</v>
      </c>
      <c r="M97" s="432">
        <f t="shared" si="19"/>
        <v>2.5499999999999998E-2</v>
      </c>
      <c r="N97" s="432">
        <f t="shared" si="19"/>
        <v>2.3800000000000002E-2</v>
      </c>
      <c r="O97" s="432">
        <f t="shared" si="19"/>
        <v>2.2200000000000001E-2</v>
      </c>
      <c r="P97" s="432">
        <f t="shared" si="19"/>
        <v>1.9099999999999999E-2</v>
      </c>
      <c r="Q97" s="432">
        <f t="shared" si="19"/>
        <v>1.5800000000000002E-2</v>
      </c>
      <c r="R97" s="432">
        <f t="shared" si="19"/>
        <v>1.09E-2</v>
      </c>
      <c r="S97" s="555"/>
      <c r="T97" s="556"/>
    </row>
    <row r="98" spans="1:20">
      <c r="A98" s="60" t="s">
        <v>174</v>
      </c>
      <c r="B98" s="72" t="s">
        <v>579</v>
      </c>
      <c r="C98" s="307">
        <v>7.0000000000000007E-2</v>
      </c>
      <c r="D98" s="308">
        <v>0.46889999999999998</v>
      </c>
      <c r="E98" s="309">
        <v>0.6</v>
      </c>
      <c r="F98" s="309">
        <v>0.27900000000000003</v>
      </c>
      <c r="G98" s="326">
        <v>2014</v>
      </c>
      <c r="H98" s="327" t="str">
        <f>VLOOKUP($A98,$E$54:$F$57,2,FALSE)</f>
        <v>£m 09/10</v>
      </c>
      <c r="I98" s="324" t="s">
        <v>270</v>
      </c>
      <c r="J98" s="424" t="s">
        <v>483</v>
      </c>
      <c r="K98" s="434">
        <f t="shared" si="19"/>
        <v>2.92E-2</v>
      </c>
      <c r="L98" s="432">
        <f t="shared" si="19"/>
        <v>2.7199999999999998E-2</v>
      </c>
      <c r="M98" s="432">
        <f t="shared" si="19"/>
        <v>2.5499999999999998E-2</v>
      </c>
      <c r="N98" s="432">
        <f t="shared" si="19"/>
        <v>2.3800000000000002E-2</v>
      </c>
      <c r="O98" s="432">
        <f t="shared" si="19"/>
        <v>2.2200000000000001E-2</v>
      </c>
      <c r="P98" s="432">
        <f t="shared" si="19"/>
        <v>1.9099999999999999E-2</v>
      </c>
      <c r="Q98" s="432">
        <f t="shared" si="19"/>
        <v>1.5800000000000002E-2</v>
      </c>
      <c r="R98" s="432">
        <f t="shared" si="19"/>
        <v>1.09E-2</v>
      </c>
      <c r="S98" s="555"/>
      <c r="T98" s="556"/>
    </row>
    <row r="99" spans="1:20">
      <c r="A99" s="60" t="s">
        <v>174</v>
      </c>
      <c r="B99" s="72" t="s">
        <v>60</v>
      </c>
      <c r="C99" s="307">
        <v>7.0000000000000007E-2</v>
      </c>
      <c r="D99" s="308">
        <v>0.5</v>
      </c>
      <c r="E99" s="309">
        <v>0.55000000000000004</v>
      </c>
      <c r="F99" s="309">
        <v>0.9</v>
      </c>
      <c r="G99" s="326">
        <v>2014</v>
      </c>
      <c r="H99" s="327" t="str">
        <f>VLOOKUP($A99,$E$54:$F$57,2,FALSE)</f>
        <v>£m 09/10</v>
      </c>
      <c r="I99" s="324" t="s">
        <v>271</v>
      </c>
      <c r="J99" s="424" t="s">
        <v>483</v>
      </c>
      <c r="K99" s="434">
        <f t="shared" si="19"/>
        <v>2.92E-2</v>
      </c>
      <c r="L99" s="432">
        <f t="shared" si="19"/>
        <v>2.7199999999999998E-2</v>
      </c>
      <c r="M99" s="432">
        <f t="shared" si="19"/>
        <v>2.5499999999999998E-2</v>
      </c>
      <c r="N99" s="432">
        <f t="shared" si="19"/>
        <v>2.3800000000000002E-2</v>
      </c>
      <c r="O99" s="432">
        <f t="shared" si="19"/>
        <v>2.2200000000000001E-2</v>
      </c>
      <c r="P99" s="432">
        <f t="shared" si="19"/>
        <v>1.9099999999999999E-2</v>
      </c>
      <c r="Q99" s="432">
        <f t="shared" si="19"/>
        <v>1.5800000000000002E-2</v>
      </c>
      <c r="R99" s="432">
        <f t="shared" si="19"/>
        <v>1.09E-2</v>
      </c>
      <c r="S99" s="555"/>
      <c r="T99" s="556"/>
    </row>
    <row r="100" spans="1:20">
      <c r="A100" s="60" t="s">
        <v>174</v>
      </c>
      <c r="B100" s="73" t="s">
        <v>61</v>
      </c>
      <c r="C100" s="310">
        <v>7.0000000000000007E-2</v>
      </c>
      <c r="D100" s="311">
        <v>0.5</v>
      </c>
      <c r="E100" s="312">
        <v>0.55000000000000004</v>
      </c>
      <c r="F100" s="312">
        <v>0.9</v>
      </c>
      <c r="G100" s="328">
        <v>2014</v>
      </c>
      <c r="H100" s="329" t="str">
        <f>VLOOKUP($A100,$E$54:$F$57,2,FALSE)</f>
        <v>£m 09/10</v>
      </c>
      <c r="I100" s="325" t="s">
        <v>271</v>
      </c>
      <c r="J100" s="424" t="s">
        <v>483</v>
      </c>
      <c r="K100" s="435">
        <f t="shared" ref="K100:R100" si="20">C$65</f>
        <v>2.92E-2</v>
      </c>
      <c r="L100" s="433">
        <f t="shared" si="20"/>
        <v>2.5000000000000001E-2</v>
      </c>
      <c r="M100" s="433">
        <f t="shared" si="20"/>
        <v>2.1499999999999998E-2</v>
      </c>
      <c r="N100" s="433">
        <f t="shared" si="20"/>
        <v>1.7899999999999999E-2</v>
      </c>
      <c r="O100" s="433">
        <f t="shared" si="20"/>
        <v>1.5100000000000001E-2</v>
      </c>
      <c r="P100" s="433">
        <f t="shared" si="20"/>
        <v>1.1599999999999999E-2</v>
      </c>
      <c r="Q100" s="433">
        <f t="shared" si="20"/>
        <v>1.0200000000000001E-2</v>
      </c>
      <c r="R100" s="433">
        <f t="shared" si="20"/>
        <v>7.6E-3</v>
      </c>
      <c r="S100" s="557"/>
      <c r="T100" s="558"/>
    </row>
    <row r="101" spans="1:20">
      <c r="I101" s="67"/>
    </row>
    <row r="102" spans="1:20">
      <c r="I102" s="67"/>
    </row>
    <row r="103" spans="1:20">
      <c r="I103" s="67"/>
    </row>
    <row r="104" spans="1:20">
      <c r="B104" s="14" t="s">
        <v>250</v>
      </c>
      <c r="D104" s="298"/>
      <c r="E104" s="298"/>
      <c r="F104" s="298"/>
      <c r="G104" s="298"/>
      <c r="H104" s="298"/>
      <c r="I104" s="298"/>
      <c r="J104" s="298"/>
    </row>
    <row r="105" spans="1:20">
      <c r="B105" s="14"/>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2"/>
      <c r="D115" s="562"/>
      <c r="E115" s="562"/>
      <c r="F115" s="562"/>
      <c r="G115" s="562"/>
      <c r="H115" s="562"/>
      <c r="I115" s="562"/>
      <c r="J115" s="562"/>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195">
        <f t="shared" si="22"/>
        <v>2023</v>
      </c>
      <c r="M118" s="31"/>
      <c r="N118" s="31"/>
      <c r="O118" s="31"/>
    </row>
    <row r="119" spans="2:15">
      <c r="B119" s="459" t="s">
        <v>43</v>
      </c>
      <c r="C119" s="559"/>
      <c r="D119" s="560"/>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61"/>
      <c r="D120" s="562"/>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61"/>
      <c r="D121" s="562"/>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61"/>
      <c r="D122" s="562"/>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61"/>
      <c r="D123" s="562"/>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61"/>
      <c r="D124" s="562"/>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61"/>
      <c r="D125" s="562"/>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61"/>
      <c r="D126" s="562"/>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61"/>
      <c r="D127" s="562"/>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61"/>
      <c r="D128" s="562"/>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246</v>
      </c>
      <c r="C129" s="561"/>
      <c r="D129" s="562"/>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247</v>
      </c>
      <c r="C130" s="561"/>
      <c r="D130" s="562"/>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248</v>
      </c>
      <c r="C131" s="561"/>
      <c r="D131" s="562"/>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249</v>
      </c>
      <c r="C132" s="561"/>
      <c r="D132" s="562"/>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2"/>
      <c r="L133" s="563"/>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2"/>
      <c r="L134" s="563"/>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2"/>
      <c r="L135" s="563"/>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2"/>
      <c r="L136" s="563"/>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2"/>
      <c r="L137" s="563"/>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2"/>
      <c r="L138" s="563"/>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2"/>
      <c r="L139" s="563"/>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2"/>
      <c r="L140" s="563"/>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2"/>
      <c r="L141" s="563"/>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2"/>
      <c r="L142" s="563"/>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2"/>
      <c r="L143" s="563"/>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2"/>
      <c r="L144" s="563"/>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2"/>
      <c r="L145" s="563"/>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4"/>
      <c r="L146" s="565"/>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404</v>
      </c>
      <c r="C150" s="457"/>
      <c r="D150" s="457"/>
      <c r="E150" s="457"/>
      <c r="F150" s="455"/>
      <c r="G150" s="455"/>
      <c r="H150" s="455"/>
      <c r="I150" s="455"/>
      <c r="J150" s="455"/>
      <c r="K150" s="455"/>
      <c r="L150" s="455"/>
      <c r="M150" s="455"/>
      <c r="N150" s="455"/>
    </row>
    <row r="151" spans="1:15" s="31" customFormat="1" ht="14.25" customHeight="1">
      <c r="A151" s="790"/>
      <c r="B151" s="791"/>
      <c r="C151" s="792"/>
      <c r="D151" s="792"/>
      <c r="E151" s="792"/>
      <c r="F151" s="793"/>
      <c r="G151" s="793"/>
      <c r="H151" s="793"/>
      <c r="I151" s="793"/>
      <c r="J151" s="793"/>
      <c r="K151" s="793"/>
      <c r="L151" s="793"/>
      <c r="M151" s="793"/>
      <c r="N151" s="793"/>
    </row>
    <row r="152" spans="1:15">
      <c r="A152" s="203"/>
      <c r="B152" s="794" t="s">
        <v>410</v>
      </c>
      <c r="C152" s="206"/>
      <c r="D152" s="206"/>
      <c r="E152" s="795" t="b">
        <f>OR((LEFT('RFPR cover'!$C$6,2)=Data!F152),'RFPR cover'!$C$5=Data!F152)</f>
        <v>1</v>
      </c>
      <c r="F152" s="364" t="str">
        <f>B162</f>
        <v>ED</v>
      </c>
      <c r="G152" s="796"/>
    </row>
    <row r="153" spans="1:15">
      <c r="A153" s="203"/>
      <c r="B153" s="811" t="str">
        <f>CHOOSE(MATCH(TRUE,$E$152:$E$159,0),B163,B173,B183,E183,B193,E193,B203,E203)&amp;""</f>
        <v>Broad measure of customer service</v>
      </c>
      <c r="C153" s="206"/>
      <c r="D153" s="206"/>
      <c r="E153" s="797" t="b">
        <f>OR((LEFT('RFPR cover'!$C$6,2)=Data!F153),'RFPR cover'!$C$5=Data!F153)</f>
        <v>0</v>
      </c>
      <c r="F153" s="365" t="str">
        <f>B172</f>
        <v>GD</v>
      </c>
      <c r="G153" s="202"/>
    </row>
    <row r="154" spans="1:15">
      <c r="A154" s="203"/>
      <c r="B154" s="812" t="str">
        <f t="shared" ref="B154:B160" si="23">CHOOSE(MATCH(TRUE,$E$152:$E$159,0),B164,B174,B184,E184,B194,E194,B204,E204)&amp;""</f>
        <v>Interruptions-related quality of service</v>
      </c>
      <c r="C154" s="206"/>
      <c r="D154" s="206"/>
      <c r="E154" s="797" t="b">
        <f>OR((LEFT('RFPR cover'!$C$6,2)=Data!F154),'RFPR cover'!$C$5=Data!F154)</f>
        <v>0</v>
      </c>
      <c r="F154" s="810" t="str">
        <f>B182</f>
        <v>NGGT (TO)</v>
      </c>
      <c r="G154" s="202"/>
    </row>
    <row r="155" spans="1:15">
      <c r="A155" s="203"/>
      <c r="B155" s="812" t="str">
        <f t="shared" si="23"/>
        <v>Incentive on connections engagement</v>
      </c>
      <c r="C155" s="206"/>
      <c r="D155" s="206"/>
      <c r="E155" s="797" t="b">
        <f>OR((LEFT('RFPR cover'!$C$6,2)=Data!F155),'RFPR cover'!$C$5=Data!F155)</f>
        <v>0</v>
      </c>
      <c r="F155" s="798" t="str">
        <f>E182</f>
        <v>NGGT (SO)</v>
      </c>
      <c r="G155" s="202"/>
    </row>
    <row r="156" spans="1:15">
      <c r="A156" s="203"/>
      <c r="B156" s="812" t="str">
        <f t="shared" si="23"/>
        <v>Time to Connect Incentive</v>
      </c>
      <c r="C156" s="206"/>
      <c r="D156" s="206"/>
      <c r="E156" s="797" t="b">
        <f>OR((LEFT('RFPR cover'!$C$6,2)=Data!F156),'RFPR cover'!$C$5=Data!F156)</f>
        <v>0</v>
      </c>
      <c r="F156" s="798" t="str">
        <f>B192</f>
        <v>NGET (TO)</v>
      </c>
      <c r="G156" s="202"/>
    </row>
    <row r="157" spans="1:15">
      <c r="A157" s="203"/>
      <c r="B157" s="813" t="str">
        <f t="shared" si="23"/>
        <v>Losses discretionary reward scheme</v>
      </c>
      <c r="C157" s="206"/>
      <c r="D157" s="206"/>
      <c r="E157" s="797" t="b">
        <f>OR((LEFT('RFPR cover'!$C$6,2)=Data!F157),'RFPR cover'!$C$5=Data!F157)</f>
        <v>0</v>
      </c>
      <c r="F157" s="798" t="str">
        <f>E192</f>
        <v>NGESO</v>
      </c>
      <c r="G157" s="202"/>
    </row>
    <row r="158" spans="1:15">
      <c r="A158" s="203"/>
      <c r="B158" s="813" t="str">
        <f t="shared" si="23"/>
        <v/>
      </c>
      <c r="C158" s="206"/>
      <c r="D158" s="206"/>
      <c r="E158" s="797" t="b">
        <f>OR((LEFT('RFPR cover'!$C$6,2)=Data!F158),'RFPR cover'!$C$5=Data!F158)</f>
        <v>0</v>
      </c>
      <c r="F158" s="798" t="str">
        <f>B202</f>
        <v>SPT</v>
      </c>
      <c r="G158" s="202"/>
    </row>
    <row r="159" spans="1:15">
      <c r="A159" s="203"/>
      <c r="B159" s="813" t="str">
        <f t="shared" si="23"/>
        <v/>
      </c>
      <c r="C159" s="206"/>
      <c r="D159" s="206"/>
      <c r="E159" s="799" t="b">
        <f>OR((LEFT('RFPR cover'!$C$6,2)=Data!F159),'RFPR cover'!$C$5=Data!F159)</f>
        <v>0</v>
      </c>
      <c r="F159" s="800" t="str">
        <f>E202</f>
        <v>SHET</v>
      </c>
      <c r="G159" s="297"/>
    </row>
    <row r="160" spans="1:15">
      <c r="A160" s="203"/>
      <c r="B160" s="206" t="str">
        <f t="shared" si="23"/>
        <v/>
      </c>
      <c r="C160" s="206"/>
      <c r="D160" s="206"/>
      <c r="E160" s="59"/>
      <c r="F160" s="798"/>
      <c r="G160" s="42"/>
    </row>
    <row r="161" spans="1:7">
      <c r="A161" s="203"/>
      <c r="B161" s="206"/>
      <c r="C161" s="206"/>
      <c r="D161" s="206"/>
      <c r="E161" s="59"/>
      <c r="F161" s="798"/>
      <c r="G161" s="42"/>
    </row>
    <row r="162" spans="1:7" ht="12" customHeight="1">
      <c r="A162" s="203"/>
      <c r="B162" s="1003" t="s">
        <v>172</v>
      </c>
      <c r="C162" s="999"/>
      <c r="D162" s="206"/>
      <c r="E162" s="206"/>
    </row>
    <row r="163" spans="1:7">
      <c r="A163" s="203"/>
      <c r="B163" s="1004" t="s">
        <v>405</v>
      </c>
      <c r="C163" s="1005"/>
      <c r="D163" s="206"/>
      <c r="E163" s="206"/>
    </row>
    <row r="164" spans="1:7">
      <c r="A164" s="203"/>
      <c r="B164" s="1004" t="s">
        <v>406</v>
      </c>
      <c r="C164" s="1005"/>
      <c r="D164" s="206"/>
      <c r="E164" s="206"/>
    </row>
    <row r="165" spans="1:7">
      <c r="A165" s="203"/>
      <c r="B165" s="1006" t="s">
        <v>407</v>
      </c>
      <c r="C165" s="1007"/>
      <c r="D165" s="206"/>
      <c r="E165" s="206"/>
    </row>
    <row r="166" spans="1:7">
      <c r="A166" s="203"/>
      <c r="B166" s="1006" t="s">
        <v>408</v>
      </c>
      <c r="C166" s="1007"/>
      <c r="D166" s="206"/>
      <c r="E166" s="206"/>
    </row>
    <row r="167" spans="1:7">
      <c r="A167" s="203"/>
      <c r="B167" s="1006" t="s">
        <v>409</v>
      </c>
      <c r="C167" s="1007"/>
      <c r="D167" s="206"/>
      <c r="E167" s="206"/>
    </row>
    <row r="168" spans="1:7">
      <c r="A168" s="203"/>
      <c r="B168" s="1006"/>
      <c r="C168" s="1007"/>
      <c r="D168" s="206"/>
      <c r="E168" s="206"/>
    </row>
    <row r="169" spans="1:7">
      <c r="A169" s="203"/>
      <c r="B169" s="1006"/>
      <c r="C169" s="1007"/>
      <c r="D169" s="206"/>
      <c r="E169" s="206"/>
    </row>
    <row r="170" spans="1:7">
      <c r="A170" s="203"/>
      <c r="B170" s="206"/>
      <c r="C170" s="206"/>
      <c r="D170" s="206"/>
      <c r="E170" s="206"/>
    </row>
    <row r="171" spans="1:7">
      <c r="A171" s="203"/>
      <c r="B171" s="206"/>
      <c r="C171" s="206"/>
      <c r="D171" s="206"/>
      <c r="E171" s="206"/>
    </row>
    <row r="172" spans="1:7">
      <c r="A172" s="203"/>
      <c r="B172" s="1003" t="s">
        <v>173</v>
      </c>
      <c r="C172" s="999"/>
      <c r="D172" s="206"/>
      <c r="E172" s="206"/>
    </row>
    <row r="173" spans="1:7" ht="12.75" customHeight="1">
      <c r="A173" s="203"/>
      <c r="B173" s="1000" t="s">
        <v>223</v>
      </c>
      <c r="C173" s="1002"/>
      <c r="D173" s="206"/>
      <c r="E173" s="206"/>
    </row>
    <row r="174" spans="1:7" ht="12.75" customHeight="1">
      <c r="A174" s="203"/>
      <c r="B174" s="994" t="s">
        <v>224</v>
      </c>
      <c r="C174" s="996"/>
      <c r="D174" s="206"/>
      <c r="E174" s="206"/>
    </row>
    <row r="175" spans="1:7" ht="12.75" customHeight="1">
      <c r="A175" s="203"/>
      <c r="B175" s="994" t="s">
        <v>225</v>
      </c>
      <c r="C175" s="996"/>
      <c r="D175" s="206"/>
      <c r="E175" s="206"/>
    </row>
    <row r="176" spans="1:7" ht="12.75" customHeight="1">
      <c r="A176" s="203"/>
      <c r="B176" s="994" t="s">
        <v>226</v>
      </c>
      <c r="C176" s="996"/>
      <c r="D176" s="206"/>
      <c r="E176" s="206"/>
    </row>
    <row r="177" spans="1:9" ht="12.75" customHeight="1">
      <c r="A177" s="203"/>
      <c r="B177" s="991" t="s">
        <v>308</v>
      </c>
      <c r="C177" s="993"/>
      <c r="D177" s="206"/>
      <c r="E177" s="206"/>
    </row>
    <row r="178" spans="1:9" ht="12.75" customHeight="1">
      <c r="A178" s="203"/>
      <c r="B178" s="991"/>
      <c r="C178" s="993"/>
      <c r="D178" s="206"/>
      <c r="E178" s="206"/>
    </row>
    <row r="179" spans="1:9" ht="12.75" customHeight="1">
      <c r="A179" s="203"/>
      <c r="B179" s="991"/>
      <c r="C179" s="993"/>
      <c r="D179" s="206"/>
      <c r="E179" s="206"/>
    </row>
    <row r="180" spans="1:9">
      <c r="A180" s="203"/>
      <c r="B180" s="206"/>
      <c r="C180" s="206"/>
      <c r="D180" s="206"/>
      <c r="E180" s="206"/>
    </row>
    <row r="181" spans="1:9">
      <c r="A181" s="203"/>
      <c r="B181" s="206"/>
      <c r="C181" s="206"/>
      <c r="D181" s="206"/>
      <c r="E181" s="206"/>
    </row>
    <row r="182" spans="1:9">
      <c r="A182" s="203"/>
      <c r="B182" s="997" t="str">
        <f>B95</f>
        <v>NGGT (TO)</v>
      </c>
      <c r="C182" s="1029"/>
      <c r="D182" s="206"/>
      <c r="E182" s="997" t="str">
        <f>B96</f>
        <v>NGGT (SO)</v>
      </c>
      <c r="F182" s="998"/>
      <c r="G182" s="998"/>
      <c r="H182" s="998"/>
      <c r="I182" s="999"/>
    </row>
    <row r="183" spans="1:9" ht="12.45" customHeight="1">
      <c r="A183" s="203"/>
      <c r="B183" s="1000" t="s">
        <v>219</v>
      </c>
      <c r="C183" s="1002"/>
      <c r="D183" s="206"/>
      <c r="E183" s="994" t="s">
        <v>557</v>
      </c>
      <c r="F183" s="995" t="s">
        <v>557</v>
      </c>
      <c r="G183" s="995" t="s">
        <v>557</v>
      </c>
      <c r="H183" s="995" t="s">
        <v>557</v>
      </c>
      <c r="I183" s="996" t="s">
        <v>557</v>
      </c>
    </row>
    <row r="184" spans="1:9" ht="12.45" customHeight="1">
      <c r="A184" s="203"/>
      <c r="B184" s="994" t="s">
        <v>227</v>
      </c>
      <c r="C184" s="996"/>
      <c r="D184" s="206"/>
      <c r="E184" s="994" t="s">
        <v>558</v>
      </c>
      <c r="F184" s="995" t="s">
        <v>558</v>
      </c>
      <c r="G184" s="995" t="s">
        <v>558</v>
      </c>
      <c r="H184" s="995" t="s">
        <v>558</v>
      </c>
      <c r="I184" s="996" t="s">
        <v>558</v>
      </c>
    </row>
    <row r="185" spans="1:9" ht="12.45" customHeight="1">
      <c r="A185" s="203"/>
      <c r="B185" s="994"/>
      <c r="C185" s="996"/>
      <c r="D185" s="206"/>
      <c r="E185" s="994" t="s">
        <v>559</v>
      </c>
      <c r="F185" s="995" t="s">
        <v>559</v>
      </c>
      <c r="G185" s="995" t="s">
        <v>559</v>
      </c>
      <c r="H185" s="995" t="s">
        <v>559</v>
      </c>
      <c r="I185" s="996" t="s">
        <v>559</v>
      </c>
    </row>
    <row r="186" spans="1:9" ht="12.45" customHeight="1">
      <c r="A186" s="203"/>
      <c r="B186" s="994"/>
      <c r="C186" s="996"/>
      <c r="D186" s="206"/>
      <c r="E186" s="994" t="s">
        <v>560</v>
      </c>
      <c r="F186" s="995" t="s">
        <v>560</v>
      </c>
      <c r="G186" s="995" t="s">
        <v>560</v>
      </c>
      <c r="H186" s="995" t="s">
        <v>560</v>
      </c>
      <c r="I186" s="996" t="s">
        <v>560</v>
      </c>
    </row>
    <row r="187" spans="1:9" ht="12.45" customHeight="1">
      <c r="A187" s="203"/>
      <c r="B187" s="991"/>
      <c r="C187" s="993"/>
      <c r="D187" s="206"/>
      <c r="E187" s="994" t="s">
        <v>561</v>
      </c>
      <c r="F187" s="995" t="s">
        <v>561</v>
      </c>
      <c r="G187" s="995" t="s">
        <v>561</v>
      </c>
      <c r="H187" s="995" t="s">
        <v>561</v>
      </c>
      <c r="I187" s="996" t="s">
        <v>561</v>
      </c>
    </row>
    <row r="188" spans="1:9" ht="12.45" customHeight="1">
      <c r="A188" s="203"/>
      <c r="B188" s="991"/>
      <c r="C188" s="993"/>
      <c r="D188" s="206"/>
      <c r="E188" s="994" t="s">
        <v>562</v>
      </c>
      <c r="F188" s="995" t="s">
        <v>562</v>
      </c>
      <c r="G188" s="995" t="s">
        <v>562</v>
      </c>
      <c r="H188" s="995" t="s">
        <v>562</v>
      </c>
      <c r="I188" s="996" t="s">
        <v>562</v>
      </c>
    </row>
    <row r="189" spans="1:9" ht="12.45" customHeight="1">
      <c r="A189" s="203"/>
      <c r="B189" s="991"/>
      <c r="C189" s="993"/>
      <c r="D189" s="206"/>
      <c r="E189" s="994" t="s">
        <v>563</v>
      </c>
      <c r="F189" s="995" t="s">
        <v>563</v>
      </c>
      <c r="G189" s="995" t="s">
        <v>563</v>
      </c>
      <c r="H189" s="995" t="s">
        <v>563</v>
      </c>
      <c r="I189" s="996" t="s">
        <v>563</v>
      </c>
    </row>
    <row r="190" spans="1:9">
      <c r="A190" s="203"/>
      <c r="B190" s="206"/>
      <c r="C190" s="206"/>
      <c r="D190" s="206"/>
      <c r="E190" s="206"/>
    </row>
    <row r="191" spans="1:9">
      <c r="A191" s="203"/>
      <c r="B191" s="206"/>
      <c r="C191" s="206"/>
      <c r="D191" s="206"/>
      <c r="E191" s="206"/>
    </row>
    <row r="192" spans="1:9">
      <c r="A192" s="203"/>
      <c r="B192" s="997" t="str">
        <f>B97</f>
        <v>NGET (TO)</v>
      </c>
      <c r="C192" s="1029"/>
      <c r="D192" s="206"/>
      <c r="E192" s="997" t="str">
        <f>B98</f>
        <v>NGESO</v>
      </c>
      <c r="F192" s="998"/>
      <c r="G192" s="998"/>
      <c r="H192" s="998"/>
      <c r="I192" s="999"/>
    </row>
    <row r="193" spans="1:9" ht="12.75" customHeight="1">
      <c r="A193" s="203"/>
      <c r="B193" s="1000" t="s">
        <v>218</v>
      </c>
      <c r="C193" s="1002"/>
      <c r="D193" s="206"/>
      <c r="E193" s="994" t="s">
        <v>564</v>
      </c>
      <c r="F193" s="995" t="s">
        <v>564</v>
      </c>
      <c r="G193" s="995" t="s">
        <v>564</v>
      </c>
      <c r="H193" s="995" t="s">
        <v>564</v>
      </c>
      <c r="I193" s="996" t="s">
        <v>564</v>
      </c>
    </row>
    <row r="194" spans="1:9" ht="12.75" customHeight="1">
      <c r="A194" s="203"/>
      <c r="B194" s="994" t="s">
        <v>219</v>
      </c>
      <c r="C194" s="996"/>
      <c r="D194" s="206"/>
      <c r="E194" s="994" t="s">
        <v>565</v>
      </c>
      <c r="F194" s="995" t="s">
        <v>565</v>
      </c>
      <c r="G194" s="995" t="s">
        <v>565</v>
      </c>
      <c r="H194" s="995" t="s">
        <v>565</v>
      </c>
      <c r="I194" s="996" t="s">
        <v>565</v>
      </c>
    </row>
    <row r="195" spans="1:9" ht="12.75" customHeight="1">
      <c r="A195" s="203"/>
      <c r="B195" s="994" t="s">
        <v>220</v>
      </c>
      <c r="C195" s="996"/>
      <c r="D195" s="206"/>
      <c r="E195" s="994" t="s">
        <v>566</v>
      </c>
      <c r="F195" s="995" t="s">
        <v>566</v>
      </c>
      <c r="G195" s="995" t="s">
        <v>566</v>
      </c>
      <c r="H195" s="995" t="s">
        <v>566</v>
      </c>
      <c r="I195" s="996" t="s">
        <v>566</v>
      </c>
    </row>
    <row r="196" spans="1:9" ht="12.75" customHeight="1">
      <c r="A196" s="203"/>
      <c r="B196" s="994" t="s">
        <v>221</v>
      </c>
      <c r="C196" s="996"/>
      <c r="D196" s="206"/>
      <c r="E196" s="994" t="s">
        <v>580</v>
      </c>
      <c r="F196" s="995"/>
      <c r="G196" s="995"/>
      <c r="H196" s="995"/>
      <c r="I196" s="996"/>
    </row>
    <row r="197" spans="1:9" ht="12.75" customHeight="1">
      <c r="A197" s="203"/>
      <c r="B197" s="991"/>
      <c r="C197" s="993"/>
      <c r="D197" s="206"/>
      <c r="E197" s="991"/>
      <c r="F197" s="992"/>
      <c r="G197" s="992"/>
      <c r="H197" s="992"/>
      <c r="I197" s="993"/>
    </row>
    <row r="198" spans="1:9" ht="12.75" customHeight="1">
      <c r="A198" s="203"/>
      <c r="B198" s="991"/>
      <c r="C198" s="993"/>
      <c r="D198" s="206"/>
      <c r="E198" s="991"/>
      <c r="F198" s="992"/>
      <c r="G198" s="992"/>
      <c r="H198" s="992"/>
      <c r="I198" s="993"/>
    </row>
    <row r="199" spans="1:9" ht="12.75" customHeight="1">
      <c r="A199" s="203"/>
      <c r="B199" s="991"/>
      <c r="C199" s="993"/>
      <c r="D199" s="206"/>
      <c r="E199" s="991"/>
      <c r="F199" s="992"/>
      <c r="G199" s="992"/>
      <c r="H199" s="992"/>
      <c r="I199" s="993"/>
    </row>
    <row r="200" spans="1:9" s="31" customFormat="1" ht="12.75" customHeight="1">
      <c r="A200" s="787"/>
      <c r="B200" s="787"/>
      <c r="C200" s="787"/>
      <c r="D200" s="788"/>
      <c r="E200" s="789"/>
      <c r="F200" s="789"/>
      <c r="G200" s="789"/>
      <c r="H200" s="789"/>
      <c r="I200" s="789"/>
    </row>
    <row r="201" spans="1:9" s="31" customFormat="1" ht="12.75" customHeight="1">
      <c r="A201" s="787"/>
      <c r="B201" s="787"/>
      <c r="C201" s="787"/>
      <c r="D201" s="788"/>
      <c r="E201" s="789"/>
      <c r="F201" s="789"/>
      <c r="G201" s="789"/>
      <c r="H201" s="789"/>
      <c r="I201" s="789"/>
    </row>
    <row r="202" spans="1:9">
      <c r="A202" s="203"/>
      <c r="B202" s="997" t="str">
        <f>B145</f>
        <v>SPT</v>
      </c>
      <c r="C202" s="1029"/>
      <c r="D202" s="206"/>
      <c r="E202" s="997" t="str">
        <f>B100</f>
        <v>SHET</v>
      </c>
      <c r="F202" s="998"/>
      <c r="G202" s="998"/>
      <c r="H202" s="998"/>
      <c r="I202" s="999"/>
    </row>
    <row r="203" spans="1:9" ht="12.75" customHeight="1">
      <c r="A203" s="203"/>
      <c r="B203" s="1000" t="s">
        <v>218</v>
      </c>
      <c r="C203" s="1002"/>
      <c r="D203" s="206"/>
      <c r="E203" s="1000" t="s">
        <v>218</v>
      </c>
      <c r="F203" s="1001"/>
      <c r="G203" s="1001"/>
      <c r="H203" s="1001"/>
      <c r="I203" s="1002"/>
    </row>
    <row r="204" spans="1:9" ht="12.75" customHeight="1">
      <c r="A204" s="203"/>
      <c r="B204" s="994" t="s">
        <v>219</v>
      </c>
      <c r="C204" s="996"/>
      <c r="D204" s="206"/>
      <c r="E204" s="994" t="s">
        <v>219</v>
      </c>
      <c r="F204" s="995"/>
      <c r="G204" s="995"/>
      <c r="H204" s="995"/>
      <c r="I204" s="996"/>
    </row>
    <row r="205" spans="1:9" ht="12.75" customHeight="1">
      <c r="A205" s="203"/>
      <c r="B205" s="994" t="s">
        <v>220</v>
      </c>
      <c r="C205" s="996"/>
      <c r="D205" s="206"/>
      <c r="E205" s="994" t="s">
        <v>220</v>
      </c>
      <c r="F205" s="995"/>
      <c r="G205" s="995"/>
      <c r="H205" s="995"/>
      <c r="I205" s="996"/>
    </row>
    <row r="206" spans="1:9" ht="12.75" customHeight="1">
      <c r="A206" s="203"/>
      <c r="B206" s="994" t="s">
        <v>221</v>
      </c>
      <c r="C206" s="996"/>
      <c r="D206" s="206"/>
      <c r="E206" s="994" t="s">
        <v>221</v>
      </c>
      <c r="F206" s="995"/>
      <c r="G206" s="995"/>
      <c r="H206" s="995"/>
      <c r="I206" s="996"/>
    </row>
    <row r="207" spans="1:9" ht="12.75" customHeight="1">
      <c r="A207" s="203"/>
      <c r="B207" s="991" t="s">
        <v>222</v>
      </c>
      <c r="C207" s="993"/>
      <c r="D207" s="206"/>
      <c r="E207" s="991" t="s">
        <v>222</v>
      </c>
      <c r="F207" s="992"/>
      <c r="G207" s="992"/>
      <c r="H207" s="992"/>
      <c r="I207" s="993"/>
    </row>
    <row r="208" spans="1:9" ht="12.75" customHeight="1">
      <c r="A208" s="203"/>
      <c r="B208" s="991"/>
      <c r="C208" s="993"/>
      <c r="D208" s="206"/>
      <c r="E208" s="991"/>
      <c r="F208" s="992"/>
      <c r="G208" s="992"/>
      <c r="H208" s="992"/>
      <c r="I208" s="993"/>
    </row>
    <row r="209" spans="1:14" ht="12.75" customHeight="1">
      <c r="A209" s="203"/>
      <c r="B209" s="991"/>
      <c r="C209" s="993"/>
      <c r="D209" s="206"/>
      <c r="E209" s="991"/>
      <c r="F209" s="992"/>
      <c r="G209" s="992"/>
      <c r="H209" s="992"/>
      <c r="I209" s="993"/>
    </row>
    <row r="210" spans="1:14">
      <c r="A210" s="203"/>
      <c r="D210" s="206"/>
      <c r="E210" s="206"/>
    </row>
    <row r="211" spans="1:14">
      <c r="A211" s="203"/>
      <c r="D211" s="206"/>
      <c r="E211" s="206"/>
    </row>
    <row r="212" spans="1:14" ht="12.75" customHeight="1">
      <c r="A212" s="203"/>
      <c r="B212" s="1028" t="s">
        <v>240</v>
      </c>
      <c r="C212" s="1028"/>
      <c r="D212" s="1028"/>
      <c r="E212" s="285"/>
      <c r="F212" s="217"/>
      <c r="G212" s="217"/>
      <c r="H212" s="217"/>
      <c r="I212" s="217"/>
      <c r="J212" s="217"/>
      <c r="K212" s="217"/>
      <c r="L212" s="217"/>
      <c r="M212" s="217"/>
      <c r="N212" s="217"/>
    </row>
    <row r="213" spans="1:14">
      <c r="A213" s="203"/>
      <c r="B213" s="206"/>
      <c r="C213" s="206"/>
      <c r="D213" s="206"/>
      <c r="E213" s="206"/>
    </row>
    <row r="214" spans="1:14" ht="25.2">
      <c r="A214" s="203"/>
      <c r="B214" s="208" t="s">
        <v>129</v>
      </c>
      <c r="C214" s="207" t="s">
        <v>208</v>
      </c>
      <c r="D214" s="206"/>
      <c r="E214" s="206"/>
    </row>
    <row r="215" spans="1:14" ht="25.2">
      <c r="A215" s="203"/>
      <c r="B215" s="209" t="s">
        <v>130</v>
      </c>
      <c r="C215" s="290" t="s">
        <v>209</v>
      </c>
      <c r="D215" s="206"/>
      <c r="E215" s="206"/>
    </row>
    <row r="216" spans="1:14">
      <c r="B216" s="305"/>
      <c r="C216" s="42"/>
      <c r="D216" s="42"/>
      <c r="E216" s="42"/>
      <c r="F216" s="42"/>
      <c r="G216" s="42"/>
      <c r="H216" s="42"/>
      <c r="I216" s="42"/>
      <c r="J216" s="42"/>
    </row>
    <row r="217" spans="1:14">
      <c r="B217" s="204"/>
      <c r="I217" s="67"/>
    </row>
    <row r="218" spans="1:14">
      <c r="B218" s="803" t="s">
        <v>412</v>
      </c>
      <c r="I218" s="67"/>
    </row>
    <row r="219" spans="1:14">
      <c r="B219" s="805" t="s">
        <v>290</v>
      </c>
    </row>
    <row r="220" spans="1:14">
      <c r="B220" s="806" t="s">
        <v>289</v>
      </c>
    </row>
    <row r="221" spans="1:14">
      <c r="B221" s="809" t="s">
        <v>287</v>
      </c>
    </row>
    <row r="222" spans="1:14">
      <c r="B222" s="807"/>
    </row>
    <row r="223" spans="1:14">
      <c r="B223" s="213"/>
    </row>
    <row r="224" spans="1:14">
      <c r="B224" s="804" t="s">
        <v>285</v>
      </c>
    </row>
    <row r="225" spans="2:2">
      <c r="B225" s="808" t="s">
        <v>413</v>
      </c>
    </row>
    <row r="226" spans="2:2">
      <c r="B226" s="806" t="s">
        <v>414</v>
      </c>
    </row>
    <row r="227" spans="2:2">
      <c r="B227" s="806" t="s">
        <v>296</v>
      </c>
    </row>
    <row r="228" spans="2:2">
      <c r="B228" s="806" t="s">
        <v>415</v>
      </c>
    </row>
    <row r="229" spans="2:2">
      <c r="B229" s="806" t="s">
        <v>416</v>
      </c>
    </row>
    <row r="230" spans="2:2">
      <c r="B230" s="806" t="s">
        <v>288</v>
      </c>
    </row>
    <row r="231" spans="2:2">
      <c r="B231" s="806" t="s">
        <v>417</v>
      </c>
    </row>
    <row r="232" spans="2:2">
      <c r="B232" s="806" t="s">
        <v>642</v>
      </c>
    </row>
    <row r="233" spans="2:2">
      <c r="B233" s="807"/>
    </row>
    <row r="234" spans="2:2">
      <c r="B234" s="213"/>
    </row>
    <row r="235" spans="2:2">
      <c r="B235" s="804" t="s">
        <v>295</v>
      </c>
    </row>
    <row r="236" spans="2:2">
      <c r="B236" s="808" t="s">
        <v>418</v>
      </c>
    </row>
    <row r="237" spans="2:2">
      <c r="B237" s="806" t="s">
        <v>419</v>
      </c>
    </row>
    <row r="238" spans="2:2">
      <c r="B238" s="806" t="s">
        <v>420</v>
      </c>
    </row>
    <row r="239" spans="2:2">
      <c r="B239" s="806" t="s">
        <v>421</v>
      </c>
    </row>
    <row r="240" spans="2:2">
      <c r="B240" s="806" t="s">
        <v>422</v>
      </c>
    </row>
    <row r="241" spans="2:2">
      <c r="B241" s="807"/>
    </row>
    <row r="242" spans="2:2">
      <c r="B242" s="213"/>
    </row>
    <row r="243" spans="2:2">
      <c r="B243" s="804" t="s">
        <v>423</v>
      </c>
    </row>
    <row r="244" spans="2:2">
      <c r="B244" s="808" t="s">
        <v>424</v>
      </c>
    </row>
    <row r="245" spans="2:2">
      <c r="B245" s="806" t="s">
        <v>425</v>
      </c>
    </row>
    <row r="246" spans="2:2">
      <c r="B246" s="807"/>
    </row>
    <row r="247" spans="2:2">
      <c r="B247" s="213"/>
    </row>
    <row r="248" spans="2:2">
      <c r="B248" s="804" t="s">
        <v>426</v>
      </c>
    </row>
    <row r="249" spans="2:2">
      <c r="B249" s="808" t="s">
        <v>467</v>
      </c>
    </row>
    <row r="250" spans="2:2">
      <c r="B250" s="806" t="s">
        <v>466</v>
      </c>
    </row>
    <row r="251" spans="2:2">
      <c r="B251" s="807" t="s">
        <v>270</v>
      </c>
    </row>
    <row r="252" spans="2:2">
      <c r="B252" s="213"/>
    </row>
    <row r="253" spans="2:2">
      <c r="B253" s="804" t="s">
        <v>286</v>
      </c>
    </row>
    <row r="254" spans="2:2">
      <c r="B254" s="808" t="s">
        <v>427</v>
      </c>
    </row>
    <row r="255" spans="2:2">
      <c r="B255" s="806" t="s">
        <v>471</v>
      </c>
    </row>
    <row r="256" spans="2:2">
      <c r="B256" s="806"/>
    </row>
    <row r="257" spans="2:2">
      <c r="B257" s="807"/>
    </row>
    <row r="258" spans="2:2">
      <c r="B258" s="213"/>
    </row>
    <row r="259" spans="2:2">
      <c r="B259" s="804" t="s">
        <v>291</v>
      </c>
    </row>
    <row r="260" spans="2:2">
      <c r="B260" s="808" t="s">
        <v>292</v>
      </c>
    </row>
    <row r="261" spans="2:2">
      <c r="B261" s="806" t="s">
        <v>297</v>
      </c>
    </row>
    <row r="262" spans="2:2">
      <c r="B262" s="806"/>
    </row>
    <row r="263" spans="2:2">
      <c r="B263" s="807"/>
    </row>
    <row r="264" spans="2:2">
      <c r="B264" s="213"/>
    </row>
    <row r="265" spans="2:2">
      <c r="B265" s="804" t="s">
        <v>428</v>
      </c>
    </row>
    <row r="266" spans="2:2">
      <c r="B266" s="808" t="s">
        <v>290</v>
      </c>
    </row>
    <row r="267" spans="2:2">
      <c r="B267" s="806" t="s">
        <v>289</v>
      </c>
    </row>
    <row r="268" spans="2:2">
      <c r="B268" s="807"/>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96" priority="21">
      <formula>AND(#REF!="Actuals",#REF!="Forecast")</formula>
    </cfRule>
  </conditionalFormatting>
  <conditionalFormatting sqref="C47">
    <cfRule type="expression" dxfId="95" priority="19">
      <formula>AND(#REF!="Actuals",#REF!="Forecast")</formula>
    </cfRule>
  </conditionalFormatting>
  <conditionalFormatting sqref="C50:J50">
    <cfRule type="expression" dxfId="94" priority="18">
      <formula>AND(#REF!="Actuals",#REF!="Forecast")</formula>
    </cfRule>
  </conditionalFormatting>
  <conditionalFormatting sqref="B14:D30">
    <cfRule type="cellIs" dxfId="93" priority="15" operator="equal">
      <formula>"Forecast"</formula>
    </cfRule>
  </conditionalFormatting>
  <conditionalFormatting sqref="B23:C30">
    <cfRule type="expression" dxfId="92" priority="112">
      <formula>$D13="Forecast"</formula>
    </cfRule>
  </conditionalFormatting>
  <conditionalFormatting sqref="K71">
    <cfRule type="expression" dxfId="91" priority="6">
      <formula>AND(#REF!="Actuals",#REF!="Forecast")</formula>
    </cfRule>
  </conditionalFormatting>
  <conditionalFormatting sqref="K72:T72">
    <cfRule type="expression" dxfId="90" priority="5">
      <formula>AND(#REF!="Actuals",#REF!="Forecast")</formula>
    </cfRule>
  </conditionalFormatting>
  <conditionalFormatting sqref="C62:L62">
    <cfRule type="expression" dxfId="89" priority="4">
      <formula>AND(#REF!="Actuals",#REF!="Forecast")</formula>
    </cfRule>
  </conditionalFormatting>
  <conditionalFormatting sqref="C118:L118">
    <cfRule type="expression" dxfId="88" priority="2">
      <formula>AND(#REF!="Actuals",#REF!="Forecast")</formula>
    </cfRule>
  </conditionalFormatting>
  <conditionalFormatting sqref="E27:F27">
    <cfRule type="expression" dxfId="87" priority="1">
      <formula>$D17="Forecast"</formula>
    </cfRule>
  </conditionalFormatting>
  <hyperlinks>
    <hyperlink ref="K39" r:id="rId1" display="August 2018 Publication"/>
    <hyperlink ref="K39:M39" r:id="rId2" display="May 2022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workbookViewId="0">
      <selection activeCell="C32" sqref="C32"/>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898" t="s">
        <v>83</v>
      </c>
      <c r="B1" s="898"/>
      <c r="C1" s="898"/>
      <c r="D1" s="898"/>
      <c r="E1" s="898"/>
      <c r="F1" s="898"/>
      <c r="G1" s="898"/>
      <c r="H1" s="898"/>
      <c r="I1" s="32" t="s">
        <v>84</v>
      </c>
      <c r="J1" s="33"/>
      <c r="K1" s="33"/>
      <c r="L1" s="33"/>
      <c r="M1" s="33"/>
    </row>
    <row r="2" spans="1:14" s="31" customFormat="1" ht="21">
      <c r="A2" s="898" t="str">
        <f>'RFPR cover'!C5</f>
        <v>WPD-WMID</v>
      </c>
      <c r="B2" s="898"/>
      <c r="C2" s="898"/>
      <c r="D2" s="898"/>
      <c r="E2" s="898"/>
      <c r="F2" s="898"/>
      <c r="G2" s="898"/>
      <c r="H2" s="898"/>
      <c r="I2" s="33"/>
      <c r="J2" s="33"/>
      <c r="K2" s="33"/>
      <c r="L2" s="33"/>
      <c r="M2" s="33"/>
      <c r="N2" s="365"/>
    </row>
    <row r="3" spans="1:14" s="31" customFormat="1" ht="21">
      <c r="A3" s="898">
        <f>'RFPR cover'!C7</f>
        <v>2022</v>
      </c>
      <c r="B3" s="898"/>
      <c r="C3" s="898"/>
      <c r="D3" s="898"/>
      <c r="E3" s="898"/>
      <c r="F3" s="898"/>
      <c r="G3" s="898"/>
      <c r="H3" s="898"/>
      <c r="I3" s="33"/>
      <c r="J3" s="33"/>
      <c r="K3" s="33"/>
      <c r="L3" s="33"/>
      <c r="M3" s="33"/>
      <c r="N3" s="365"/>
    </row>
    <row r="4" spans="1:14">
      <c r="A4" s="24"/>
      <c r="B4" s="24"/>
      <c r="C4" s="24"/>
      <c r="D4" s="24"/>
      <c r="E4" s="24"/>
      <c r="F4" s="24"/>
      <c r="G4" s="24"/>
      <c r="H4" s="24"/>
      <c r="I4" s="547"/>
      <c r="J4" s="547"/>
      <c r="K4" s="547"/>
      <c r="L4" s="547"/>
      <c r="M4" s="547"/>
      <c r="N4" s="42"/>
    </row>
    <row r="5" spans="1:14">
      <c r="A5" s="24"/>
      <c r="B5" s="24"/>
      <c r="C5" s="24"/>
      <c r="D5" s="24"/>
      <c r="E5" s="24"/>
      <c r="F5" s="24"/>
      <c r="G5" s="24"/>
      <c r="H5" s="24"/>
      <c r="I5" s="547"/>
      <c r="J5" s="547"/>
      <c r="K5" s="547"/>
      <c r="L5" s="547"/>
      <c r="M5" s="547"/>
      <c r="N5" s="42"/>
    </row>
    <row r="6" spans="1:14">
      <c r="A6" s="24"/>
      <c r="B6" s="25" t="s">
        <v>85</v>
      </c>
      <c r="C6" s="24"/>
      <c r="D6" s="24"/>
      <c r="E6" s="24"/>
      <c r="F6" s="24"/>
      <c r="G6" s="24"/>
      <c r="H6" s="24"/>
      <c r="I6" s="547"/>
      <c r="J6" s="547"/>
      <c r="K6" s="547"/>
      <c r="L6" s="547"/>
      <c r="M6" s="547"/>
      <c r="N6" s="42"/>
    </row>
    <row r="7" spans="1:14">
      <c r="A7" s="24"/>
      <c r="B7" s="24"/>
      <c r="C7" s="24"/>
      <c r="D7" s="24"/>
      <c r="E7" s="24"/>
      <c r="F7" s="24"/>
      <c r="G7" s="24"/>
      <c r="H7" s="24"/>
      <c r="I7" s="547"/>
      <c r="J7" s="547"/>
      <c r="K7" s="547"/>
      <c r="L7" s="547"/>
      <c r="M7" s="547"/>
      <c r="N7" s="42"/>
    </row>
    <row r="8" spans="1:14">
      <c r="A8" s="24"/>
      <c r="B8" s="47" t="s">
        <v>86</v>
      </c>
      <c r="C8" s="47" t="s">
        <v>87</v>
      </c>
      <c r="D8" s="1032" t="s">
        <v>88</v>
      </c>
      <c r="E8" s="1033"/>
      <c r="F8" s="1033"/>
      <c r="G8" s="1033"/>
      <c r="H8" s="1033"/>
      <c r="I8" s="547"/>
      <c r="J8" s="547"/>
      <c r="K8" s="547"/>
      <c r="L8" s="547"/>
      <c r="M8" s="547"/>
      <c r="N8" s="42"/>
    </row>
    <row r="9" spans="1:14">
      <c r="A9" s="24"/>
      <c r="B9" s="26" t="s">
        <v>89</v>
      </c>
      <c r="C9" s="46">
        <v>44773</v>
      </c>
      <c r="D9" s="1030"/>
      <c r="E9" s="1031"/>
      <c r="F9" s="1031"/>
      <c r="G9" s="1031"/>
      <c r="H9" s="1031"/>
      <c r="I9" s="24"/>
      <c r="J9" s="24"/>
      <c r="K9" s="24"/>
      <c r="L9" s="24"/>
      <c r="M9" s="24"/>
    </row>
    <row r="10" spans="1:14">
      <c r="A10" s="24"/>
      <c r="B10" s="26" t="s">
        <v>90</v>
      </c>
      <c r="C10" s="46"/>
      <c r="D10" s="1030"/>
      <c r="E10" s="1031"/>
      <c r="F10" s="1031"/>
      <c r="G10" s="1031"/>
      <c r="H10" s="1031"/>
      <c r="I10" s="24"/>
      <c r="J10" s="24"/>
      <c r="K10" s="24"/>
      <c r="L10" s="24"/>
      <c r="M10" s="24"/>
    </row>
    <row r="11" spans="1:14">
      <c r="A11" s="24"/>
      <c r="B11" s="26" t="s">
        <v>91</v>
      </c>
      <c r="C11" s="46"/>
      <c r="D11" s="1030"/>
      <c r="E11" s="1031"/>
      <c r="F11" s="1031"/>
      <c r="G11" s="1031"/>
      <c r="H11" s="1031"/>
      <c r="I11" s="24"/>
      <c r="J11" s="24"/>
      <c r="K11" s="24"/>
      <c r="L11" s="24"/>
      <c r="M11" s="24"/>
    </row>
    <row r="12" spans="1:14">
      <c r="A12" s="24"/>
      <c r="B12" s="26" t="s">
        <v>92</v>
      </c>
      <c r="C12" s="46"/>
      <c r="D12" s="1030"/>
      <c r="E12" s="1031"/>
      <c r="F12" s="1031"/>
      <c r="G12" s="1031"/>
      <c r="H12" s="1031"/>
      <c r="I12" s="24"/>
      <c r="J12" s="24"/>
      <c r="K12" s="24"/>
      <c r="L12" s="24"/>
      <c r="M12" s="24"/>
    </row>
    <row r="13" spans="1:14">
      <c r="A13" s="24"/>
      <c r="B13" s="26" t="s">
        <v>93</v>
      </c>
      <c r="C13" s="46"/>
      <c r="D13" s="1030"/>
      <c r="E13" s="1031"/>
      <c r="F13" s="1031"/>
      <c r="G13" s="1031"/>
      <c r="H13" s="1031"/>
      <c r="I13" s="24"/>
      <c r="J13" s="24"/>
      <c r="K13" s="24"/>
      <c r="L13" s="24"/>
      <c r="M13" s="24"/>
    </row>
    <row r="14" spans="1:14">
      <c r="A14" s="24"/>
      <c r="B14" s="26" t="s">
        <v>94</v>
      </c>
      <c r="C14" s="46"/>
      <c r="D14" s="1030"/>
      <c r="E14" s="1031"/>
      <c r="F14" s="1031"/>
      <c r="G14" s="1031"/>
      <c r="H14" s="1031"/>
      <c r="I14" s="24"/>
      <c r="J14" s="24"/>
      <c r="K14" s="24"/>
      <c r="L14" s="24"/>
      <c r="M14" s="24"/>
    </row>
    <row r="15" spans="1:14">
      <c r="A15" s="24"/>
      <c r="B15" s="26" t="s">
        <v>95</v>
      </c>
      <c r="C15" s="46"/>
      <c r="D15" s="1030"/>
      <c r="E15" s="1031"/>
      <c r="F15" s="1031"/>
      <c r="G15" s="1031"/>
      <c r="H15" s="1031"/>
      <c r="I15" s="24"/>
      <c r="J15" s="24"/>
      <c r="K15" s="24"/>
      <c r="L15" s="24"/>
      <c r="M15" s="24"/>
    </row>
    <row r="16" spans="1:14">
      <c r="A16" s="24"/>
      <c r="B16" s="26" t="s">
        <v>96</v>
      </c>
      <c r="C16" s="46"/>
      <c r="D16" s="1030"/>
      <c r="E16" s="1031"/>
      <c r="F16" s="1031"/>
      <c r="G16" s="1031"/>
      <c r="H16" s="1031"/>
      <c r="I16" s="24"/>
      <c r="J16" s="24"/>
      <c r="K16" s="24"/>
      <c r="L16" s="24"/>
      <c r="M16" s="24"/>
    </row>
    <row r="17" spans="1:13">
      <c r="A17" s="24"/>
      <c r="B17" s="26" t="s">
        <v>97</v>
      </c>
      <c r="C17" s="46"/>
      <c r="D17" s="1030"/>
      <c r="E17" s="1031"/>
      <c r="F17" s="1031"/>
      <c r="G17" s="1031"/>
      <c r="H17" s="1031"/>
      <c r="I17" s="24"/>
      <c r="J17" s="24"/>
      <c r="K17" s="24"/>
      <c r="L17" s="24"/>
      <c r="M17" s="24"/>
    </row>
    <row r="18" spans="1:13">
      <c r="A18" s="24"/>
      <c r="B18" s="26" t="s">
        <v>98</v>
      </c>
      <c r="C18" s="46"/>
      <c r="D18" s="1030"/>
      <c r="E18" s="1031"/>
      <c r="F18" s="1031"/>
      <c r="G18" s="1031"/>
      <c r="H18" s="1031"/>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263</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264</v>
      </c>
      <c r="C23" s="24"/>
      <c r="D23" s="24"/>
      <c r="E23" s="24"/>
      <c r="F23" s="24"/>
      <c r="G23" s="24"/>
      <c r="H23" s="24"/>
      <c r="I23" s="24"/>
      <c r="J23" s="24"/>
      <c r="K23" s="24"/>
      <c r="L23" s="24"/>
    </row>
    <row r="24" spans="1:13">
      <c r="B24" s="286" t="s">
        <v>99</v>
      </c>
    </row>
    <row r="25" spans="1:13">
      <c r="B25" s="286" t="s">
        <v>262</v>
      </c>
    </row>
    <row r="26" spans="1:13">
      <c r="B26" s="286" t="s">
        <v>100</v>
      </c>
    </row>
    <row r="27" spans="1:13">
      <c r="B27" s="286" t="s">
        <v>265</v>
      </c>
    </row>
    <row r="28" spans="1:13">
      <c r="B28" s="286" t="s">
        <v>281</v>
      </c>
      <c r="C28" t="s">
        <v>670</v>
      </c>
    </row>
    <row r="29" spans="1:13">
      <c r="B29" s="286" t="s">
        <v>237</v>
      </c>
    </row>
    <row r="30" spans="1:13">
      <c r="B30" s="286" t="s">
        <v>284</v>
      </c>
      <c r="C30" t="s">
        <v>670</v>
      </c>
    </row>
    <row r="31" spans="1:13">
      <c r="B31" s="286" t="s">
        <v>101</v>
      </c>
    </row>
    <row r="32" spans="1:13">
      <c r="B32" s="286" t="s">
        <v>261</v>
      </c>
    </row>
    <row r="33" spans="2:2">
      <c r="B33" s="286" t="s">
        <v>266</v>
      </c>
    </row>
    <row r="34" spans="2:2">
      <c r="B34" s="286" t="s">
        <v>259</v>
      </c>
    </row>
    <row r="35" spans="2:2">
      <c r="B35" s="286"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topLeftCell="A18" zoomScale="60" zoomScaleNormal="60" workbookViewId="0">
      <selection activeCell="C41" sqref="C41"/>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WPD-WMID</v>
      </c>
      <c r="B2" s="29"/>
      <c r="C2" s="29"/>
      <c r="D2" s="29"/>
    </row>
    <row r="3" spans="1:4" s="31" customFormat="1" ht="21">
      <c r="A3" s="29">
        <f>'RFPR cover'!C7</f>
        <v>2022</v>
      </c>
      <c r="B3" s="29"/>
      <c r="C3" s="29"/>
      <c r="D3" s="29"/>
    </row>
    <row r="4" spans="1:4" s="31" customFormat="1" ht="21">
      <c r="A4" s="836"/>
      <c r="B4" s="836"/>
      <c r="C4" s="836"/>
      <c r="D4" s="836"/>
    </row>
    <row r="5" spans="1:4" ht="27.6">
      <c r="A5" s="833" t="s">
        <v>450</v>
      </c>
      <c r="B5" s="834" t="s">
        <v>451</v>
      </c>
      <c r="C5" s="835" t="s">
        <v>452</v>
      </c>
    </row>
    <row r="6" spans="1:4">
      <c r="A6" s="335">
        <v>1.1000000000000001</v>
      </c>
      <c r="B6" s="844" t="s">
        <v>534</v>
      </c>
      <c r="C6" s="850" t="s">
        <v>535</v>
      </c>
    </row>
    <row r="7" spans="1:4">
      <c r="A7" s="335">
        <v>1.1000000000000001</v>
      </c>
      <c r="B7" s="844" t="s">
        <v>534</v>
      </c>
      <c r="C7" s="850" t="s">
        <v>536</v>
      </c>
    </row>
    <row r="8" spans="1:4">
      <c r="A8" s="335">
        <v>1.1000000000000001</v>
      </c>
      <c r="B8" s="842" t="s">
        <v>537</v>
      </c>
      <c r="C8" s="849" t="s">
        <v>538</v>
      </c>
    </row>
    <row r="9" spans="1:4" ht="25.2">
      <c r="A9" s="335">
        <v>1.1000000000000001</v>
      </c>
      <c r="B9" s="842" t="s">
        <v>540</v>
      </c>
      <c r="C9" s="849" t="s">
        <v>541</v>
      </c>
    </row>
    <row r="10" spans="1:4">
      <c r="A10" s="335">
        <v>1.1000000000000001</v>
      </c>
      <c r="B10" s="842" t="s">
        <v>540</v>
      </c>
      <c r="C10" s="849" t="s">
        <v>543</v>
      </c>
    </row>
    <row r="11" spans="1:4">
      <c r="A11" s="335">
        <v>1.1000000000000001</v>
      </c>
      <c r="B11" s="842" t="s">
        <v>545</v>
      </c>
      <c r="C11" s="849" t="s">
        <v>544</v>
      </c>
    </row>
    <row r="12" spans="1:4" ht="25.2">
      <c r="A12" s="335">
        <v>1.1000000000000001</v>
      </c>
      <c r="B12" s="842" t="s">
        <v>540</v>
      </c>
      <c r="C12" s="849" t="s">
        <v>546</v>
      </c>
    </row>
    <row r="13" spans="1:4" ht="50.4">
      <c r="A13" s="335">
        <v>1.1000000000000001</v>
      </c>
      <c r="B13" s="842" t="s">
        <v>540</v>
      </c>
      <c r="C13" s="849" t="s">
        <v>547</v>
      </c>
    </row>
    <row r="14" spans="1:4">
      <c r="A14" s="336">
        <v>1.1000000000000001</v>
      </c>
      <c r="B14" s="842" t="s">
        <v>548</v>
      </c>
      <c r="C14" s="849" t="s">
        <v>549</v>
      </c>
    </row>
    <row r="15" spans="1:4">
      <c r="A15" s="336">
        <v>1.1000000000000001</v>
      </c>
      <c r="B15" s="842" t="s">
        <v>537</v>
      </c>
      <c r="C15" s="849" t="s">
        <v>550</v>
      </c>
    </row>
    <row r="16" spans="1:4" ht="37.799999999999997">
      <c r="A16" s="336">
        <v>1.1000000000000001</v>
      </c>
      <c r="B16" s="842" t="s">
        <v>551</v>
      </c>
      <c r="C16" s="849" t="s">
        <v>552</v>
      </c>
    </row>
    <row r="17" spans="1:3">
      <c r="A17" s="336">
        <v>1.1000000000000001</v>
      </c>
      <c r="B17" s="842" t="s">
        <v>545</v>
      </c>
      <c r="C17" s="287" t="s">
        <v>553</v>
      </c>
    </row>
    <row r="18" spans="1:3">
      <c r="A18" s="336">
        <v>1.1000000000000001</v>
      </c>
      <c r="B18" s="842" t="s">
        <v>545</v>
      </c>
      <c r="C18" s="287" t="s">
        <v>554</v>
      </c>
    </row>
    <row r="19" spans="1:3">
      <c r="A19" s="336">
        <v>1.1000000000000001</v>
      </c>
      <c r="B19" s="842" t="s">
        <v>555</v>
      </c>
      <c r="C19" s="287" t="s">
        <v>556</v>
      </c>
    </row>
    <row r="20" spans="1:3" ht="25.2">
      <c r="A20" s="336">
        <v>1.1000000000000001</v>
      </c>
      <c r="B20" s="842" t="s">
        <v>555</v>
      </c>
      <c r="C20" s="287" t="s">
        <v>567</v>
      </c>
    </row>
    <row r="21" spans="1:3">
      <c r="A21" s="336">
        <v>1.1000000000000001</v>
      </c>
      <c r="B21" s="842" t="s">
        <v>568</v>
      </c>
      <c r="C21" s="287" t="s">
        <v>569</v>
      </c>
    </row>
    <row r="22" spans="1:3">
      <c r="A22" s="336">
        <v>1.1000000000000001</v>
      </c>
      <c r="B22" s="336" t="s">
        <v>548</v>
      </c>
      <c r="C22" s="287" t="s">
        <v>570</v>
      </c>
    </row>
    <row r="23" spans="1:3" ht="25.2">
      <c r="A23" s="336">
        <v>1.1000000000000001</v>
      </c>
      <c r="B23" s="842" t="s">
        <v>548</v>
      </c>
      <c r="C23" s="287" t="s">
        <v>571</v>
      </c>
    </row>
    <row r="24" spans="1:3" ht="25.2">
      <c r="A24" s="336">
        <v>1.1000000000000001</v>
      </c>
      <c r="B24" s="842" t="s">
        <v>551</v>
      </c>
      <c r="C24" s="287" t="s">
        <v>572</v>
      </c>
    </row>
    <row r="25" spans="1:3" ht="25.8" thickBot="1">
      <c r="A25" s="936">
        <v>1.1000000000000001</v>
      </c>
      <c r="B25" s="937" t="s">
        <v>555</v>
      </c>
      <c r="C25" s="938" t="s">
        <v>574</v>
      </c>
    </row>
    <row r="26" spans="1:3">
      <c r="A26" s="933">
        <v>1.1000000000000001</v>
      </c>
      <c r="B26" s="934" t="s">
        <v>548</v>
      </c>
      <c r="C26" s="935" t="s">
        <v>575</v>
      </c>
    </row>
    <row r="27" spans="1:3">
      <c r="A27" s="933">
        <v>1.1000000000000001</v>
      </c>
      <c r="B27" s="842" t="s">
        <v>555</v>
      </c>
      <c r="C27" s="287" t="s">
        <v>576</v>
      </c>
    </row>
    <row r="28" spans="1:3" ht="25.2">
      <c r="A28" s="336">
        <v>1.1000000000000001</v>
      </c>
      <c r="B28" s="842" t="s">
        <v>555</v>
      </c>
      <c r="C28" s="287" t="s">
        <v>577</v>
      </c>
    </row>
    <row r="29" spans="1:3">
      <c r="A29" s="939">
        <v>2</v>
      </c>
      <c r="B29" s="842" t="s">
        <v>555</v>
      </c>
      <c r="C29" s="287" t="s">
        <v>581</v>
      </c>
    </row>
    <row r="30" spans="1:3">
      <c r="A30" s="939">
        <v>2</v>
      </c>
      <c r="B30" s="842" t="s">
        <v>555</v>
      </c>
      <c r="C30" s="287" t="s">
        <v>582</v>
      </c>
    </row>
    <row r="31" spans="1:3">
      <c r="A31" s="939">
        <v>2</v>
      </c>
      <c r="B31" s="842" t="s">
        <v>555</v>
      </c>
      <c r="C31" s="287" t="s">
        <v>586</v>
      </c>
    </row>
    <row r="32" spans="1:3" ht="25.2">
      <c r="A32" s="939">
        <v>2</v>
      </c>
      <c r="B32" s="842" t="s">
        <v>265</v>
      </c>
      <c r="C32" s="863" t="s">
        <v>583</v>
      </c>
    </row>
    <row r="33" spans="1:3" ht="27.75" customHeight="1">
      <c r="A33" s="939">
        <v>2</v>
      </c>
      <c r="B33" s="842" t="s">
        <v>584</v>
      </c>
      <c r="C33" s="287" t="s">
        <v>585</v>
      </c>
    </row>
    <row r="34" spans="1:3">
      <c r="A34" s="336">
        <v>2.1</v>
      </c>
      <c r="B34" s="842" t="s">
        <v>261</v>
      </c>
      <c r="C34" s="287" t="s">
        <v>629</v>
      </c>
    </row>
    <row r="35" spans="1:3" ht="25.2">
      <c r="A35" s="336">
        <v>2.1</v>
      </c>
      <c r="B35" s="842" t="s">
        <v>265</v>
      </c>
      <c r="C35" s="287" t="s">
        <v>630</v>
      </c>
    </row>
    <row r="36" spans="1:3" ht="37.799999999999997">
      <c r="A36" s="337"/>
      <c r="B36" s="985" t="s">
        <v>643</v>
      </c>
      <c r="C36" s="986" t="s">
        <v>656</v>
      </c>
    </row>
    <row r="37" spans="1:3" ht="113.4">
      <c r="A37" s="337"/>
      <c r="B37" s="985" t="s">
        <v>555</v>
      </c>
      <c r="C37" s="986" t="s">
        <v>655</v>
      </c>
    </row>
    <row r="38" spans="1:3" ht="25.2">
      <c r="A38" s="337"/>
      <c r="B38" s="866" t="s">
        <v>259</v>
      </c>
      <c r="C38" s="954" t="s">
        <v>645</v>
      </c>
    </row>
    <row r="39" spans="1:3" ht="37.799999999999997">
      <c r="A39" s="337"/>
      <c r="B39" s="985" t="s">
        <v>647</v>
      </c>
      <c r="C39" s="987" t="s">
        <v>646</v>
      </c>
    </row>
    <row r="40" spans="1:3" ht="36" customHeight="1">
      <c r="A40" s="336"/>
      <c r="B40" s="985" t="s">
        <v>643</v>
      </c>
      <c r="C40" s="986" t="s">
        <v>657</v>
      </c>
    </row>
    <row r="41" spans="1:3" ht="50.4">
      <c r="A41" s="337"/>
      <c r="B41" s="866" t="s">
        <v>650</v>
      </c>
      <c r="C41" s="287" t="s">
        <v>649</v>
      </c>
    </row>
    <row r="42" spans="1:3" ht="14.4" customHeight="1">
      <c r="A42" s="337"/>
      <c r="B42" s="866" t="s">
        <v>545</v>
      </c>
      <c r="C42" s="287" t="s">
        <v>653</v>
      </c>
    </row>
    <row r="43" spans="1:3" ht="36" customHeight="1">
      <c r="A43" s="337"/>
      <c r="B43" s="866" t="s">
        <v>658</v>
      </c>
      <c r="C43" s="954" t="s">
        <v>659</v>
      </c>
    </row>
    <row r="44" spans="1:3">
      <c r="A44" s="337"/>
      <c r="B44" s="842"/>
      <c r="C44" s="287"/>
    </row>
    <row r="45" spans="1:3">
      <c r="A45" s="337"/>
      <c r="B45" s="842"/>
      <c r="C45" s="287"/>
    </row>
    <row r="46" spans="1:3">
      <c r="A46" s="337"/>
      <c r="B46" s="842"/>
      <c r="C46" s="287"/>
    </row>
    <row r="47" spans="1:3">
      <c r="A47" s="337"/>
      <c r="B47" s="842"/>
      <c r="C47" s="287"/>
    </row>
    <row r="48" spans="1:3">
      <c r="A48" s="337"/>
      <c r="B48" s="842"/>
      <c r="C48" s="287"/>
    </row>
    <row r="49" spans="1:3">
      <c r="A49" s="337"/>
      <c r="B49" s="842"/>
      <c r="C49" s="287"/>
    </row>
    <row r="50" spans="1:3">
      <c r="A50" s="337"/>
      <c r="B50" s="842"/>
      <c r="C50" s="287"/>
    </row>
    <row r="51" spans="1:3">
      <c r="A51" s="337"/>
      <c r="B51" s="842"/>
      <c r="C51" s="287"/>
    </row>
    <row r="52" spans="1:3">
      <c r="A52" s="337"/>
      <c r="B52" s="842"/>
      <c r="C52" s="287"/>
    </row>
    <row r="53" spans="1:3">
      <c r="A53" s="337"/>
      <c r="B53" s="842"/>
      <c r="C53" s="287"/>
    </row>
    <row r="54" spans="1:3">
      <c r="A54" s="337"/>
      <c r="B54" s="873"/>
      <c r="C54" s="874"/>
    </row>
    <row r="55" spans="1:3">
      <c r="A55" s="337"/>
      <c r="B55" s="842"/>
      <c r="C55" s="287"/>
    </row>
    <row r="56" spans="1:3">
      <c r="A56" s="337"/>
      <c r="B56" s="842"/>
      <c r="C56" s="287"/>
    </row>
    <row r="57" spans="1:3">
      <c r="A57" s="337"/>
      <c r="B57" s="842"/>
      <c r="C57" s="287"/>
    </row>
    <row r="58" spans="1:3">
      <c r="A58" s="337"/>
      <c r="B58" s="842"/>
      <c r="C58" s="287"/>
    </row>
    <row r="59" spans="1:3">
      <c r="A59" s="337"/>
      <c r="B59" s="842"/>
      <c r="C59" s="863"/>
    </row>
    <row r="60" spans="1:3">
      <c r="A60" s="338"/>
      <c r="B60" s="843"/>
      <c r="C60" s="288"/>
    </row>
    <row r="61" spans="1:3">
      <c r="A61" s="338"/>
      <c r="B61" s="843"/>
      <c r="C61" s="288"/>
    </row>
    <row r="62" spans="1:3">
      <c r="A62" s="338"/>
      <c r="B62" s="843"/>
      <c r="C62" s="288"/>
    </row>
    <row r="63" spans="1:3">
      <c r="A63" s="338"/>
      <c r="B63" s="843"/>
      <c r="C63" s="288"/>
    </row>
    <row r="64" spans="1:3">
      <c r="A64" s="338"/>
      <c r="B64" s="843"/>
      <c r="C64" s="288"/>
    </row>
    <row r="65" spans="1:3">
      <c r="A65" s="338"/>
      <c r="B65" s="843"/>
      <c r="C65" s="288"/>
    </row>
    <row r="66" spans="1:3">
      <c r="A66" s="338"/>
      <c r="B66" s="843"/>
      <c r="C66" s="288"/>
    </row>
    <row r="67" spans="1:3">
      <c r="A67" s="338"/>
      <c r="B67" s="843"/>
      <c r="C67"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X67"/>
  <sheetViews>
    <sheetView zoomScale="70" zoomScaleNormal="70" workbookViewId="0">
      <selection activeCell="A73" sqref="A73"/>
    </sheetView>
  </sheetViews>
  <sheetFormatPr defaultRowHeight="12.6"/>
  <cols>
    <col min="1" max="1" width="8.36328125" customWidth="1"/>
    <col min="2" max="2" width="63.36328125" style="196" customWidth="1"/>
    <col min="3" max="3" width="13.36328125" style="42" customWidth="1"/>
    <col min="4" max="11" width="9.08984375" customWidth="1"/>
    <col min="12" max="12" width="3.6328125" customWidth="1"/>
    <col min="13" max="14" width="13.7265625" customWidth="1"/>
    <col min="15" max="15" width="5.08984375" customWidth="1"/>
  </cols>
  <sheetData>
    <row r="1" spans="1:40" s="31" customFormat="1" ht="21">
      <c r="A1" s="903" t="s">
        <v>239</v>
      </c>
      <c r="B1" s="912"/>
      <c r="C1" s="913"/>
      <c r="D1" s="913"/>
      <c r="E1" s="913"/>
      <c r="F1" s="913"/>
      <c r="G1" s="256"/>
      <c r="H1" s="256"/>
      <c r="I1" s="257"/>
      <c r="J1" s="257"/>
      <c r="K1" s="258"/>
      <c r="L1" s="258"/>
      <c r="M1" s="258"/>
      <c r="N1" s="258"/>
      <c r="O1" s="366" t="s">
        <v>84</v>
      </c>
    </row>
    <row r="2" spans="1:40" s="31" customFormat="1" ht="21">
      <c r="A2" s="906" t="str">
        <f>'RFPR cover'!C5</f>
        <v>WPD-WMID</v>
      </c>
      <c r="B2" s="914"/>
      <c r="C2" s="898"/>
      <c r="D2" s="898"/>
      <c r="E2" s="898"/>
      <c r="F2" s="898"/>
      <c r="G2" s="29"/>
      <c r="H2" s="29"/>
      <c r="I2" s="27"/>
      <c r="J2" s="27"/>
      <c r="K2" s="27"/>
      <c r="L2" s="27"/>
      <c r="M2" s="27"/>
      <c r="N2" s="27"/>
      <c r="O2" s="123"/>
    </row>
    <row r="3" spans="1:40" s="31" customFormat="1" ht="22.8">
      <c r="A3" s="909">
        <f>'RFPR cover'!C7</f>
        <v>2022</v>
      </c>
      <c r="B3" s="915" t="str">
        <f>IF('RFPR cover'!C5=Data!B98,"Not required to be completed for System Operator",(IF('RFPR cover'!C5=Data!B96,"Not required to be completed for System Operator","")))</f>
        <v/>
      </c>
      <c r="C3" s="916"/>
      <c r="D3" s="916"/>
      <c r="E3" s="916"/>
      <c r="F3" s="916"/>
      <c r="G3" s="260"/>
      <c r="H3" s="260"/>
      <c r="I3" s="255"/>
      <c r="J3" s="255"/>
      <c r="K3" s="255"/>
      <c r="L3" s="255"/>
      <c r="M3" s="255"/>
      <c r="N3" s="255"/>
      <c r="O3" s="261"/>
    </row>
    <row r="4" spans="1:40" ht="12.75" customHeight="1"/>
    <row r="5" spans="1:40">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L5" s="2"/>
      <c r="M5" s="2"/>
    </row>
    <row r="6" spans="1:40"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9"/>
      <c r="M6" s="101" t="str">
        <f>"Cumulative to "&amp;'RFPR cover'!$C$7</f>
        <v>Cumulative to 2022</v>
      </c>
      <c r="N6" s="194" t="s">
        <v>109</v>
      </c>
    </row>
    <row r="7" spans="1:40">
      <c r="C7" s="172"/>
      <c r="D7" s="172"/>
      <c r="E7" s="172"/>
      <c r="F7" s="172"/>
      <c r="G7" s="172"/>
      <c r="H7" s="172"/>
      <c r="I7" s="172"/>
      <c r="J7" s="172"/>
      <c r="K7" s="172"/>
      <c r="L7" s="172"/>
      <c r="M7" s="172"/>
      <c r="N7" s="172"/>
      <c r="O7" s="172"/>
    </row>
    <row r="8" spans="1:40">
      <c r="B8" s="530" t="s">
        <v>108</v>
      </c>
      <c r="C8" s="423"/>
      <c r="D8" s="423"/>
      <c r="E8" s="423"/>
      <c r="F8" s="423"/>
      <c r="G8" s="423"/>
      <c r="H8" s="423"/>
      <c r="I8" s="423"/>
      <c r="J8" s="423"/>
      <c r="K8" s="423"/>
      <c r="L8" s="531"/>
      <c r="M8" s="217"/>
      <c r="N8" s="217"/>
      <c r="O8" s="217"/>
      <c r="Q8" s="959"/>
    </row>
    <row r="9" spans="1:40">
      <c r="B9" s="197"/>
      <c r="D9" s="42"/>
      <c r="E9" s="42"/>
      <c r="F9" s="42"/>
      <c r="G9" s="42"/>
      <c r="H9" s="42"/>
      <c r="I9" s="42"/>
      <c r="J9" s="42"/>
      <c r="K9" s="42"/>
      <c r="L9" s="49"/>
    </row>
    <row r="10" spans="1:40">
      <c r="B10" s="252" t="s">
        <v>215</v>
      </c>
      <c r="C10" s="254" t="s">
        <v>7</v>
      </c>
      <c r="D10" s="506">
        <f t="shared" ref="D10:K19" si="1">D48/D$65</f>
        <v>6.4000000000000001E-2</v>
      </c>
      <c r="E10" s="508">
        <f t="shared" si="1"/>
        <v>6.4000000000000001E-2</v>
      </c>
      <c r="F10" s="508">
        <f t="shared" si="1"/>
        <v>6.4000000000000001E-2</v>
      </c>
      <c r="G10" s="508">
        <f t="shared" si="1"/>
        <v>6.4000000000000001E-2</v>
      </c>
      <c r="H10" s="508">
        <f t="shared" si="1"/>
        <v>6.4000000000000001E-2</v>
      </c>
      <c r="I10" s="508">
        <f t="shared" si="1"/>
        <v>6.4000000000000001E-2</v>
      </c>
      <c r="J10" s="508">
        <f t="shared" si="1"/>
        <v>6.4000000000000001E-2</v>
      </c>
      <c r="K10" s="507">
        <f t="shared" si="1"/>
        <v>6.4000000000000001E-2</v>
      </c>
      <c r="L10" s="173"/>
      <c r="M10" s="507">
        <f>AVERAGE(D48:INDEX(D48:K48,0,MATCH('RFPR cover'!$C$7,$D$6:$K$6,0)))/AVERAGE($D$65:INDEX($D$65:$K$65,0,MATCH('RFPR cover'!$C$7,$D$6:$K$6,0)))</f>
        <v>6.4000000000000015E-2</v>
      </c>
      <c r="N10" s="507">
        <f>AVERAGE(D48:K48)/AVERAGE($D$65:$K$65)</f>
        <v>6.4000000000000015E-2</v>
      </c>
      <c r="Q10" s="173"/>
      <c r="R10" s="173"/>
      <c r="S10" s="173"/>
      <c r="T10" s="173"/>
      <c r="U10" s="173"/>
      <c r="V10" s="173"/>
      <c r="W10" s="173"/>
      <c r="X10" s="173"/>
      <c r="Y10" s="173"/>
      <c r="Z10" s="173"/>
      <c r="AA10" s="173"/>
      <c r="AC10" s="173"/>
      <c r="AD10" s="173"/>
      <c r="AE10" s="173"/>
      <c r="AF10" s="173"/>
      <c r="AG10" s="173"/>
      <c r="AH10" s="173"/>
      <c r="AI10" s="173"/>
      <c r="AJ10" s="173"/>
      <c r="AK10" s="173"/>
      <c r="AL10" s="173"/>
      <c r="AM10" s="173"/>
      <c r="AN10" s="173"/>
    </row>
    <row r="11" spans="1:40">
      <c r="B11" s="252" t="str">
        <f t="shared" ref="B11:B18" si="2">B49</f>
        <v>Totex outperformance</v>
      </c>
      <c r="C11" s="254" t="s">
        <v>7</v>
      </c>
      <c r="D11" s="175">
        <f t="shared" si="1"/>
        <v>-3.4557240751403519E-2</v>
      </c>
      <c r="E11" s="176">
        <f t="shared" si="1"/>
        <v>-2.1462437712904153E-2</v>
      </c>
      <c r="F11" s="176">
        <f t="shared" si="1"/>
        <v>-1.048813074045428E-2</v>
      </c>
      <c r="G11" s="176">
        <f t="shared" si="1"/>
        <v>3.0153693588748153E-2</v>
      </c>
      <c r="H11" s="176">
        <f t="shared" si="1"/>
        <v>3.5929469092382378E-2</v>
      </c>
      <c r="I11" s="176">
        <f t="shared" si="1"/>
        <v>7.0314000737103889E-4</v>
      </c>
      <c r="J11" s="964">
        <f t="shared" si="1"/>
        <v>-1.0941888196593093E-2</v>
      </c>
      <c r="K11" s="177">
        <f t="shared" si="1"/>
        <v>-5.3906343943671362E-3</v>
      </c>
      <c r="L11" s="173"/>
      <c r="M11" s="177">
        <f>AVERAGE(D49:INDEX(D49:K49,0,MATCH('RFPR cover'!$C$7,$D$6:$K$6,0)))/AVERAGE($D$65:INDEX($D$65:$K$65,0,MATCH('RFPR cover'!$C$7,$D$6:$K$6,0)))</f>
        <v>-1.1954529671197086E-3</v>
      </c>
      <c r="N11" s="177">
        <f t="shared" ref="N11:N19" si="3">AVERAGE(D49:K49)/AVERAGE($D$65:$K$65)</f>
        <v>-1.7521851206346861E-3</v>
      </c>
      <c r="P11" s="173"/>
      <c r="Q11" s="173"/>
      <c r="R11" s="173"/>
      <c r="S11" s="173"/>
      <c r="T11" s="173"/>
      <c r="U11" s="173"/>
      <c r="V11" s="173"/>
      <c r="W11" s="173"/>
      <c r="X11" s="173"/>
      <c r="Y11" s="173"/>
      <c r="Z11" s="173"/>
      <c r="AA11" s="173"/>
      <c r="AC11" s="173"/>
      <c r="AD11" s="173"/>
      <c r="AE11" s="173"/>
      <c r="AF11" s="173"/>
      <c r="AG11" s="173"/>
      <c r="AH11" s="173"/>
      <c r="AI11" s="173"/>
      <c r="AJ11" s="173"/>
      <c r="AK11" s="173"/>
      <c r="AL11" s="173"/>
      <c r="AM11" s="173"/>
    </row>
    <row r="12" spans="1:40">
      <c r="B12" s="252" t="str">
        <f t="shared" si="2"/>
        <v>IQI Reward</v>
      </c>
      <c r="C12" s="254" t="s">
        <v>7</v>
      </c>
      <c r="D12" s="175">
        <f t="shared" si="1"/>
        <v>7.6351397277072746E-3</v>
      </c>
      <c r="E12" s="176">
        <f t="shared" si="1"/>
        <v>7.4787323096697864E-3</v>
      </c>
      <c r="F12" s="176">
        <f t="shared" si="1"/>
        <v>7.2338950756769878E-3</v>
      </c>
      <c r="G12" s="176">
        <f t="shared" si="1"/>
        <v>7.2788362785438385E-3</v>
      </c>
      <c r="H12" s="176">
        <f t="shared" si="1"/>
        <v>7.4197118459144659E-3</v>
      </c>
      <c r="I12" s="176">
        <f t="shared" si="1"/>
        <v>7.4501666294127192E-3</v>
      </c>
      <c r="J12" s="964">
        <f t="shared" si="1"/>
        <v>7.2424577025429699E-3</v>
      </c>
      <c r="K12" s="177">
        <f t="shared" si="1"/>
        <v>7.1442447935853842E-3</v>
      </c>
      <c r="L12" s="173"/>
      <c r="M12" s="177">
        <f>AVERAGE(D50:INDEX(D50:K50,0,MATCH('RFPR cover'!$C$7,$D$6:$K$6,0)))/AVERAGE($D$65:INDEX($D$65:$K$65,0,MATCH('RFPR cover'!$C$7,$D$6:$K$6,0)))</f>
        <v>7.3887904301517112E-3</v>
      </c>
      <c r="N12" s="177">
        <f t="shared" si="3"/>
        <v>7.3563373834267228E-3</v>
      </c>
      <c r="Q12" s="173"/>
      <c r="R12" s="173"/>
      <c r="S12" s="173"/>
      <c r="T12" s="173"/>
      <c r="U12" s="173"/>
      <c r="V12" s="173"/>
      <c r="W12" s="173"/>
      <c r="X12" s="173"/>
      <c r="Y12" s="173"/>
      <c r="Z12" s="173"/>
      <c r="AA12" s="173"/>
      <c r="AC12" s="173"/>
      <c r="AD12" s="173"/>
      <c r="AE12" s="173"/>
      <c r="AF12" s="173"/>
      <c r="AG12" s="173"/>
      <c r="AH12" s="173"/>
      <c r="AI12" s="173"/>
      <c r="AJ12" s="173"/>
      <c r="AK12" s="173"/>
      <c r="AL12" s="173"/>
      <c r="AM12" s="173"/>
    </row>
    <row r="13" spans="1:40">
      <c r="B13" s="252" t="str">
        <f t="shared" si="2"/>
        <v>Broad measure of customer service</v>
      </c>
      <c r="C13" s="254" t="s">
        <v>7</v>
      </c>
      <c r="D13" s="175">
        <f t="shared" si="1"/>
        <v>6.2933684902778363E-3</v>
      </c>
      <c r="E13" s="176">
        <f t="shared" si="1"/>
        <v>5.977255228960845E-3</v>
      </c>
      <c r="F13" s="176">
        <f t="shared" si="1"/>
        <v>6.1567784167970638E-3</v>
      </c>
      <c r="G13" s="176">
        <f t="shared" si="1"/>
        <v>6.4143028084096086E-3</v>
      </c>
      <c r="H13" s="176">
        <f t="shared" si="1"/>
        <v>5.0756133737657515E-3</v>
      </c>
      <c r="I13" s="176">
        <f t="shared" si="1"/>
        <v>5.0058717914810737E-3</v>
      </c>
      <c r="J13" s="964">
        <f t="shared" si="1"/>
        <v>4.8791914435863618E-3</v>
      </c>
      <c r="K13" s="177">
        <f t="shared" si="1"/>
        <v>4.7946939799718312E-3</v>
      </c>
      <c r="L13" s="173"/>
      <c r="M13" s="177">
        <f>AVERAGE(D51:INDEX(D51:K51,0,MATCH('RFPR cover'!$C$7,$D$6:$K$6,0)))/AVERAGE($D$65:INDEX($D$65:$K$65,0,MATCH('RFPR cover'!$C$7,$D$6:$K$6,0)))</f>
        <v>5.671384303207491E-3</v>
      </c>
      <c r="N13" s="177">
        <f t="shared" si="3"/>
        <v>5.5550408982594545E-3</v>
      </c>
      <c r="Q13" s="173"/>
      <c r="R13" s="173"/>
      <c r="S13" s="173"/>
      <c r="T13" s="173"/>
      <c r="U13" s="173"/>
      <c r="V13" s="173"/>
      <c r="W13" s="173"/>
      <c r="X13" s="173"/>
      <c r="Y13" s="173"/>
      <c r="Z13" s="173"/>
      <c r="AA13" s="173"/>
      <c r="AC13" s="173"/>
      <c r="AD13" s="173"/>
      <c r="AE13" s="173"/>
      <c r="AF13" s="173"/>
      <c r="AG13" s="173"/>
      <c r="AH13" s="173"/>
      <c r="AI13" s="173"/>
      <c r="AJ13" s="173"/>
      <c r="AK13" s="173"/>
      <c r="AL13" s="173"/>
      <c r="AM13" s="173"/>
    </row>
    <row r="14" spans="1:40">
      <c r="B14" s="252" t="str">
        <f t="shared" si="2"/>
        <v>Interruptions-related quality of service</v>
      </c>
      <c r="C14" s="254" t="s">
        <v>7</v>
      </c>
      <c r="D14" s="175">
        <f t="shared" si="1"/>
        <v>2.102540249138251E-2</v>
      </c>
      <c r="E14" s="176">
        <f t="shared" si="1"/>
        <v>2.0567149601984233E-2</v>
      </c>
      <c r="F14" s="176">
        <f t="shared" si="1"/>
        <v>2.0229889931055553E-2</v>
      </c>
      <c r="G14" s="176">
        <f t="shared" si="1"/>
        <v>2.0003199525851213E-2</v>
      </c>
      <c r="H14" s="176">
        <f t="shared" si="1"/>
        <v>1.9788184298602157E-2</v>
      </c>
      <c r="I14" s="176">
        <f t="shared" si="1"/>
        <v>1.9516284297183922E-2</v>
      </c>
      <c r="J14" s="964">
        <f t="shared" si="1"/>
        <v>1.9144136513795561E-2</v>
      </c>
      <c r="K14" s="177">
        <f t="shared" si="1"/>
        <v>1.8692969921916609E-2</v>
      </c>
      <c r="L14" s="173"/>
      <c r="M14" s="177">
        <f>AVERAGE(D52:INDEX(D52:K52,0,MATCH('RFPR cover'!$C$7,$D$6:$K$6,0)))/AVERAGE($D$65:INDEX($D$65:$K$65,0,MATCH('RFPR cover'!$C$7,$D$6:$K$6,0)))</f>
        <v>2.0021947901668682E-2</v>
      </c>
      <c r="N14" s="177">
        <f t="shared" si="3"/>
        <v>1.9845582520225141E-2</v>
      </c>
      <c r="Q14" s="173"/>
      <c r="R14" s="173"/>
      <c r="S14" s="173"/>
      <c r="T14" s="173"/>
      <c r="U14" s="173"/>
      <c r="V14" s="173"/>
      <c r="W14" s="173"/>
      <c r="X14" s="173"/>
      <c r="Y14" s="173"/>
      <c r="Z14" s="173"/>
      <c r="AA14" s="173"/>
      <c r="AC14" s="173"/>
      <c r="AD14" s="173"/>
      <c r="AE14" s="173"/>
      <c r="AF14" s="173"/>
      <c r="AG14" s="173"/>
      <c r="AH14" s="173"/>
      <c r="AI14" s="173"/>
      <c r="AJ14" s="173"/>
      <c r="AK14" s="173"/>
      <c r="AL14" s="173"/>
      <c r="AM14" s="173"/>
    </row>
    <row r="15" spans="1:40">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964">
        <f t="shared" si="1"/>
        <v>0</v>
      </c>
      <c r="K15" s="177">
        <f t="shared" si="1"/>
        <v>0</v>
      </c>
      <c r="L15" s="173"/>
      <c r="M15" s="177">
        <f>AVERAGE(D53:INDEX(D53:K53,0,MATCH('RFPR cover'!$C$7,$D$6:$K$6,0)))/AVERAGE($D$65:INDEX($D$65:$K$65,0,MATCH('RFPR cover'!$C$7,$D$6:$K$6,0)))</f>
        <v>0</v>
      </c>
      <c r="N15" s="177">
        <f t="shared" si="3"/>
        <v>0</v>
      </c>
      <c r="Q15" s="173"/>
      <c r="R15" s="173"/>
      <c r="S15" s="173"/>
      <c r="T15" s="173"/>
      <c r="U15" s="173"/>
      <c r="V15" s="173"/>
      <c r="W15" s="173"/>
      <c r="X15" s="173"/>
      <c r="Y15" s="173"/>
      <c r="Z15" s="173"/>
      <c r="AA15" s="173"/>
      <c r="AC15" s="173"/>
      <c r="AD15" s="173"/>
      <c r="AE15" s="173"/>
      <c r="AF15" s="173"/>
      <c r="AG15" s="173"/>
      <c r="AH15" s="173"/>
      <c r="AI15" s="173"/>
      <c r="AJ15" s="173"/>
      <c r="AK15" s="173"/>
      <c r="AL15" s="173"/>
      <c r="AM15" s="173"/>
    </row>
    <row r="16" spans="1:40">
      <c r="B16" s="252" t="str">
        <f t="shared" si="2"/>
        <v>Time to Connect Incentive</v>
      </c>
      <c r="C16" s="254" t="s">
        <v>7</v>
      </c>
      <c r="D16" s="175">
        <f t="shared" si="1"/>
        <v>1.6005439162084069E-3</v>
      </c>
      <c r="E16" s="176">
        <f t="shared" si="1"/>
        <v>1.3382741337490708E-3</v>
      </c>
      <c r="F16" s="176">
        <f t="shared" si="1"/>
        <v>1.7973742884507327E-3</v>
      </c>
      <c r="G16" s="176">
        <f t="shared" si="1"/>
        <v>1.8081988271955902E-3</v>
      </c>
      <c r="H16" s="176">
        <f t="shared" si="1"/>
        <v>1.7053858413595367E-3</v>
      </c>
      <c r="I16" s="176">
        <f t="shared" si="1"/>
        <v>1.4604491354094609E-3</v>
      </c>
      <c r="J16" s="964">
        <f t="shared" si="1"/>
        <v>1.3558832224460685E-3</v>
      </c>
      <c r="K16" s="177">
        <f t="shared" si="1"/>
        <v>1.4976724448399045E-3</v>
      </c>
      <c r="L16" s="173"/>
      <c r="M16" s="177">
        <f>AVERAGE(D54:INDEX(D54:K54,0,MATCH('RFPR cover'!$C$7,$D$6:$K$6,0)))/AVERAGE($D$65:INDEX($D$65:$K$65,0,MATCH('RFPR cover'!$C$7,$D$6:$K$6,0)))</f>
        <v>1.579660494139788E-3</v>
      </c>
      <c r="N16" s="177">
        <f t="shared" si="3"/>
        <v>1.5687800628543247E-3</v>
      </c>
      <c r="Q16" s="173"/>
      <c r="R16" s="173"/>
      <c r="S16" s="173"/>
      <c r="T16" s="173"/>
      <c r="U16" s="173"/>
      <c r="V16" s="173"/>
      <c r="W16" s="173"/>
      <c r="X16" s="173"/>
      <c r="Y16" s="173"/>
      <c r="Z16" s="173"/>
      <c r="AA16" s="173"/>
      <c r="AC16" s="173"/>
      <c r="AD16" s="173"/>
      <c r="AE16" s="173"/>
      <c r="AF16" s="173"/>
      <c r="AG16" s="173"/>
      <c r="AH16" s="173"/>
      <c r="AI16" s="173"/>
      <c r="AJ16" s="173"/>
      <c r="AK16" s="173"/>
      <c r="AL16" s="173"/>
      <c r="AM16" s="173"/>
    </row>
    <row r="17" spans="2:39">
      <c r="B17" s="252" t="str">
        <f t="shared" si="2"/>
        <v>Losses discretionary reward scheme</v>
      </c>
      <c r="C17" s="254" t="s">
        <v>7</v>
      </c>
      <c r="D17" s="175">
        <f t="shared" si="1"/>
        <v>0</v>
      </c>
      <c r="E17" s="176">
        <f t="shared" si="1"/>
        <v>4.6479434128777936E-5</v>
      </c>
      <c r="F17" s="176">
        <f t="shared" si="1"/>
        <v>0</v>
      </c>
      <c r="G17" s="176">
        <f t="shared" si="1"/>
        <v>0</v>
      </c>
      <c r="H17" s="176">
        <f t="shared" si="1"/>
        <v>0</v>
      </c>
      <c r="I17" s="176">
        <f t="shared" si="1"/>
        <v>0</v>
      </c>
      <c r="J17" s="964">
        <f t="shared" si="1"/>
        <v>0</v>
      </c>
      <c r="K17" s="177">
        <f t="shared" si="1"/>
        <v>0</v>
      </c>
      <c r="L17" s="173"/>
      <c r="M17" s="177">
        <f>AVERAGE(D55:INDEX(D55:K55,0,MATCH('RFPR cover'!$C$7,$D$6:$K$6,0)))/AVERAGE($D$65:INDEX($D$65:$K$65,0,MATCH('RFPR cover'!$C$7,$D$6:$K$6,0)))</f>
        <v>6.4639056986823835E-6</v>
      </c>
      <c r="N17" s="177">
        <f t="shared" si="3"/>
        <v>5.6060967571257467E-6</v>
      </c>
      <c r="Q17" s="173"/>
      <c r="R17" s="173"/>
      <c r="S17" s="173"/>
      <c r="T17" s="173"/>
      <c r="U17" s="173"/>
      <c r="V17" s="173"/>
      <c r="W17" s="173"/>
      <c r="X17" s="173"/>
      <c r="Y17" s="173"/>
      <c r="Z17" s="173"/>
      <c r="AA17" s="173"/>
      <c r="AC17" s="173"/>
      <c r="AD17" s="173"/>
      <c r="AE17" s="173"/>
      <c r="AF17" s="173"/>
      <c r="AG17" s="173"/>
      <c r="AH17" s="173"/>
      <c r="AI17" s="173"/>
      <c r="AJ17" s="173"/>
      <c r="AK17" s="173"/>
      <c r="AL17" s="173"/>
      <c r="AM17" s="173"/>
    </row>
    <row r="18" spans="2:39">
      <c r="B18" s="252" t="str">
        <f t="shared" si="2"/>
        <v xml:space="preserve">Network Innovation </v>
      </c>
      <c r="C18" s="254" t="s">
        <v>7</v>
      </c>
      <c r="D18" s="175">
        <f t="shared" si="1"/>
        <v>-5.3351806628504013E-5</v>
      </c>
      <c r="E18" s="176">
        <f t="shared" si="1"/>
        <v>-2.594040940642788E-4</v>
      </c>
      <c r="F18" s="176">
        <f t="shared" si="1"/>
        <v>2.0156377804660462E-5</v>
      </c>
      <c r="G18" s="176">
        <f t="shared" si="1"/>
        <v>1.2111274715338018E-3</v>
      </c>
      <c r="H18" s="176">
        <f t="shared" si="1"/>
        <v>-3.5563010114510727E-4</v>
      </c>
      <c r="I18" s="176">
        <f t="shared" si="1"/>
        <v>-2.436105160909734E-4</v>
      </c>
      <c r="J18" s="964">
        <f t="shared" si="1"/>
        <v>-2.0371636013418064E-4</v>
      </c>
      <c r="K18" s="177">
        <f t="shared" si="1"/>
        <v>-1.9525116423912083E-4</v>
      </c>
      <c r="L18" s="173"/>
      <c r="M18" s="177">
        <f>AVERAGE(D56:INDEX(D56:K56,0,MATCH('RFPR cover'!$C$7,$D$6:$K$6,0)))/AVERAGE($D$65:INDEX($D$65:$K$65,0,MATCH('RFPR cover'!$C$7,$D$6:$K$6,0)))</f>
        <v>1.5152507284873235E-5</v>
      </c>
      <c r="N18" s="177">
        <f t="shared" si="3"/>
        <v>-1.2769643684380302E-5</v>
      </c>
      <c r="Q18" s="173"/>
      <c r="R18" s="173"/>
      <c r="S18" s="173"/>
      <c r="T18" s="173"/>
      <c r="U18" s="173"/>
      <c r="V18" s="173"/>
      <c r="W18" s="173"/>
      <c r="X18" s="173"/>
      <c r="Y18" s="173"/>
      <c r="Z18" s="173"/>
      <c r="AA18" s="173"/>
      <c r="AC18" s="173"/>
      <c r="AD18" s="173"/>
      <c r="AE18" s="173"/>
      <c r="AF18" s="173"/>
      <c r="AG18" s="173"/>
      <c r="AH18" s="173"/>
      <c r="AI18" s="173"/>
      <c r="AJ18" s="173"/>
      <c r="AK18" s="173"/>
      <c r="AL18" s="173"/>
      <c r="AM18" s="173"/>
    </row>
    <row r="19" spans="2:39">
      <c r="B19" s="252" t="str">
        <f>B57</f>
        <v>Penalties and fines</v>
      </c>
      <c r="C19" s="254" t="s">
        <v>7</v>
      </c>
      <c r="D19" s="185">
        <f t="shared" si="1"/>
        <v>-1.9916494670733413E-6</v>
      </c>
      <c r="E19" s="186">
        <f t="shared" si="1"/>
        <v>-1.0013697120191176E-6</v>
      </c>
      <c r="F19" s="186">
        <f t="shared" si="1"/>
        <v>-1.3885295401696543E-6</v>
      </c>
      <c r="G19" s="186">
        <f t="shared" si="1"/>
        <v>-1.2688208646978565E-7</v>
      </c>
      <c r="H19" s="186">
        <f t="shared" si="1"/>
        <v>-6.5034222297417674E-6</v>
      </c>
      <c r="I19" s="186">
        <f t="shared" si="1"/>
        <v>-3.6454961850897538E-6</v>
      </c>
      <c r="J19" s="965">
        <f>J57/J$65</f>
        <v>-3.3271316672476166E-3</v>
      </c>
      <c r="K19" s="187">
        <f t="shared" si="1"/>
        <v>-2.2141508332037749E-5</v>
      </c>
      <c r="L19" s="173"/>
      <c r="M19" s="187">
        <f>AVERAGE(D57:INDEX(D57:K57,0,MATCH('RFPR cover'!$C$7,$D$6:$K$6,0)))/AVERAGE($D$65:INDEX($D$65:$K$65,0,MATCH('RFPR cover'!$C$7,$D$6:$K$6,0)))</f>
        <v>-4.9919752812210437E-4</v>
      </c>
      <c r="N19" s="187">
        <f t="shared" si="3"/>
        <v>-4.35888603382878E-4</v>
      </c>
      <c r="Q19" s="173"/>
      <c r="R19" s="173"/>
      <c r="S19" s="173"/>
      <c r="T19" s="173"/>
      <c r="U19" s="173"/>
      <c r="V19" s="173"/>
      <c r="W19" s="173"/>
      <c r="X19" s="173"/>
      <c r="Y19" s="173"/>
      <c r="Z19" s="173"/>
      <c r="AA19" s="173"/>
      <c r="AC19" s="173"/>
      <c r="AD19" s="173"/>
      <c r="AE19" s="173"/>
      <c r="AF19" s="173"/>
      <c r="AG19" s="173"/>
      <c r="AH19" s="173"/>
      <c r="AI19" s="173"/>
      <c r="AJ19" s="173"/>
      <c r="AK19" s="173"/>
      <c r="AL19" s="173"/>
      <c r="AM19" s="173"/>
    </row>
    <row r="20" spans="2:39">
      <c r="B20" s="253" t="str">
        <f>B58</f>
        <v>RoRE - Operational performance</v>
      </c>
      <c r="C20" s="254" t="s">
        <v>7</v>
      </c>
      <c r="D20" s="188">
        <f t="shared" ref="D20:K20" si="4">SUM(D10:D19)</f>
        <v>6.5941870418076948E-2</v>
      </c>
      <c r="E20" s="189">
        <f t="shared" si="4"/>
        <v>7.7685047531812254E-2</v>
      </c>
      <c r="F20" s="189">
        <f t="shared" si="4"/>
        <v>8.8948574819790543E-2</v>
      </c>
      <c r="G20" s="189">
        <f t="shared" si="4"/>
        <v>0.13086923161819575</v>
      </c>
      <c r="H20" s="189">
        <f t="shared" si="4"/>
        <v>0.13355623092864943</v>
      </c>
      <c r="I20" s="189">
        <f t="shared" si="4"/>
        <v>9.7888655848582168E-2</v>
      </c>
      <c r="J20" s="189">
        <f t="shared" si="4"/>
        <v>8.2148932658396068E-2</v>
      </c>
      <c r="K20" s="190">
        <f t="shared" si="4"/>
        <v>9.0521554073375435E-2</v>
      </c>
      <c r="L20" s="174"/>
      <c r="M20" s="190">
        <f>SUM(M10:M19)</f>
        <v>9.698874904690942E-2</v>
      </c>
      <c r="N20" s="190">
        <f>SUM(N10:N19)</f>
        <v>9.6130503593820832E-2</v>
      </c>
      <c r="Q20" s="173"/>
      <c r="R20" s="173"/>
      <c r="S20" s="173"/>
      <c r="T20" s="173"/>
      <c r="U20" s="173"/>
      <c r="V20" s="173"/>
      <c r="W20" s="173"/>
      <c r="X20" s="173"/>
      <c r="Y20" s="173"/>
      <c r="Z20" s="173"/>
      <c r="AA20" s="173"/>
      <c r="AC20" s="173"/>
      <c r="AD20" s="173"/>
      <c r="AE20" s="173"/>
      <c r="AF20" s="173"/>
      <c r="AG20" s="173"/>
      <c r="AH20" s="173"/>
      <c r="AI20" s="173"/>
      <c r="AJ20" s="173"/>
      <c r="AK20" s="173"/>
      <c r="AL20" s="173"/>
      <c r="AM20" s="173"/>
    </row>
    <row r="21" spans="2:39">
      <c r="B21" s="252" t="str">
        <f>B59</f>
        <v>Debt performance - at notional gearing</v>
      </c>
      <c r="C21" s="254" t="s">
        <v>7</v>
      </c>
      <c r="D21" s="175">
        <f>(D59)/D$65</f>
        <v>-3.2622951207382046E-2</v>
      </c>
      <c r="E21" s="176">
        <f t="shared" ref="E21:K21" si="5">(E59)/E$65</f>
        <v>-1.4447491665031191E-2</v>
      </c>
      <c r="F21" s="176">
        <f t="shared" si="5"/>
        <v>8.2249042380093552E-3</v>
      </c>
      <c r="G21" s="176">
        <f t="shared" si="5"/>
        <v>-6.5188568341930687E-3</v>
      </c>
      <c r="H21" s="176">
        <f t="shared" si="5"/>
        <v>-1.7520824487379027E-2</v>
      </c>
      <c r="I21" s="176">
        <f t="shared" si="5"/>
        <v>-4.4483697985337113E-2</v>
      </c>
      <c r="J21" s="176">
        <f t="shared" si="5"/>
        <v>1.6040066016881963E-2</v>
      </c>
      <c r="K21" s="177">
        <f t="shared" si="5"/>
        <v>4.6769301788063676E-2</v>
      </c>
      <c r="L21" s="173"/>
      <c r="M21" s="177">
        <f>AVERAGE(D59:INDEX(D59:K59,0,MATCH('RFPR cover'!$C$7,$D$6:$K$6,0)))/AVERAGE($D$65:INDEX($D$65:$K$65,0,MATCH('RFPR cover'!$C$7,$D$6:$K$6,0)))</f>
        <v>-1.2871947292220454E-2</v>
      </c>
      <c r="N21" s="177">
        <f>AVERAGE(D59:K59)/AVERAGE($D$65:$K$65)</f>
        <v>-4.9571046055297994E-3</v>
      </c>
      <c r="Q21" s="173"/>
      <c r="R21" s="173"/>
      <c r="S21" s="173"/>
      <c r="T21" s="173"/>
      <c r="U21" s="173"/>
      <c r="V21" s="173"/>
      <c r="W21" s="173"/>
      <c r="X21" s="173"/>
      <c r="Y21" s="173"/>
      <c r="Z21" s="173"/>
      <c r="AA21" s="173"/>
      <c r="AC21" s="173"/>
      <c r="AD21" s="173"/>
      <c r="AE21" s="173"/>
      <c r="AF21" s="173"/>
      <c r="AG21" s="173"/>
      <c r="AH21" s="173"/>
      <c r="AI21" s="173"/>
      <c r="AJ21" s="173"/>
      <c r="AK21" s="173"/>
      <c r="AL21" s="173"/>
      <c r="AM21" s="173"/>
    </row>
    <row r="22" spans="2:39">
      <c r="B22" s="252" t="str">
        <f>B61</f>
        <v>Tax performance - at notional gearing</v>
      </c>
      <c r="C22" s="254" t="s">
        <v>7</v>
      </c>
      <c r="D22" s="175">
        <f>(D61)/D$65</f>
        <v>-8.946438923895423E-3</v>
      </c>
      <c r="E22" s="176">
        <f t="shared" ref="E22:K22" si="6">(E61)/E$65</f>
        <v>4.2892443479505401E-3</v>
      </c>
      <c r="F22" s="176">
        <f t="shared" si="6"/>
        <v>-3.3073594037524422E-3</v>
      </c>
      <c r="G22" s="176">
        <f t="shared" si="6"/>
        <v>-1.0206949918767872E-3</v>
      </c>
      <c r="H22" s="176">
        <f t="shared" si="6"/>
        <v>-8.4939141610627239E-3</v>
      </c>
      <c r="I22" s="176">
        <f t="shared" si="6"/>
        <v>-1.1506490016901724E-2</v>
      </c>
      <c r="J22" s="176">
        <f t="shared" si="6"/>
        <v>-6.0348041913880839E-4</v>
      </c>
      <c r="K22" s="177">
        <f t="shared" si="6"/>
        <v>-3.0943793445013554E-3</v>
      </c>
      <c r="L22" s="173"/>
      <c r="M22" s="177">
        <f>AVERAGE(D61:INDEX(D61:K61,0,MATCH('RFPR cover'!$C$7,$D$6:$K$6,0)))/AVERAGE($D$65:INDEX($D$65:$K$65,0,MATCH('RFPR cover'!$C$7,$D$6:$K$6,0)))</f>
        <v>-4.2384231905383983E-3</v>
      </c>
      <c r="N22" s="177">
        <f>AVERAGE(D61:K61)/AVERAGE($D$65:$K$65)</f>
        <v>-4.0865999606816469E-3</v>
      </c>
      <c r="Q22" s="173"/>
      <c r="R22" s="173"/>
      <c r="S22" s="173"/>
      <c r="T22" s="173"/>
      <c r="U22" s="173"/>
      <c r="V22" s="173"/>
      <c r="W22" s="173"/>
      <c r="X22" s="173"/>
      <c r="Y22" s="173"/>
      <c r="Z22" s="173"/>
      <c r="AA22" s="173"/>
      <c r="AC22" s="173"/>
      <c r="AD22" s="173"/>
      <c r="AE22" s="173"/>
      <c r="AF22" s="173"/>
      <c r="AG22" s="173"/>
      <c r="AH22" s="173"/>
      <c r="AI22" s="173"/>
      <c r="AJ22" s="173"/>
      <c r="AK22" s="173"/>
      <c r="AL22" s="173"/>
      <c r="AM22" s="173"/>
    </row>
    <row r="23" spans="2:39">
      <c r="B23" s="253" t="str">
        <f>B63</f>
        <v>RoRE - including financing and tax</v>
      </c>
      <c r="C23" s="254" t="s">
        <v>7</v>
      </c>
      <c r="D23" s="191">
        <f>SUM(D20:D22)</f>
        <v>2.4372480286799478E-2</v>
      </c>
      <c r="E23" s="192">
        <f t="shared" ref="E23:K23" si="7">SUM(E20:E22)</f>
        <v>6.7526800214731605E-2</v>
      </c>
      <c r="F23" s="192">
        <f t="shared" si="7"/>
        <v>9.3866119654047453E-2</v>
      </c>
      <c r="G23" s="192">
        <f t="shared" si="7"/>
        <v>0.12332967979212589</v>
      </c>
      <c r="H23" s="192">
        <f t="shared" si="7"/>
        <v>0.10754149228020768</v>
      </c>
      <c r="I23" s="192">
        <f t="shared" si="7"/>
        <v>4.189846784634333E-2</v>
      </c>
      <c r="J23" s="192">
        <f t="shared" si="7"/>
        <v>9.7585518256139217E-2</v>
      </c>
      <c r="K23" s="193">
        <f t="shared" si="7"/>
        <v>0.13419647651693775</v>
      </c>
      <c r="L23" s="174"/>
      <c r="M23" s="193">
        <f>SUM(M20:M22)</f>
        <v>7.9878378564150573E-2</v>
      </c>
      <c r="N23" s="193">
        <f>SUM(N20:N22)</f>
        <v>8.7086799027609393E-2</v>
      </c>
      <c r="Q23" s="173"/>
      <c r="R23" s="173"/>
      <c r="S23" s="173"/>
      <c r="T23" s="173"/>
      <c r="U23" s="173"/>
      <c r="V23" s="173"/>
      <c r="W23" s="173"/>
      <c r="X23" s="173"/>
      <c r="Y23" s="173"/>
      <c r="Z23" s="173"/>
      <c r="AA23" s="173"/>
      <c r="AC23" s="173"/>
      <c r="AD23" s="173"/>
      <c r="AE23" s="173"/>
      <c r="AF23" s="173"/>
      <c r="AG23" s="173"/>
      <c r="AH23" s="173"/>
      <c r="AI23" s="173"/>
      <c r="AJ23" s="173"/>
      <c r="AK23" s="173"/>
      <c r="AL23" s="173"/>
      <c r="AM23" s="173"/>
    </row>
    <row r="24" spans="2:39">
      <c r="AC24" s="173"/>
      <c r="AD24" s="173"/>
      <c r="AE24" s="173"/>
      <c r="AF24" s="173"/>
      <c r="AG24" s="173"/>
      <c r="AH24" s="173"/>
      <c r="AI24" s="173"/>
      <c r="AJ24" s="173"/>
      <c r="AK24" s="173"/>
      <c r="AL24" s="173"/>
      <c r="AM24" s="173"/>
    </row>
    <row r="25" spans="2:39">
      <c r="AC25" s="173"/>
      <c r="AD25" s="173"/>
      <c r="AE25" s="173"/>
      <c r="AF25" s="173"/>
      <c r="AG25" s="173"/>
      <c r="AH25" s="173"/>
      <c r="AI25" s="173"/>
      <c r="AJ25" s="173"/>
      <c r="AK25" s="173"/>
      <c r="AL25" s="173"/>
      <c r="AM25" s="173"/>
    </row>
    <row r="26" spans="2:39" s="31" customFormat="1">
      <c r="B26" s="469"/>
      <c r="C26" s="365"/>
      <c r="AC26" s="173"/>
      <c r="AD26" s="173"/>
      <c r="AE26" s="173"/>
      <c r="AF26" s="173"/>
      <c r="AG26" s="173"/>
      <c r="AH26" s="173"/>
      <c r="AI26" s="173"/>
      <c r="AJ26" s="173"/>
      <c r="AK26" s="173"/>
      <c r="AL26" s="173"/>
      <c r="AM26" s="173"/>
    </row>
    <row r="27" spans="2:39">
      <c r="B27" s="530" t="s">
        <v>216</v>
      </c>
      <c r="C27" s="423"/>
      <c r="D27" s="217"/>
      <c r="E27" s="217"/>
      <c r="F27" s="217"/>
      <c r="G27" s="217"/>
      <c r="H27" s="217"/>
      <c r="I27" s="217"/>
      <c r="J27" s="217"/>
      <c r="K27" s="217"/>
      <c r="L27" s="531"/>
      <c r="M27" s="217"/>
      <c r="N27" s="217"/>
      <c r="O27" s="217"/>
      <c r="AC27" s="173"/>
      <c r="AD27" s="173"/>
      <c r="AE27" s="173"/>
      <c r="AF27" s="173"/>
      <c r="AG27" s="173"/>
      <c r="AH27" s="173"/>
      <c r="AI27" s="173"/>
      <c r="AJ27" s="173"/>
      <c r="AK27" s="173"/>
      <c r="AL27" s="173"/>
      <c r="AM27" s="173"/>
    </row>
    <row r="28" spans="2:39">
      <c r="B28" s="197"/>
      <c r="L28" s="49"/>
      <c r="AC28" s="173"/>
      <c r="AD28" s="173"/>
      <c r="AE28" s="173"/>
      <c r="AF28" s="173"/>
      <c r="AG28" s="173"/>
      <c r="AH28" s="173"/>
      <c r="AI28" s="173"/>
      <c r="AJ28" s="173"/>
      <c r="AK28" s="173"/>
      <c r="AL28" s="173"/>
      <c r="AM28" s="173"/>
    </row>
    <row r="29" spans="2:39">
      <c r="B29" s="252" t="s">
        <v>215</v>
      </c>
      <c r="C29" s="254" t="s">
        <v>7</v>
      </c>
      <c r="D29" s="175">
        <f t="shared" ref="D29:K38" si="8">D48/D$66</f>
        <v>6.0569676273780203E-2</v>
      </c>
      <c r="E29" s="176">
        <f t="shared" si="8"/>
        <v>6.0605958549458952E-2</v>
      </c>
      <c r="F29" s="176">
        <f t="shared" si="8"/>
        <v>6.0673656786235111E-2</v>
      </c>
      <c r="G29" s="176">
        <f t="shared" si="8"/>
        <v>5.7707836336950702E-2</v>
      </c>
      <c r="H29" s="176">
        <f t="shared" si="8"/>
        <v>5.5981967127906158E-2</v>
      </c>
      <c r="I29" s="176">
        <f t="shared" si="8"/>
        <v>5.5040979024009562E-2</v>
      </c>
      <c r="J29" s="176">
        <f t="shared" si="8"/>
        <v>5.0108651828269152E-2</v>
      </c>
      <c r="K29" s="177">
        <f t="shared" si="8"/>
        <v>4.4822691249985204E-2</v>
      </c>
      <c r="L29" s="173"/>
      <c r="M29" s="507">
        <f>AVERAGE(D48:INDEX(D48:K48,0,MATCH('RFPR cover'!$C$7,$D$6:$K$6,0)))/AVERAGE($D$66:INDEX($D$66:$K$66,0,MATCH('RFPR cover'!$C$7,$D$6:$K$6,0)))</f>
        <v>5.6898380325800184E-2</v>
      </c>
      <c r="N29" s="507">
        <f>AVERAGE(D48:K48)/AVERAGE($D$66:$K$66)</f>
        <v>5.4934326635127213E-2</v>
      </c>
      <c r="P29" s="322"/>
      <c r="Q29" s="173"/>
      <c r="R29" s="173"/>
      <c r="S29" s="173"/>
      <c r="T29" s="173"/>
      <c r="U29" s="173"/>
      <c r="V29" s="173"/>
      <c r="W29" s="173"/>
      <c r="X29" s="173"/>
      <c r="Y29" s="173"/>
      <c r="Z29" s="173"/>
      <c r="AA29" s="173"/>
      <c r="AC29" s="173"/>
      <c r="AD29" s="173"/>
      <c r="AE29" s="173"/>
      <c r="AF29" s="173"/>
      <c r="AG29" s="173"/>
      <c r="AH29" s="173"/>
      <c r="AI29" s="173"/>
      <c r="AJ29" s="173"/>
      <c r="AK29" s="173"/>
      <c r="AL29" s="173"/>
      <c r="AM29" s="173"/>
    </row>
    <row r="30" spans="2:39">
      <c r="B30" s="252" t="str">
        <f t="shared" ref="B30:B37" si="9">B49</f>
        <v>Totex outperformance</v>
      </c>
      <c r="C30" s="254" t="s">
        <v>7</v>
      </c>
      <c r="D30" s="175">
        <f t="shared" si="8"/>
        <v>-3.2705013831681187E-2</v>
      </c>
      <c r="E30" s="176">
        <f t="shared" si="8"/>
        <v>-2.0324243912478338E-2</v>
      </c>
      <c r="F30" s="176">
        <f t="shared" si="8"/>
        <v>-9.9430194511794523E-3</v>
      </c>
      <c r="G30" s="176">
        <f t="shared" si="8"/>
        <v>2.7189131477719349E-2</v>
      </c>
      <c r="H30" s="176">
        <f t="shared" si="8"/>
        <v>3.1428161838326099E-2</v>
      </c>
      <c r="I30" s="176">
        <f t="shared" si="8"/>
        <v>6.0471116244767615E-4</v>
      </c>
      <c r="J30" s="176">
        <f t="shared" si="8"/>
        <v>-8.5669260310457986E-3</v>
      </c>
      <c r="K30" s="177">
        <f t="shared" si="8"/>
        <v>-3.7753553296917051E-3</v>
      </c>
      <c r="L30" s="173"/>
      <c r="M30" s="177">
        <f>AVERAGE(D49:INDEX(D49:K49,0,MATCH('RFPR cover'!$C$7,$D$6:$K$6,0)))/AVERAGE($D$66:INDEX($D$66:$K$66,0,MATCH('RFPR cover'!$C$7,$D$6:$K$6,0)))</f>
        <v>-1.0628021497622415E-3</v>
      </c>
      <c r="N30" s="177">
        <f t="shared" ref="N30:N38" si="10">AVERAGE(D49:K49)/AVERAGE($D$66:$K$66)</f>
        <v>-1.5039860897211811E-3</v>
      </c>
      <c r="Q30" s="173"/>
      <c r="R30" s="173"/>
      <c r="S30" s="173"/>
      <c r="T30" s="173"/>
      <c r="U30" s="173"/>
      <c r="V30" s="173"/>
      <c r="W30" s="173"/>
      <c r="X30" s="173"/>
      <c r="Y30" s="173"/>
      <c r="Z30" s="173"/>
      <c r="AA30" s="173"/>
      <c r="AC30" s="173"/>
      <c r="AD30" s="173"/>
      <c r="AE30" s="173"/>
      <c r="AF30" s="173"/>
      <c r="AG30" s="173"/>
      <c r="AH30" s="173"/>
      <c r="AI30" s="173"/>
      <c r="AJ30" s="173"/>
      <c r="AK30" s="173"/>
      <c r="AL30" s="173"/>
      <c r="AM30" s="173"/>
    </row>
    <row r="31" spans="2:39">
      <c r="B31" s="252" t="str">
        <f t="shared" si="9"/>
        <v>IQI Reward</v>
      </c>
      <c r="C31" s="254" t="s">
        <v>7</v>
      </c>
      <c r="D31" s="175">
        <f t="shared" si="8"/>
        <v>7.2259053376923111E-3</v>
      </c>
      <c r="E31" s="176">
        <f t="shared" si="8"/>
        <v>7.0821209431616641E-3</v>
      </c>
      <c r="F31" s="176">
        <f t="shared" si="8"/>
        <v>6.8579197976447164E-3</v>
      </c>
      <c r="G31" s="176">
        <f t="shared" si="8"/>
        <v>6.5632170732135495E-3</v>
      </c>
      <c r="H31" s="176">
        <f t="shared" si="8"/>
        <v>6.490157260258117E-3</v>
      </c>
      <c r="I31" s="176">
        <f t="shared" si="8"/>
        <v>6.4072572683575232E-3</v>
      </c>
      <c r="J31" s="176">
        <f t="shared" si="8"/>
        <v>5.6704654905889336E-3</v>
      </c>
      <c r="K31" s="177">
        <f t="shared" si="8"/>
        <v>5.0035043530811249E-3</v>
      </c>
      <c r="L31" s="173"/>
      <c r="M31" s="177">
        <f>AVERAGE(D50:INDEX(D50:K50,0,MATCH('RFPR cover'!$C$7,$D$6:$K$6,0)))/AVERAGE($D$66:INDEX($D$66:$K$66,0,MATCH('RFPR cover'!$C$7,$D$6:$K$6,0)))</f>
        <v>6.5689095006625725E-3</v>
      </c>
      <c r="N31" s="177">
        <f t="shared" si="10"/>
        <v>6.3143037603025079E-3</v>
      </c>
      <c r="Q31" s="173"/>
      <c r="R31" s="173"/>
      <c r="S31" s="173"/>
      <c r="T31" s="173"/>
      <c r="U31" s="173"/>
      <c r="V31" s="173"/>
      <c r="W31" s="173"/>
      <c r="X31" s="173"/>
      <c r="Y31" s="173"/>
      <c r="Z31" s="173"/>
      <c r="AA31" s="173"/>
      <c r="AC31" s="173"/>
      <c r="AD31" s="173"/>
      <c r="AE31" s="173"/>
      <c r="AF31" s="173"/>
      <c r="AG31" s="173"/>
      <c r="AH31" s="173"/>
      <c r="AI31" s="173"/>
      <c r="AJ31" s="173"/>
      <c r="AK31" s="173"/>
      <c r="AL31" s="173"/>
      <c r="AM31" s="173"/>
    </row>
    <row r="32" spans="2:39">
      <c r="B32" s="252" t="str">
        <f t="shared" si="9"/>
        <v>Broad measure of customer service</v>
      </c>
      <c r="C32" s="254" t="s">
        <v>7</v>
      </c>
      <c r="D32" s="175">
        <f t="shared" si="8"/>
        <v>5.9560514394958958E-3</v>
      </c>
      <c r="E32" s="176">
        <f t="shared" si="8"/>
        <v>5.6602700413427775E-3</v>
      </c>
      <c r="F32" s="176">
        <f t="shared" si="8"/>
        <v>5.8367853214007044E-3</v>
      </c>
      <c r="G32" s="176">
        <f t="shared" si="8"/>
        <v>5.7836802606772656E-3</v>
      </c>
      <c r="H32" s="176">
        <f t="shared" si="8"/>
        <v>4.4397315788142992E-3</v>
      </c>
      <c r="I32" s="176">
        <f t="shared" si="8"/>
        <v>4.3051263167467333E-3</v>
      </c>
      <c r="J32" s="176">
        <f t="shared" si="8"/>
        <v>3.8201516445334205E-3</v>
      </c>
      <c r="K32" s="177">
        <f t="shared" si="8"/>
        <v>3.3579857484756274E-3</v>
      </c>
      <c r="L32" s="173"/>
      <c r="M32" s="177">
        <f>AVERAGE(D51:INDEX(D51:K51,0,MATCH('RFPR cover'!$C$7,$D$6:$K$6,0)))/AVERAGE($D$66:INDEX($D$66:$K$66,0,MATCH('RFPR cover'!$C$7,$D$6:$K$6,0)))</f>
        <v>5.0420715790261408E-3</v>
      </c>
      <c r="N32" s="177">
        <f t="shared" si="10"/>
        <v>4.7681629871324264E-3</v>
      </c>
      <c r="Q32" s="173"/>
      <c r="R32" s="173"/>
      <c r="S32" s="173"/>
      <c r="T32" s="173"/>
      <c r="U32" s="173"/>
      <c r="V32" s="173"/>
      <c r="W32" s="173"/>
      <c r="X32" s="173"/>
      <c r="Y32" s="173"/>
      <c r="Z32" s="173"/>
      <c r="AA32" s="173"/>
      <c r="AC32" s="173"/>
      <c r="AD32" s="173"/>
      <c r="AE32" s="173"/>
      <c r="AF32" s="173"/>
      <c r="AG32" s="173"/>
      <c r="AH32" s="173"/>
      <c r="AI32" s="173"/>
      <c r="AJ32" s="173"/>
      <c r="AK32" s="173"/>
      <c r="AL32" s="173"/>
      <c r="AM32" s="173"/>
    </row>
    <row r="33" spans="2:39">
      <c r="B33" s="252" t="str">
        <f t="shared" si="9"/>
        <v>Interruptions-related quality of service</v>
      </c>
      <c r="C33" s="254" t="s">
        <v>7</v>
      </c>
      <c r="D33" s="175">
        <f t="shared" si="8"/>
        <v>1.989846597545266E-2</v>
      </c>
      <c r="E33" s="176">
        <f t="shared" si="8"/>
        <v>1.9476434629037153E-2</v>
      </c>
      <c r="F33" s="176">
        <f t="shared" si="8"/>
        <v>1.9178459351565286E-2</v>
      </c>
      <c r="G33" s="176">
        <f t="shared" si="8"/>
        <v>1.803658381958112E-2</v>
      </c>
      <c r="H33" s="176">
        <f t="shared" si="8"/>
        <v>1.7309085670707727E-2</v>
      </c>
      <c r="I33" s="176">
        <f t="shared" si="8"/>
        <v>1.6784303041061051E-2</v>
      </c>
      <c r="J33" s="176">
        <f t="shared" si="8"/>
        <v>1.4988857361291187E-2</v>
      </c>
      <c r="K33" s="177">
        <f t="shared" si="8"/>
        <v>1.3091706552427003E-2</v>
      </c>
      <c r="L33" s="173"/>
      <c r="M33" s="177">
        <f>AVERAGE(D52:INDEX(D52:K52,0,MATCH('RFPR cover'!$C$7,$D$6:$K$6,0)))/AVERAGE($D$66:INDEX($D$66:$K$66,0,MATCH('RFPR cover'!$C$7,$D$6:$K$6,0)))</f>
        <v>1.7800256352695335E-2</v>
      </c>
      <c r="N33" s="177">
        <f t="shared" si="10"/>
        <v>1.7034433006725292E-2</v>
      </c>
      <c r="Q33" s="173"/>
      <c r="R33" s="173"/>
      <c r="S33" s="173"/>
      <c r="T33" s="173"/>
      <c r="U33" s="173"/>
      <c r="V33" s="173"/>
      <c r="W33" s="173"/>
      <c r="X33" s="173"/>
      <c r="Y33" s="173"/>
      <c r="Z33" s="173"/>
      <c r="AA33" s="173"/>
      <c r="AC33" s="173"/>
      <c r="AD33" s="173"/>
      <c r="AE33" s="173"/>
      <c r="AF33" s="173"/>
      <c r="AG33" s="173"/>
      <c r="AH33" s="173"/>
      <c r="AI33" s="173"/>
      <c r="AJ33" s="173"/>
      <c r="AK33" s="173"/>
      <c r="AL33" s="173"/>
      <c r="AM33" s="173"/>
    </row>
    <row r="34" spans="2:39">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Q34" s="173"/>
      <c r="R34" s="173"/>
      <c r="S34" s="173"/>
      <c r="T34" s="173"/>
      <c r="U34" s="173"/>
      <c r="V34" s="173"/>
      <c r="W34" s="173"/>
      <c r="X34" s="173"/>
      <c r="Y34" s="173"/>
      <c r="Z34" s="173"/>
      <c r="AA34" s="173"/>
      <c r="AC34" s="173"/>
      <c r="AD34" s="173"/>
      <c r="AE34" s="173"/>
      <c r="AF34" s="173"/>
      <c r="AG34" s="173"/>
      <c r="AH34" s="173"/>
      <c r="AI34" s="173"/>
      <c r="AJ34" s="173"/>
      <c r="AK34" s="173"/>
      <c r="AL34" s="173"/>
      <c r="AM34" s="173"/>
    </row>
    <row r="35" spans="2:39">
      <c r="B35" s="252" t="str">
        <f t="shared" si="9"/>
        <v>Time to Connect Incentive</v>
      </c>
      <c r="C35" s="254" t="s">
        <v>7</v>
      </c>
      <c r="D35" s="175">
        <f t="shared" si="8"/>
        <v>1.5147566697923684E-3</v>
      </c>
      <c r="E35" s="176">
        <f t="shared" si="8"/>
        <v>1.2673029168407699E-3</v>
      </c>
      <c r="F35" s="176">
        <f t="shared" si="8"/>
        <v>1.7039573545916144E-3</v>
      </c>
      <c r="G35" s="176">
        <f t="shared" si="8"/>
        <v>1.6304256560073333E-3</v>
      </c>
      <c r="H35" s="176">
        <f t="shared" si="8"/>
        <v>1.4917320954904087E-3</v>
      </c>
      <c r="I35" s="176">
        <f t="shared" si="8"/>
        <v>1.2560085973078912E-3</v>
      </c>
      <c r="J35" s="176">
        <f t="shared" si="8"/>
        <v>1.0615856298959632E-3</v>
      </c>
      <c r="K35" s="177">
        <f t="shared" si="8"/>
        <v>1.0489017123229616E-3</v>
      </c>
      <c r="L35" s="173"/>
      <c r="M35" s="177">
        <f>AVERAGE(D54:INDEX(D54:K54,0,MATCH('RFPR cover'!$C$7,$D$6:$K$6,0)))/AVERAGE($D$66:INDEX($D$66:$K$66,0,MATCH('RFPR cover'!$C$7,$D$6:$K$6,0)))</f>
        <v>1.4043769309563605E-3</v>
      </c>
      <c r="N35" s="177">
        <f t="shared" si="10"/>
        <v>1.3465605686174195E-3</v>
      </c>
      <c r="Q35" s="173"/>
      <c r="R35" s="173"/>
      <c r="S35" s="173"/>
      <c r="T35" s="173"/>
      <c r="U35" s="173"/>
      <c r="V35" s="173"/>
      <c r="W35" s="173"/>
      <c r="X35" s="173"/>
      <c r="Y35" s="173"/>
      <c r="Z35" s="173"/>
      <c r="AA35" s="173"/>
      <c r="AC35" s="173"/>
      <c r="AD35" s="173"/>
      <c r="AE35" s="173"/>
      <c r="AF35" s="173"/>
      <c r="AG35" s="173"/>
      <c r="AH35" s="173"/>
      <c r="AI35" s="173"/>
      <c r="AJ35" s="173"/>
      <c r="AK35" s="173"/>
      <c r="AL35" s="173"/>
      <c r="AM35" s="173"/>
    </row>
    <row r="36" spans="2:39">
      <c r="B36" s="252" t="str">
        <f t="shared" si="9"/>
        <v>Losses discretionary reward scheme</v>
      </c>
      <c r="C36" s="254" t="s">
        <v>7</v>
      </c>
      <c r="D36" s="175">
        <f t="shared" si="8"/>
        <v>0</v>
      </c>
      <c r="E36" s="176">
        <f t="shared" si="8"/>
        <v>4.4014541534547242E-5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5.7466525755271459E-6</v>
      </c>
      <c r="N36" s="177">
        <f t="shared" si="10"/>
        <v>4.8119867250636425E-6</v>
      </c>
      <c r="Q36" s="173"/>
      <c r="R36" s="173"/>
      <c r="S36" s="173"/>
      <c r="T36" s="173"/>
      <c r="U36" s="173"/>
      <c r="V36" s="173"/>
      <c r="W36" s="173"/>
      <c r="X36" s="173"/>
      <c r="Y36" s="173"/>
      <c r="Z36" s="173"/>
      <c r="AA36" s="173"/>
      <c r="AC36" s="173"/>
      <c r="AD36" s="173"/>
      <c r="AE36" s="173"/>
      <c r="AF36" s="173"/>
      <c r="AG36" s="173"/>
      <c r="AH36" s="173"/>
      <c r="AI36" s="173"/>
      <c r="AJ36" s="173"/>
      <c r="AK36" s="173"/>
      <c r="AL36" s="173"/>
      <c r="AM36" s="173"/>
    </row>
    <row r="37" spans="2:39">
      <c r="B37" s="252" t="str">
        <f t="shared" si="9"/>
        <v xml:space="preserve">Network Innovation </v>
      </c>
      <c r="C37" s="254" t="s">
        <v>7</v>
      </c>
      <c r="D37" s="175">
        <f t="shared" si="8"/>
        <v>-5.0492213376715755E-5</v>
      </c>
      <c r="E37" s="176">
        <f t="shared" si="8"/>
        <v>-2.4564740269405674E-4</v>
      </c>
      <c r="F37" s="176">
        <f t="shared" si="8"/>
        <v>1.9108767952713378E-5</v>
      </c>
      <c r="G37" s="176">
        <f t="shared" si="8"/>
        <v>1.0920554048508993E-3</v>
      </c>
      <c r="H37" s="176">
        <f t="shared" si="8"/>
        <v>-3.1107613487498962E-4</v>
      </c>
      <c r="I37" s="176">
        <f t="shared" si="8"/>
        <v>-2.0950877040924078E-4</v>
      </c>
      <c r="J37" s="176">
        <f t="shared" si="8"/>
        <v>-1.5949925252634292E-4</v>
      </c>
      <c r="K37" s="177">
        <f t="shared" si="8"/>
        <v>-1.367450414201604E-4</v>
      </c>
      <c r="L37" s="173"/>
      <c r="M37" s="177">
        <f>AVERAGE(D56:INDEX(D56:K56,0,MATCH('RFPR cover'!$C$7,$D$6:$K$6,0)))/AVERAGE($D$66:INDEX($D$66:$K$66,0,MATCH('RFPR cover'!$C$7,$D$6:$K$6,0)))</f>
        <v>1.3471142537252734E-5</v>
      </c>
      <c r="N37" s="177">
        <f t="shared" si="10"/>
        <v>-1.0960809018311509E-5</v>
      </c>
      <c r="Q37" s="173"/>
      <c r="R37" s="173"/>
      <c r="S37" s="173"/>
      <c r="T37" s="173"/>
      <c r="U37" s="173"/>
      <c r="V37" s="173"/>
      <c r="W37" s="173"/>
      <c r="X37" s="173"/>
      <c r="Y37" s="173"/>
      <c r="Z37" s="173"/>
      <c r="AA37" s="173"/>
      <c r="AC37" s="173"/>
      <c r="AD37" s="173"/>
      <c r="AE37" s="173"/>
      <c r="AF37" s="173"/>
      <c r="AG37" s="173"/>
      <c r="AH37" s="173"/>
      <c r="AI37" s="173"/>
      <c r="AJ37" s="173"/>
      <c r="AK37" s="173"/>
      <c r="AL37" s="173"/>
      <c r="AM37" s="173"/>
    </row>
    <row r="38" spans="2:39">
      <c r="B38" s="252" t="str">
        <f>B57</f>
        <v>Penalties and fines</v>
      </c>
      <c r="C38" s="254" t="s">
        <v>7</v>
      </c>
      <c r="D38" s="185">
        <f t="shared" si="8"/>
        <v>-1.8848994292418615E-6</v>
      </c>
      <c r="E38" s="186">
        <f t="shared" si="8"/>
        <v>-9.4826517592678573E-7</v>
      </c>
      <c r="F38" s="186">
        <f t="shared" si="8"/>
        <v>-1.3163619493406637E-6</v>
      </c>
      <c r="G38" s="186">
        <f t="shared" si="8"/>
        <v>-1.1440766687639404E-7</v>
      </c>
      <c r="H38" s="186">
        <f t="shared" si="8"/>
        <v>-5.6886620231921522E-6</v>
      </c>
      <c r="I38" s="186">
        <f t="shared" si="8"/>
        <v>-3.1351824852442504E-6</v>
      </c>
      <c r="J38" s="186">
        <f t="shared" si="8"/>
        <v>-2.6049700359518668E-3</v>
      </c>
      <c r="K38" s="187">
        <f t="shared" si="8"/>
        <v>-1.5506906121498482E-5</v>
      </c>
      <c r="L38" s="173"/>
      <c r="M38" s="187">
        <f>AVERAGE(D57:INDEX(D57:K57,0,MATCH('RFPR cover'!$C$7,$D$6:$K$6,0)))/AVERAGE($D$66:INDEX($D$66:$K$66,0,MATCH('RFPR cover'!$C$7,$D$6:$K$6,0)))</f>
        <v>-4.4380516894985652E-4</v>
      </c>
      <c r="N38" s="187">
        <f t="shared" si="10"/>
        <v>-3.7414448304319423E-4</v>
      </c>
      <c r="Q38" s="173"/>
      <c r="R38" s="173"/>
      <c r="S38" s="173"/>
      <c r="T38" s="173"/>
      <c r="U38" s="173"/>
      <c r="V38" s="173"/>
      <c r="W38" s="173"/>
      <c r="X38" s="173"/>
      <c r="Y38" s="173"/>
      <c r="Z38" s="173"/>
      <c r="AA38" s="173"/>
      <c r="AC38" s="173"/>
      <c r="AD38" s="173"/>
      <c r="AE38" s="173"/>
      <c r="AF38" s="173"/>
      <c r="AG38" s="173"/>
      <c r="AH38" s="173"/>
      <c r="AI38" s="173"/>
      <c r="AJ38" s="173"/>
      <c r="AK38" s="173"/>
      <c r="AL38" s="173"/>
      <c r="AM38" s="173"/>
    </row>
    <row r="39" spans="2:39">
      <c r="B39" s="253" t="str">
        <f>B58</f>
        <v>RoRE - Operational performance</v>
      </c>
      <c r="C39" s="254" t="s">
        <v>7</v>
      </c>
      <c r="D39" s="188">
        <f t="shared" ref="D39:K39" si="11">SUM(D29:D38)</f>
        <v>6.2407464751726288E-2</v>
      </c>
      <c r="E39" s="189">
        <f t="shared" si="11"/>
        <v>7.3565262041027549E-2</v>
      </c>
      <c r="F39" s="189">
        <f t="shared" si="11"/>
        <v>8.4325551566261356E-2</v>
      </c>
      <c r="G39" s="189">
        <f t="shared" si="11"/>
        <v>0.11800281562133334</v>
      </c>
      <c r="H39" s="189">
        <f t="shared" si="11"/>
        <v>0.11682407077460463</v>
      </c>
      <c r="I39" s="189">
        <f t="shared" si="11"/>
        <v>8.4185741457035931E-2</v>
      </c>
      <c r="J39" s="189">
        <f t="shared" si="11"/>
        <v>6.4318316635054648E-2</v>
      </c>
      <c r="K39" s="190">
        <f t="shared" si="11"/>
        <v>6.3397182339058555E-2</v>
      </c>
      <c r="L39" s="174"/>
      <c r="M39" s="190">
        <f>SUM(M29:M38)</f>
        <v>8.6226605165541259E-2</v>
      </c>
      <c r="N39" s="190">
        <f>SUM(N29:N38)</f>
        <v>8.2513507562847227E-2</v>
      </c>
      <c r="Q39" s="173"/>
      <c r="R39" s="173"/>
      <c r="S39" s="173"/>
      <c r="T39" s="173"/>
      <c r="U39" s="173"/>
      <c r="V39" s="173"/>
      <c r="W39" s="173"/>
      <c r="X39" s="173"/>
      <c r="Y39" s="173"/>
      <c r="Z39" s="173"/>
      <c r="AA39" s="173"/>
      <c r="AC39" s="173"/>
      <c r="AD39" s="173"/>
      <c r="AE39" s="173"/>
      <c r="AF39" s="173"/>
      <c r="AG39" s="173"/>
      <c r="AH39" s="173"/>
      <c r="AI39" s="173"/>
      <c r="AJ39" s="173"/>
      <c r="AK39" s="173"/>
      <c r="AL39" s="173"/>
      <c r="AM39" s="173"/>
    </row>
    <row r="40" spans="2:39">
      <c r="B40" s="252" t="s">
        <v>457</v>
      </c>
      <c r="C40" s="254" t="s">
        <v>7</v>
      </c>
      <c r="D40" s="175">
        <f>(D59+D60)/D$66</f>
        <v>-2.8839456588255402E-2</v>
      </c>
      <c r="E40" s="176">
        <f t="shared" ref="E40:K40" si="12">(E59+E60)/E$66</f>
        <v>-1.2259029103508155E-2</v>
      </c>
      <c r="F40" s="176">
        <f t="shared" si="12"/>
        <v>8.5018379637180046E-3</v>
      </c>
      <c r="G40" s="176">
        <f t="shared" si="12"/>
        <v>-4.0118218409982784E-3</v>
      </c>
      <c r="H40" s="176">
        <f t="shared" si="12"/>
        <v>-1.2540484181151171E-2</v>
      </c>
      <c r="I40" s="176">
        <f t="shared" si="12"/>
        <v>-3.3667715752925542E-2</v>
      </c>
      <c r="J40" s="176">
        <f t="shared" si="12"/>
        <v>1.2020034738908605E-2</v>
      </c>
      <c r="K40" s="177">
        <f t="shared" si="12"/>
        <v>2.615556107915807E-2</v>
      </c>
      <c r="L40" s="173"/>
      <c r="M40" s="177">
        <f>(AVERAGE(D59:INDEX(D59:K59,0,MATCH('RFPR cover'!$C$7,$D$6:$K$6,0)))+AVERAGE(D60:INDEX(D60:K60,0,MATCH('RFPR cover'!$C$7,$D$6:$K$6,0))))/AVERAGE($D$66:INDEX($D$66:$K$66,0,MATCH('RFPR cover'!$C$7,$D$6:$K$6,0)))</f>
        <v>-9.6283150608283408E-3</v>
      </c>
      <c r="N40" s="177">
        <f>(AVERAGE(D59:K59)+AVERAGE(D60:K60))/AVERAGE($D$66:$K$66)</f>
        <v>-3.8082369221750637E-3</v>
      </c>
      <c r="Q40" s="173"/>
      <c r="R40" s="173"/>
      <c r="S40" s="173"/>
      <c r="T40" s="173"/>
      <c r="U40" s="173"/>
      <c r="V40" s="173"/>
      <c r="W40" s="173"/>
      <c r="X40" s="173"/>
      <c r="Y40" s="173"/>
      <c r="Z40" s="173"/>
      <c r="AA40" s="173"/>
      <c r="AC40" s="173"/>
      <c r="AD40" s="173"/>
      <c r="AE40" s="173"/>
      <c r="AF40" s="173"/>
      <c r="AG40" s="173"/>
      <c r="AH40" s="173"/>
      <c r="AI40" s="173"/>
      <c r="AJ40" s="173"/>
      <c r="AK40" s="173"/>
      <c r="AL40" s="173"/>
      <c r="AM40" s="173"/>
    </row>
    <row r="41" spans="2:39">
      <c r="B41" s="252" t="s">
        <v>458</v>
      </c>
      <c r="C41" s="254" t="s">
        <v>7</v>
      </c>
      <c r="D41" s="175">
        <f>(D61+D62)/D$66</f>
        <v>-8.4669204597420684E-3</v>
      </c>
      <c r="E41" s="176">
        <f t="shared" ref="E41:K41" si="13">(E61+E62)/E$66</f>
        <v>4.0617775806311186E-3</v>
      </c>
      <c r="F41" s="176">
        <f t="shared" si="13"/>
        <v>-3.135462333312548E-3</v>
      </c>
      <c r="G41" s="176">
        <f t="shared" si="13"/>
        <v>-9.2034530533079357E-4</v>
      </c>
      <c r="H41" s="176">
        <f t="shared" si="13"/>
        <v>-7.4297816148729667E-3</v>
      </c>
      <c r="I41" s="176">
        <f t="shared" si="13"/>
        <v>-9.8957574321916122E-3</v>
      </c>
      <c r="J41" s="176">
        <f t="shared" si="13"/>
        <v>-4.7249359699694455E-4</v>
      </c>
      <c r="K41" s="177">
        <f t="shared" si="13"/>
        <v>-2.1671626557643086E-3</v>
      </c>
      <c r="L41" s="173"/>
      <c r="M41" s="177">
        <f>(AVERAGE(D61:INDEX(D61:K61,0,MATCH('RFPR cover'!$C$7,$D$6:$K$6,0)))+AVERAGE(D62:INDEX(D62:K62,0,MATCH('RFPR cover'!$C$7,$D$6:$K$6,0))))/AVERAGE($D$66:INDEX($D$66:$K$66,0,MATCH('RFPR cover'!$C$7,$D$6:$K$6,0)))</f>
        <v>-3.7681158543272685E-3</v>
      </c>
      <c r="N41" s="177">
        <f>(AVERAGE(D61:K61)+AVERAGE(D62:K62))/AVERAGE($D$66:$K$66)</f>
        <v>-3.5077283916747429E-3</v>
      </c>
      <c r="Q41" s="173"/>
      <c r="R41" s="173"/>
      <c r="S41" s="173"/>
      <c r="T41" s="173"/>
      <c r="U41" s="173"/>
      <c r="V41" s="173"/>
      <c r="W41" s="173"/>
      <c r="X41" s="173"/>
      <c r="Y41" s="173"/>
      <c r="Z41" s="173"/>
      <c r="AA41" s="173"/>
      <c r="AC41" s="173"/>
      <c r="AD41" s="173"/>
      <c r="AE41" s="173"/>
      <c r="AF41" s="173"/>
      <c r="AG41" s="173"/>
      <c r="AH41" s="173"/>
      <c r="AI41" s="173"/>
      <c r="AJ41" s="173"/>
      <c r="AK41" s="173"/>
      <c r="AL41" s="173"/>
      <c r="AM41" s="173"/>
    </row>
    <row r="42" spans="2:39">
      <c r="B42" s="253" t="str">
        <f>B63</f>
        <v>RoRE - including financing and tax</v>
      </c>
      <c r="C42" s="254" t="s">
        <v>7</v>
      </c>
      <c r="D42" s="191">
        <f>SUM(D39:D41)</f>
        <v>2.5101087703728819E-2</v>
      </c>
      <c r="E42" s="192">
        <f t="shared" ref="E42:K42" si="14">SUM(E39:E41)</f>
        <v>6.5368010518150513E-2</v>
      </c>
      <c r="F42" s="192">
        <f t="shared" si="14"/>
        <v>8.9691927196666812E-2</v>
      </c>
      <c r="G42" s="192">
        <f t="shared" si="14"/>
        <v>0.11307064847500427</v>
      </c>
      <c r="H42" s="192">
        <f t="shared" si="14"/>
        <v>9.6853804978580496E-2</v>
      </c>
      <c r="I42" s="192">
        <f t="shared" si="14"/>
        <v>4.0622268271918775E-2</v>
      </c>
      <c r="J42" s="192">
        <f t="shared" si="14"/>
        <v>7.5865857776966306E-2</v>
      </c>
      <c r="K42" s="193">
        <f t="shared" si="14"/>
        <v>8.7385580762452314E-2</v>
      </c>
      <c r="L42" s="174"/>
      <c r="M42" s="193">
        <f>SUM(M39:M41)</f>
        <v>7.2830174250385654E-2</v>
      </c>
      <c r="N42" s="193">
        <f>SUM(N39:N41)</f>
        <v>7.5197542248997412E-2</v>
      </c>
      <c r="Q42" s="173"/>
      <c r="R42" s="173"/>
      <c r="S42" s="173"/>
      <c r="T42" s="173"/>
      <c r="U42" s="173"/>
      <c r="V42" s="173"/>
      <c r="W42" s="173"/>
      <c r="X42" s="173"/>
      <c r="Y42" s="173"/>
      <c r="Z42" s="173"/>
      <c r="AA42" s="173"/>
      <c r="AC42" s="173"/>
      <c r="AD42" s="173"/>
      <c r="AE42" s="173"/>
      <c r="AF42" s="173"/>
      <c r="AG42" s="173"/>
      <c r="AH42" s="173"/>
      <c r="AI42" s="173"/>
      <c r="AJ42" s="173"/>
      <c r="AK42" s="173"/>
      <c r="AL42" s="173"/>
      <c r="AM42" s="173"/>
    </row>
    <row r="43" spans="2:39" s="31" customFormat="1">
      <c r="B43" s="470"/>
      <c r="C43" s="471"/>
      <c r="D43" s="472"/>
      <c r="E43" s="472"/>
      <c r="F43" s="472"/>
      <c r="G43" s="472"/>
      <c r="H43" s="472"/>
      <c r="I43" s="472"/>
      <c r="J43" s="472"/>
      <c r="K43" s="472"/>
      <c r="L43" s="473"/>
      <c r="M43" s="472"/>
      <c r="N43" s="472"/>
      <c r="AC43" s="517"/>
      <c r="AD43" s="517"/>
      <c r="AE43" s="517"/>
      <c r="AF43" s="517"/>
      <c r="AG43" s="517"/>
      <c r="AH43" s="517"/>
      <c r="AI43" s="517"/>
      <c r="AJ43" s="517"/>
      <c r="AK43" s="517"/>
      <c r="AL43" s="517"/>
      <c r="AM43" s="517"/>
    </row>
    <row r="44" spans="2:39" s="31" customFormat="1">
      <c r="B44" s="470"/>
      <c r="C44" s="471"/>
      <c r="D44" s="472"/>
      <c r="E44" s="472"/>
      <c r="F44" s="472"/>
      <c r="G44" s="472"/>
      <c r="H44" s="472"/>
      <c r="I44" s="472"/>
      <c r="J44" s="472"/>
      <c r="K44" s="472"/>
      <c r="L44" s="473"/>
      <c r="M44" s="472"/>
      <c r="N44" s="472"/>
      <c r="AC44" s="517"/>
      <c r="AD44" s="517"/>
      <c r="AE44" s="517"/>
      <c r="AF44" s="517"/>
      <c r="AG44" s="517"/>
      <c r="AH44" s="517"/>
      <c r="AI44" s="517"/>
      <c r="AJ44" s="517"/>
      <c r="AK44" s="517"/>
      <c r="AL44" s="517"/>
      <c r="AM44" s="517"/>
    </row>
    <row r="45" spans="2:39" s="31" customFormat="1">
      <c r="B45" s="524" t="s">
        <v>393</v>
      </c>
      <c r="C45" s="525"/>
      <c r="D45" s="526"/>
      <c r="E45" s="526"/>
      <c r="F45" s="526"/>
      <c r="G45" s="526"/>
      <c r="H45" s="526"/>
      <c r="I45" s="526"/>
      <c r="J45" s="526"/>
      <c r="K45" s="526"/>
      <c r="L45" s="527"/>
      <c r="M45" s="526"/>
      <c r="N45" s="526"/>
      <c r="O45" s="217"/>
      <c r="AC45" s="517"/>
      <c r="AD45" s="517"/>
      <c r="AE45" s="517"/>
      <c r="AF45" s="517"/>
      <c r="AG45" s="517"/>
      <c r="AH45" s="517"/>
      <c r="AI45" s="517"/>
      <c r="AJ45" s="517"/>
      <c r="AK45" s="517"/>
      <c r="AL45" s="517"/>
      <c r="AM45" s="517"/>
    </row>
    <row r="46" spans="2:39" s="31" customFormat="1">
      <c r="B46" s="529" t="str">
        <f>"Input values provided in "&amp;'RFPR cover'!C14&amp;" prices"</f>
        <v>Input values provided in £m 12/13 prices</v>
      </c>
      <c r="C46" s="528"/>
      <c r="D46" s="528"/>
      <c r="E46" s="528"/>
      <c r="F46" s="528"/>
      <c r="G46" s="528"/>
      <c r="H46" s="528"/>
      <c r="I46" s="528"/>
      <c r="J46" s="528"/>
      <c r="K46" s="528"/>
      <c r="L46" s="528"/>
      <c r="M46" s="528"/>
      <c r="N46" s="528"/>
      <c r="O46" s="528"/>
      <c r="AC46" s="517"/>
      <c r="AD46" s="517"/>
      <c r="AE46" s="517"/>
      <c r="AF46" s="517"/>
      <c r="AG46" s="517"/>
      <c r="AH46" s="517"/>
      <c r="AI46" s="517"/>
      <c r="AJ46" s="517"/>
      <c r="AK46" s="517"/>
      <c r="AL46" s="517"/>
      <c r="AM46" s="517"/>
    </row>
    <row r="47" spans="2:39">
      <c r="T47" s="31"/>
      <c r="U47" s="31"/>
      <c r="V47" s="31"/>
      <c r="AC47" s="517"/>
      <c r="AD47" s="517"/>
      <c r="AE47" s="517"/>
      <c r="AF47" s="517"/>
      <c r="AG47" s="517"/>
      <c r="AH47" s="517"/>
      <c r="AI47" s="517"/>
      <c r="AJ47" s="517"/>
      <c r="AK47" s="517"/>
      <c r="AL47" s="517"/>
      <c r="AM47" s="517"/>
    </row>
    <row r="48" spans="2:39">
      <c r="B48" s="247" t="s">
        <v>228</v>
      </c>
      <c r="C48" s="342" t="str">
        <f>'RFPR cover'!$C$14</f>
        <v>£m 12/13</v>
      </c>
      <c r="D48" s="178">
        <f>'R9 - RAV'!D50</f>
        <v>43.640924371177924</v>
      </c>
      <c r="E48" s="179">
        <f>'R9 - RAV'!E50</f>
        <v>44.613279805747936</v>
      </c>
      <c r="F48" s="179">
        <f>'R9 - RAV'!F50</f>
        <v>45.357043618483154</v>
      </c>
      <c r="G48" s="179">
        <f>'R9 - RAV'!G50</f>
        <v>45.871061717610594</v>
      </c>
      <c r="H48" s="179">
        <f>'R9 - RAV'!H50</f>
        <v>46.369489294923198</v>
      </c>
      <c r="I48" s="179">
        <f>'R9 - RAV'!I50</f>
        <v>47.015506949363278</v>
      </c>
      <c r="J48" s="179">
        <f>'R9 - RAV'!J50</f>
        <v>47.929453456351318</v>
      </c>
      <c r="K48" s="180">
        <f>'R9 - RAV'!K50</f>
        <v>49.086260975801153</v>
      </c>
      <c r="M48" s="95">
        <f>SUM(D48:INDEX(D48:K48,0,MATCH('RFPR cover'!$C$7,$D$6:$K$6,0)))</f>
        <v>320.79675921365742</v>
      </c>
      <c r="N48" s="95">
        <f>SUM(D48:K48)</f>
        <v>369.88302018945859</v>
      </c>
      <c r="Q48" s="517"/>
      <c r="R48" s="517"/>
      <c r="S48" s="517"/>
      <c r="T48" s="31"/>
      <c r="U48" s="31"/>
      <c r="V48" s="31"/>
      <c r="W48" s="517"/>
      <c r="X48" s="517"/>
      <c r="Y48" s="517"/>
      <c r="Z48" s="517"/>
      <c r="AA48" s="517"/>
      <c r="AC48" s="517"/>
      <c r="AD48" s="517"/>
      <c r="AE48" s="517"/>
      <c r="AF48" s="517"/>
      <c r="AG48" s="517"/>
      <c r="AH48" s="517"/>
      <c r="AI48" s="517"/>
      <c r="AJ48" s="517"/>
      <c r="AK48" s="517"/>
      <c r="AL48" s="517"/>
      <c r="AM48" s="517"/>
    </row>
    <row r="49" spans="2:39">
      <c r="B49" s="247" t="s">
        <v>102</v>
      </c>
      <c r="C49" s="342" t="str">
        <f>'RFPR cover'!$C$14</f>
        <v>£m 12/13</v>
      </c>
      <c r="D49" s="251">
        <f>'R4 - Totex'!D35+'R4 - Totex'!D63</f>
        <v>-23.564217657946699</v>
      </c>
      <c r="E49" s="251">
        <f>'R4 - Totex'!E35+'R4 - Totex'!E63</f>
        <v>-14.961089671862965</v>
      </c>
      <c r="F49" s="251">
        <f>'R4 - Totex'!F35+'R4 - Totex'!F63</f>
        <v>-7.4329781792365432</v>
      </c>
      <c r="G49" s="251">
        <f>'R4 - Totex'!G35+'R4 - Totex'!G63</f>
        <v>21.612217806615398</v>
      </c>
      <c r="H49" s="251">
        <f>'R4 - Totex'!H35+'R4 - Totex'!H63</f>
        <v>26.031736444554664</v>
      </c>
      <c r="I49" s="251">
        <f>'R4 - Totex'!I35+'R4 - Totex'!I63</f>
        <v>0.5165388109832566</v>
      </c>
      <c r="J49" s="251">
        <f>'R4 - Totex'!J35+'R4 - Totex'!J63</f>
        <v>-8.1943550163001326</v>
      </c>
      <c r="K49" s="251">
        <f>'R4 - Totex'!K35+'R4 - Totex'!K63</f>
        <v>-4.1344701047974226</v>
      </c>
      <c r="M49" s="95">
        <f>SUM(D49:INDEX(D49:K49,0,MATCH('RFPR cover'!$C$7,$D$6:$K$6,0)))</f>
        <v>-5.9921474631930209</v>
      </c>
      <c r="N49" s="95">
        <f>SUM(D49:K49)</f>
        <v>-10.126617567990444</v>
      </c>
      <c r="Q49" s="517"/>
      <c r="R49" s="517"/>
      <c r="S49" s="517"/>
      <c r="T49" s="31"/>
      <c r="U49" s="31"/>
      <c r="V49" s="31"/>
      <c r="W49" s="517"/>
      <c r="X49" s="517"/>
      <c r="Y49" s="517"/>
      <c r="Z49" s="517"/>
      <c r="AA49" s="517"/>
      <c r="AC49" s="517"/>
      <c r="AD49" s="517"/>
      <c r="AE49" s="517"/>
      <c r="AF49" s="517"/>
      <c r="AG49" s="517"/>
      <c r="AH49" s="517"/>
      <c r="AI49" s="517"/>
      <c r="AJ49" s="517"/>
      <c r="AK49" s="517"/>
      <c r="AL49" s="517"/>
      <c r="AM49" s="517"/>
    </row>
    <row r="50" spans="2:39">
      <c r="B50" s="249" t="s">
        <v>110</v>
      </c>
      <c r="C50" s="342" t="str">
        <f>'RFPR cover'!$C$14</f>
        <v>£m 12/13</v>
      </c>
      <c r="D50" s="242">
        <f>'R4 - Totex'!D79</f>
        <v>5.2063211784413932</v>
      </c>
      <c r="E50" s="181">
        <f>'R4 - Totex'!E79</f>
        <v>5.213293392556027</v>
      </c>
      <c r="F50" s="181">
        <f>'R4 - Totex'!F79</f>
        <v>5.1266889762345569</v>
      </c>
      <c r="G50" s="181">
        <f>'R4 - Totex'!G79</f>
        <v>5.2169991900854287</v>
      </c>
      <c r="H50" s="181">
        <f>'R4 - Totex'!H79</f>
        <v>5.3757538907897757</v>
      </c>
      <c r="I50" s="181">
        <f>'R4 - Totex'!I79</f>
        <v>5.4730212646729388</v>
      </c>
      <c r="J50" s="181">
        <f>'R4 - Totex'!J79</f>
        <v>5.4238599900566618</v>
      </c>
      <c r="K50" s="182">
        <f>'R4 - Totex'!K79</f>
        <v>5.4794416314522003</v>
      </c>
      <c r="M50" s="95">
        <f>SUM(D50:INDEX(D50:K50,0,MATCH('RFPR cover'!$C$7,$D$6:$K$6,0)))</f>
        <v>37.035937882836784</v>
      </c>
      <c r="N50" s="95">
        <f t="shared" ref="N50:N57" si="15">SUM(D50:K50)</f>
        <v>42.515379514288981</v>
      </c>
      <c r="Q50" s="517"/>
      <c r="R50" s="517"/>
      <c r="S50" s="517"/>
      <c r="T50" s="31"/>
      <c r="U50" s="31"/>
      <c r="V50" s="31"/>
      <c r="W50" s="517"/>
      <c r="X50" s="517"/>
      <c r="Y50" s="517"/>
      <c r="Z50" s="517"/>
      <c r="AA50" s="517"/>
      <c r="AC50" s="517"/>
      <c r="AD50" s="517"/>
      <c r="AE50" s="517"/>
      <c r="AF50" s="517"/>
      <c r="AG50" s="517"/>
      <c r="AH50" s="517"/>
      <c r="AI50" s="517"/>
      <c r="AJ50" s="517"/>
      <c r="AK50" s="517"/>
      <c r="AL50" s="517"/>
      <c r="AM50" s="517"/>
    </row>
    <row r="51" spans="2:39">
      <c r="B51" s="250" t="str">
        <f>'R5 - Output Incentives'!B39</f>
        <v>Broad measure of customer service</v>
      </c>
      <c r="C51" s="342" t="str">
        <f>'RFPR cover'!$C$14</f>
        <v>£m 12/13</v>
      </c>
      <c r="D51" s="242">
        <f>'R5 - Output Incentives'!D39</f>
        <v>4.2913815363151437</v>
      </c>
      <c r="E51" s="181">
        <f>'R5 - Output Incentives'!E39</f>
        <v>4.1666400000000019</v>
      </c>
      <c r="F51" s="181">
        <f>'R5 - Output Incentives'!F39</f>
        <v>4.3633323000000015</v>
      </c>
      <c r="G51" s="181">
        <f>'R5 - Output Incentives'!G39</f>
        <v>4.597357500000002</v>
      </c>
      <c r="H51" s="181">
        <f>'R5 - Output Incentives'!H39</f>
        <v>3.6774000000000004</v>
      </c>
      <c r="I51" s="181">
        <f>'R5 - Output Incentives'!I39</f>
        <v>3.6774000000000004</v>
      </c>
      <c r="J51" s="181">
        <f>'R5 - Output Incentives'!J39</f>
        <v>3.6540153000000015</v>
      </c>
      <c r="K51" s="182">
        <f>'R5 - Output Incentives'!K39</f>
        <v>3.6774000000000004</v>
      </c>
      <c r="M51" s="95">
        <f>SUM(D51:INDEX(D51:K51,0,MATCH('RFPR cover'!$C$7,$D$6:$K$6,0)))</f>
        <v>28.427526636315147</v>
      </c>
      <c r="N51" s="95">
        <f t="shared" si="15"/>
        <v>32.104926636315149</v>
      </c>
      <c r="Q51" s="517"/>
      <c r="R51" s="517"/>
      <c r="S51" s="517"/>
      <c r="T51" s="31"/>
      <c r="U51" s="31"/>
      <c r="V51" s="31"/>
      <c r="W51" s="517"/>
      <c r="X51" s="517"/>
      <c r="Y51" s="517"/>
      <c r="Z51" s="517"/>
      <c r="AA51" s="517"/>
      <c r="AC51" s="517"/>
      <c r="AD51" s="517"/>
      <c r="AE51" s="517"/>
      <c r="AF51" s="517"/>
      <c r="AG51" s="517"/>
      <c r="AH51" s="517"/>
      <c r="AI51" s="517"/>
      <c r="AJ51" s="517"/>
      <c r="AK51" s="517"/>
      <c r="AL51" s="517"/>
      <c r="AM51" s="517"/>
    </row>
    <row r="52" spans="2:39">
      <c r="B52" s="250" t="str">
        <f>'R5 - Output Incentives'!B40</f>
        <v>Interruptions-related quality of service</v>
      </c>
      <c r="C52" s="342" t="str">
        <f>'RFPR cover'!$C$14</f>
        <v>£m 12/13</v>
      </c>
      <c r="D52" s="242">
        <f>'R5 - Output Incentives'!D40</f>
        <v>14.337</v>
      </c>
      <c r="E52" s="181">
        <f>'R5 - Output Incentives'!E40</f>
        <v>14.337</v>
      </c>
      <c r="F52" s="181">
        <f>'R5 - Output Incentives'!F40</f>
        <v>14.337</v>
      </c>
      <c r="G52" s="181">
        <f>'R5 - Output Incentives'!G40</f>
        <v>14.337</v>
      </c>
      <c r="H52" s="181">
        <f>'R5 - Output Incentives'!H40</f>
        <v>14.337</v>
      </c>
      <c r="I52" s="181">
        <f>'R5 - Output Incentives'!I40</f>
        <v>14.337</v>
      </c>
      <c r="J52" s="181">
        <f>'R5 - Output Incentives'!J40</f>
        <v>14.337</v>
      </c>
      <c r="K52" s="182">
        <f>'R5 - Output Incentives'!K40</f>
        <v>14.337</v>
      </c>
      <c r="M52" s="95">
        <f>SUM(D52:INDEX(D52:K52,0,MATCH('RFPR cover'!$C$7,$D$6:$K$6,0)))</f>
        <v>100.35900000000001</v>
      </c>
      <c r="N52" s="95">
        <f t="shared" si="15"/>
        <v>114.69600000000001</v>
      </c>
      <c r="Q52" s="517"/>
      <c r="R52" s="517"/>
      <c r="S52" s="517"/>
      <c r="T52" s="31"/>
      <c r="U52" s="31"/>
      <c r="V52" s="31"/>
      <c r="W52" s="517"/>
      <c r="X52" s="517"/>
      <c r="Y52" s="517"/>
      <c r="Z52" s="517"/>
      <c r="AA52" s="517"/>
      <c r="AC52" s="517"/>
      <c r="AD52" s="517"/>
      <c r="AE52" s="517"/>
      <c r="AF52" s="517"/>
      <c r="AG52" s="517"/>
      <c r="AH52" s="517"/>
      <c r="AI52" s="517"/>
      <c r="AJ52" s="517"/>
      <c r="AK52" s="517"/>
      <c r="AL52" s="517"/>
      <c r="AM52" s="517"/>
    </row>
    <row r="53" spans="2:39">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Q53" s="517"/>
      <c r="R53" s="517"/>
      <c r="S53" s="517"/>
      <c r="T53" s="31"/>
      <c r="U53" s="31"/>
      <c r="V53" s="31"/>
      <c r="W53" s="517"/>
      <c r="X53" s="517"/>
      <c r="Y53" s="517"/>
      <c r="Z53" s="517"/>
      <c r="AA53" s="517"/>
      <c r="AC53" s="517"/>
      <c r="AD53" s="517"/>
      <c r="AE53" s="517"/>
      <c r="AF53" s="517"/>
      <c r="AG53" s="517"/>
      <c r="AH53" s="517"/>
      <c r="AI53" s="517"/>
      <c r="AJ53" s="517"/>
      <c r="AK53" s="517"/>
      <c r="AL53" s="517"/>
      <c r="AM53" s="517"/>
    </row>
    <row r="54" spans="2:39">
      <c r="B54" s="250" t="str">
        <f>'R5 - Output Incentives'!B42</f>
        <v>Time to Connect Incentive</v>
      </c>
      <c r="C54" s="342" t="str">
        <f>'RFPR cover'!$C$14</f>
        <v>£m 12/13</v>
      </c>
      <c r="D54" s="242">
        <f>'R5 - Output Incentives'!D42</f>
        <v>1.0913940000000002</v>
      </c>
      <c r="E54" s="181">
        <f>'R5 - Output Incentives'!E42</f>
        <v>0.93288747477722245</v>
      </c>
      <c r="F54" s="181">
        <f>'R5 - Output Incentives'!F42</f>
        <v>1.2738060000000002</v>
      </c>
      <c r="G54" s="181">
        <f>'R5 - Output Incentives'!G42</f>
        <v>1.2960000000000003</v>
      </c>
      <c r="H54" s="181">
        <f>'R5 - Output Incentives'!H42</f>
        <v>1.235591726791166</v>
      </c>
      <c r="I54" s="181">
        <f>'R5 - Output Incentives'!I42</f>
        <v>1.0728711949224234</v>
      </c>
      <c r="J54" s="181">
        <f>'R5 - Output Incentives'!J42</f>
        <v>1.0154178406636949</v>
      </c>
      <c r="K54" s="182">
        <f>'R5 - Output Incentives'!K42</f>
        <v>1.1486740700574642</v>
      </c>
      <c r="M54" s="95">
        <f>SUM(D54:INDEX(D54:K54,0,MATCH('RFPR cover'!$C$7,$D$6:$K$6,0)))</f>
        <v>7.9179682371545077</v>
      </c>
      <c r="N54" s="95">
        <f t="shared" si="15"/>
        <v>9.0666423072119713</v>
      </c>
      <c r="Q54" s="517"/>
      <c r="R54" s="517"/>
      <c r="S54" s="517"/>
      <c r="T54" s="31"/>
      <c r="U54" s="31"/>
      <c r="V54" s="31"/>
      <c r="W54" s="517"/>
      <c r="X54" s="517"/>
      <c r="Y54" s="517"/>
      <c r="Z54" s="517"/>
      <c r="AA54" s="517"/>
      <c r="AC54" s="517"/>
      <c r="AD54" s="517"/>
      <c r="AE54" s="517"/>
      <c r="AF54" s="517"/>
      <c r="AG54" s="517"/>
      <c r="AH54" s="517"/>
      <c r="AI54" s="517"/>
      <c r="AJ54" s="517"/>
      <c r="AK54" s="517"/>
      <c r="AL54" s="517"/>
      <c r="AM54" s="517"/>
    </row>
    <row r="55" spans="2:39">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Q55" s="517"/>
      <c r="R55" s="517"/>
      <c r="S55" s="517"/>
      <c r="T55" s="31"/>
      <c r="U55" s="31"/>
      <c r="V55" s="31"/>
      <c r="W55" s="517"/>
      <c r="X55" s="517"/>
      <c r="Y55" s="517"/>
      <c r="Z55" s="517"/>
      <c r="AA55" s="517"/>
      <c r="AC55" s="517"/>
      <c r="AD55" s="517"/>
      <c r="AE55" s="517"/>
      <c r="AF55" s="517"/>
      <c r="AG55" s="517"/>
      <c r="AH55" s="517"/>
      <c r="AI55" s="517"/>
      <c r="AJ55" s="517"/>
      <c r="AK55" s="517"/>
      <c r="AL55" s="517"/>
      <c r="AM55" s="517"/>
    </row>
    <row r="56" spans="2:39">
      <c r="B56" s="247" t="s">
        <v>499</v>
      </c>
      <c r="C56" s="342" t="str">
        <f>'RFPR cover'!$C$14</f>
        <v>£m 12/13</v>
      </c>
      <c r="D56" s="242">
        <f>-'R6 - Innovation'!D28</f>
        <v>-3.6380033720941445E-2</v>
      </c>
      <c r="E56" s="181">
        <f>-'R6 - Innovation'!E28</f>
        <v>-0.18082605361322229</v>
      </c>
      <c r="F56" s="181">
        <f>-'R6 - Innovation'!F28</f>
        <v>1.4284901676197037E-2</v>
      </c>
      <c r="G56" s="181">
        <f>-'R6 - Innovation'!G28</f>
        <v>0.86805785929094825</v>
      </c>
      <c r="H56" s="181">
        <f>-'R6 - Innovation'!H28</f>
        <v>-0.25766228387500789</v>
      </c>
      <c r="I56" s="181">
        <f>-'R6 - Innovation'!I28</f>
        <v>-0.17896049862833022</v>
      </c>
      <c r="J56" s="181">
        <f>-'R6 - Innovation'!J28</f>
        <v>-0.15256271564607052</v>
      </c>
      <c r="K56" s="182">
        <f>-'R6 - Innovation'!K28</f>
        <v>-0.14975233755735154</v>
      </c>
      <c r="M56" s="95">
        <f>SUM(D56:INDEX(D56:K56,0,MATCH('RFPR cover'!$C$7,$D$6:$K$6,0)))</f>
        <v>7.5951175483572941E-2</v>
      </c>
      <c r="N56" s="95">
        <f t="shared" si="15"/>
        <v>-7.3801162073778598E-2</v>
      </c>
      <c r="Q56" s="517"/>
      <c r="R56" s="517"/>
      <c r="S56" s="517"/>
      <c r="T56" s="31"/>
      <c r="U56" s="31"/>
      <c r="V56" s="31"/>
      <c r="W56" s="517"/>
      <c r="X56" s="517"/>
      <c r="Y56" s="517"/>
      <c r="Z56" s="517"/>
      <c r="AA56" s="517"/>
      <c r="AC56" s="517"/>
      <c r="AD56" s="517"/>
      <c r="AE56" s="517"/>
      <c r="AF56" s="517"/>
      <c r="AG56" s="517"/>
      <c r="AH56" s="517"/>
      <c r="AI56" s="517"/>
      <c r="AJ56" s="517"/>
      <c r="AK56" s="517"/>
      <c r="AL56" s="517"/>
      <c r="AM56" s="517"/>
    </row>
    <row r="57" spans="2:39">
      <c r="B57" s="247" t="s">
        <v>35</v>
      </c>
      <c r="C57" s="342" t="str">
        <f>'RFPR cover'!$C$14</f>
        <v>£m 12/13</v>
      </c>
      <c r="D57" s="243">
        <f>-'R13 - Other Activities '!D8</f>
        <v>-1.3580847463506953E-3</v>
      </c>
      <c r="E57" s="243">
        <f>-'R13 - Other Activities '!E8</f>
        <v>-6.9803729923922074E-4</v>
      </c>
      <c r="F57" s="243">
        <f>-'R13 - Other Activities '!F8</f>
        <v>-9.8405617060980262E-4</v>
      </c>
      <c r="G57" s="243">
        <f>-'R13 - Other Activities '!G8</f>
        <v>-9.0940875301792845E-5</v>
      </c>
      <c r="H57" s="243">
        <f>-'R13 - Other Activities '!H8</f>
        <v>-4.7118807415996314E-3</v>
      </c>
      <c r="I57" s="243">
        <f>-'R13 - Other Activities '!I8</f>
        <v>-2.6780445503744475E-3</v>
      </c>
      <c r="J57" s="243">
        <f>-'R13 - Other Activities '!J8</f>
        <v>-2.4916812873202687</v>
      </c>
      <c r="K57" s="243">
        <f>-'R13 - Other Activities '!K8</f>
        <v>-1.6981935256004384E-2</v>
      </c>
      <c r="M57" s="95">
        <f>SUM(D57:INDEX(D57:K57,0,MATCH('RFPR cover'!$C$7,$D$6:$K$6,0)))</f>
        <v>-2.5022023317037445</v>
      </c>
      <c r="N57" s="95">
        <f t="shared" si="15"/>
        <v>-2.5191842669597491</v>
      </c>
      <c r="Q57" s="517"/>
      <c r="R57" s="517"/>
      <c r="S57" s="517"/>
      <c r="T57" s="31"/>
      <c r="U57" s="31"/>
      <c r="V57" s="31"/>
      <c r="W57" s="517"/>
      <c r="X57" s="517"/>
      <c r="Y57" s="517"/>
      <c r="Z57" s="517"/>
      <c r="AA57" s="517"/>
      <c r="AC57" s="517"/>
      <c r="AD57" s="517"/>
      <c r="AE57" s="517"/>
      <c r="AF57" s="517"/>
      <c r="AG57" s="517"/>
      <c r="AH57" s="517"/>
      <c r="AI57" s="517"/>
      <c r="AJ57" s="517"/>
      <c r="AK57" s="517"/>
      <c r="AL57" s="517"/>
      <c r="AM57" s="517"/>
    </row>
    <row r="58" spans="2:39">
      <c r="B58" s="248" t="s">
        <v>103</v>
      </c>
      <c r="C58" s="342" t="str">
        <f>'RFPR cover'!$C$14</f>
        <v>£m 12/13</v>
      </c>
      <c r="D58" s="244">
        <f t="shared" ref="D58:K58" si="16">SUM(D48:D57)</f>
        <v>44.965065309520476</v>
      </c>
      <c r="E58" s="143">
        <f t="shared" si="16"/>
        <v>54.152886910305767</v>
      </c>
      <c r="F58" s="143">
        <f t="shared" si="16"/>
        <v>63.038193560986755</v>
      </c>
      <c r="G58" s="143">
        <f t="shared" si="16"/>
        <v>93.798603132727081</v>
      </c>
      <c r="H58" s="143">
        <f t="shared" si="16"/>
        <v>96.764597192442224</v>
      </c>
      <c r="I58" s="143">
        <f t="shared" si="16"/>
        <v>71.910699676763187</v>
      </c>
      <c r="J58" s="143">
        <f t="shared" si="16"/>
        <v>61.521147567805222</v>
      </c>
      <c r="K58" s="144">
        <f t="shared" si="16"/>
        <v>69.427572299700046</v>
      </c>
      <c r="M58" s="142">
        <f>SUM(M48:M57)</f>
        <v>486.15119335055061</v>
      </c>
      <c r="N58" s="144">
        <f>SUM(N48:N57)</f>
        <v>555.57876565025072</v>
      </c>
      <c r="Q58" s="517"/>
      <c r="R58" s="517"/>
      <c r="S58" s="517"/>
      <c r="T58" s="517"/>
      <c r="U58" s="517"/>
      <c r="V58" s="839"/>
      <c r="W58" s="517"/>
      <c r="X58" s="517"/>
      <c r="Y58" s="517"/>
      <c r="Z58" s="517"/>
      <c r="AA58" s="517"/>
      <c r="AC58" s="517"/>
      <c r="AD58" s="517"/>
      <c r="AE58" s="517"/>
      <c r="AF58" s="517"/>
      <c r="AG58" s="517"/>
      <c r="AH58" s="517"/>
      <c r="AI58" s="517"/>
      <c r="AJ58" s="517"/>
      <c r="AK58" s="517"/>
      <c r="AL58" s="517"/>
      <c r="AM58" s="517"/>
    </row>
    <row r="59" spans="2:39">
      <c r="B59" s="247" t="s">
        <v>438</v>
      </c>
      <c r="C59" s="342" t="str">
        <f>'RFPR cover'!$C$14</f>
        <v>£m 12/13</v>
      </c>
      <c r="D59" s="242">
        <f>'R7 - Financing'!D88+'R10 - Tax'!D89</f>
        <v>-22.245246037593549</v>
      </c>
      <c r="E59" s="242">
        <f>'R7 - Financing'!E88+'R10 - Tax'!E89</f>
        <v>-10.071093564738245</v>
      </c>
      <c r="F59" s="242">
        <f>'R7 - Financing'!F88+'R10 - Tax'!F89</f>
        <v>5.8290209418943331</v>
      </c>
      <c r="G59" s="242">
        <f>'R7 - Financing'!G88+'R10 - Tax'!G89</f>
        <v>-4.6722950651490294</v>
      </c>
      <c r="H59" s="242">
        <f>'R7 - Financing'!H88+'R10 - Tax'!H89</f>
        <v>-12.694245054777342</v>
      </c>
      <c r="I59" s="242">
        <f>'R7 - Financing'!I88+'R10 - Tax'!I89</f>
        <v>-32.678493933796787</v>
      </c>
      <c r="J59" s="242">
        <f>'R7 - Financing'!J88+'R10 - Tax'!J89</f>
        <v>12.012368712389788</v>
      </c>
      <c r="K59" s="242">
        <f>'R7 - Financing'!K88+'R10 - Tax'!K89</f>
        <v>35.870783644139017</v>
      </c>
      <c r="M59" s="95">
        <f>SUM(D59:INDEX(D59:K59,0,MATCH('RFPR cover'!$C$7,$D$6:$K$6,0)))</f>
        <v>-64.519984001770837</v>
      </c>
      <c r="N59" s="95">
        <f>SUM(D59:K59)</f>
        <v>-28.64920035763182</v>
      </c>
      <c r="Q59" s="517"/>
      <c r="R59" s="517"/>
      <c r="S59" s="517"/>
      <c r="T59" s="517"/>
      <c r="U59" s="517"/>
      <c r="V59" s="839"/>
      <c r="W59" s="517"/>
      <c r="X59" s="517"/>
      <c r="Y59" s="517"/>
      <c r="Z59" s="517"/>
      <c r="AA59" s="517"/>
      <c r="AC59" s="517"/>
      <c r="AD59" s="517"/>
      <c r="AE59" s="517"/>
      <c r="AF59" s="517"/>
      <c r="AG59" s="517"/>
      <c r="AH59" s="517"/>
      <c r="AI59" s="517"/>
      <c r="AJ59" s="517"/>
      <c r="AK59" s="517"/>
      <c r="AL59" s="517"/>
      <c r="AM59" s="517"/>
    </row>
    <row r="60" spans="2:39">
      <c r="B60" s="247" t="s">
        <v>433</v>
      </c>
      <c r="C60" s="342" t="str">
        <f>'RFPR cover'!$C$14</f>
        <v>£m 12/13</v>
      </c>
      <c r="D60" s="242">
        <f>'R7 - Financing'!D90+'R10 - Tax'!D90</f>
        <v>1.4661925358870294</v>
      </c>
      <c r="E60" s="242">
        <f>'R7 - Financing'!E90+'R10 - Tax'!E90</f>
        <v>1.0469726922782709</v>
      </c>
      <c r="F60" s="242">
        <f>'R7 - Financing'!F90+'R10 - Tax'!F90</f>
        <v>0.52659129219665313</v>
      </c>
      <c r="G60" s="242">
        <f>'R7 - Financing'!G90+'R10 - Tax'!G90</f>
        <v>1.4833602696391726</v>
      </c>
      <c r="H60" s="242">
        <f>'R7 - Financing'!H90+'R10 - Tax'!H90</f>
        <v>2.3070458043034141</v>
      </c>
      <c r="I60" s="242">
        <f>'R7 - Financing'!I90+'R10 - Tax'!I90</f>
        <v>3.9198353485202526</v>
      </c>
      <c r="J60" s="242">
        <f>'R7 - Financing'!J90+'R10 - Tax'!J90</f>
        <v>-0.51507883245677144</v>
      </c>
      <c r="K60" s="242">
        <f>'R7 - Financing'!K90+'R10 - Tax'!K90</f>
        <v>-7.2272849764751488</v>
      </c>
      <c r="M60" s="95">
        <f>SUM(D60:INDEX(D60:K60,0,MATCH('RFPR cover'!$C$7,$D$6:$K$6,0)))</f>
        <v>10.23491911036802</v>
      </c>
      <c r="N60" s="95">
        <f>SUM(D60:K60)</f>
        <v>3.0076341338928714</v>
      </c>
      <c r="Q60" s="517"/>
      <c r="R60" s="517"/>
      <c r="S60" s="517"/>
      <c r="T60" s="517"/>
      <c r="U60" s="517"/>
      <c r="V60" s="839"/>
      <c r="W60" s="517"/>
      <c r="X60" s="517"/>
      <c r="Y60" s="517"/>
      <c r="Z60" s="517"/>
      <c r="AA60" s="517"/>
      <c r="AC60" s="517"/>
      <c r="AD60" s="517"/>
      <c r="AE60" s="517"/>
      <c r="AF60" s="517"/>
      <c r="AG60" s="517"/>
      <c r="AH60" s="517"/>
      <c r="AI60" s="517"/>
      <c r="AJ60" s="517"/>
      <c r="AK60" s="517"/>
      <c r="AL60" s="517"/>
      <c r="AM60" s="517"/>
    </row>
    <row r="61" spans="2:39">
      <c r="B61" s="247" t="s">
        <v>439</v>
      </c>
      <c r="C61" s="342" t="str">
        <f>'RFPR cover'!$C$14</f>
        <v>£m 12/13</v>
      </c>
      <c r="D61" s="242">
        <f>'R10 - Tax'!D82-'R10 - Tax'!D89</f>
        <v>-6.1004822573294151</v>
      </c>
      <c r="E61" s="242">
        <f>'R10 - Tax'!E82-'R10 - Tax'!E89</f>
        <v>2.9899571601615675</v>
      </c>
      <c r="F61" s="242">
        <f>'R10 - Tax'!F82-'R10 - Tax'!F89</f>
        <v>-2.3439381990312493</v>
      </c>
      <c r="G61" s="242">
        <f>'R10 - Tax'!G82-'R10 - Tax'!G89</f>
        <v>-0.73156817136306485</v>
      </c>
      <c r="H61" s="242">
        <f>'R10 - Tax'!H82-'R10 - Tax'!H89</f>
        <v>-6.1540384650530395</v>
      </c>
      <c r="I61" s="242">
        <f>'R10 - Tax'!I82-'R10 - Tax'!I89</f>
        <v>-8.4528665836315966</v>
      </c>
      <c r="J61" s="242">
        <f>'R10 - Tax'!J82-'R10 - Tax'!J89</f>
        <v>-0.45194510407707655</v>
      </c>
      <c r="K61" s="242">
        <f>'R10 - Tax'!K82-'R10 - Tax'!K89</f>
        <v>-2.3733048759737816</v>
      </c>
      <c r="M61" s="95">
        <f>SUM(D61:INDEX(D61:K61,0,MATCH('RFPR cover'!$C$7,$D$6:$K$6,0)))</f>
        <v>-21.244881620323874</v>
      </c>
      <c r="N61" s="95">
        <f>SUM(D61:K61)</f>
        <v>-23.618186496297653</v>
      </c>
      <c r="Q61" s="517"/>
      <c r="R61" s="517"/>
      <c r="S61" s="517"/>
      <c r="T61" s="517"/>
      <c r="U61" s="517"/>
      <c r="V61" s="839"/>
      <c r="W61" s="517"/>
      <c r="X61" s="517"/>
      <c r="Y61" s="517"/>
      <c r="Z61" s="517"/>
      <c r="AA61" s="517"/>
      <c r="AC61" s="517"/>
      <c r="AD61" s="517"/>
      <c r="AE61" s="517"/>
      <c r="AF61" s="517"/>
      <c r="AG61" s="517"/>
      <c r="AH61" s="517"/>
      <c r="AI61" s="517"/>
      <c r="AJ61" s="517"/>
      <c r="AK61" s="517"/>
      <c r="AL61" s="517"/>
      <c r="AM61" s="517"/>
    </row>
    <row r="62" spans="2:39">
      <c r="B62" s="247" t="s">
        <v>434</v>
      </c>
      <c r="C62" s="342" t="str">
        <f>'RFPR cover'!$C$14</f>
        <v>£m 12/13</v>
      </c>
      <c r="D62" s="242">
        <f>'R10 - Tax'!D84-'R10 - Tax'!D90</f>
        <v>-8.8817841970012523E-16</v>
      </c>
      <c r="E62" s="242">
        <f>'R10 - Tax'!E84-'R10 - Tax'!E90</f>
        <v>4.4408920985006262E-16</v>
      </c>
      <c r="F62" s="242">
        <f>'R10 - Tax'!F84-'R10 - Tax'!F90</f>
        <v>-2.4424906541753444E-15</v>
      </c>
      <c r="G62" s="242">
        <f>'R10 - Tax'!G84-'R10 - Tax'!G90</f>
        <v>9.9920072216264089E-16</v>
      </c>
      <c r="H62" s="242">
        <f>'R10 - Tax'!H84-'R10 - Tax'!H90</f>
        <v>1.3322676295501878E-15</v>
      </c>
      <c r="I62" s="242">
        <f>'R10 - Tax'!I84-'R10 - Tax'!I90</f>
        <v>-8.8817841970012523E-16</v>
      </c>
      <c r="J62" s="242">
        <f>'R10 - Tax'!J84-'R10 - Tax'!J90</f>
        <v>4.4408920985006262E-16</v>
      </c>
      <c r="K62" s="242">
        <f>'R10 - Tax'!K84-'R10 - Tax'!K90</f>
        <v>1.7763568394002505E-15</v>
      </c>
      <c r="M62" s="95">
        <f>SUM(D62:INDEX(D62:K62,0,MATCH('RFPR cover'!$C$7,$D$6:$K$6,0)))</f>
        <v>-9.9920072216264089E-16</v>
      </c>
      <c r="N62" s="95">
        <f>SUM(D62:K62)</f>
        <v>7.7715611723760958E-16</v>
      </c>
      <c r="Q62" s="517"/>
      <c r="R62" s="517"/>
      <c r="S62" s="517"/>
      <c r="T62" s="517"/>
      <c r="U62" s="517"/>
      <c r="V62" s="839"/>
      <c r="W62" s="517"/>
      <c r="X62" s="517"/>
      <c r="Y62" s="517"/>
      <c r="Z62" s="517"/>
      <c r="AA62" s="517"/>
      <c r="AC62" s="517"/>
      <c r="AD62" s="517"/>
      <c r="AE62" s="517"/>
      <c r="AF62" s="517"/>
      <c r="AG62" s="517"/>
      <c r="AH62" s="517"/>
      <c r="AI62" s="517"/>
      <c r="AJ62" s="517"/>
      <c r="AK62" s="517"/>
      <c r="AL62" s="517"/>
      <c r="AM62" s="517"/>
    </row>
    <row r="63" spans="2:39">
      <c r="B63" s="248" t="s">
        <v>104</v>
      </c>
      <c r="C63" s="342" t="str">
        <f>'RFPR cover'!$C$14</f>
        <v>£m 12/13</v>
      </c>
      <c r="D63" s="245">
        <f>SUM(D58:D62)</f>
        <v>18.085529550484541</v>
      </c>
      <c r="E63" s="146">
        <f t="shared" ref="E63:K63" si="17">SUM(E58:E62)</f>
        <v>48.118723198007359</v>
      </c>
      <c r="F63" s="146">
        <f t="shared" si="17"/>
        <v>67.049867596046496</v>
      </c>
      <c r="G63" s="146">
        <f t="shared" si="17"/>
        <v>89.878100165854164</v>
      </c>
      <c r="H63" s="146">
        <f t="shared" si="17"/>
        <v>80.223359476915263</v>
      </c>
      <c r="I63" s="146">
        <f t="shared" si="17"/>
        <v>34.699174507855055</v>
      </c>
      <c r="J63" s="146">
        <f t="shared" si="17"/>
        <v>72.566492343661167</v>
      </c>
      <c r="K63" s="147">
        <f t="shared" si="17"/>
        <v>95.697766091390122</v>
      </c>
      <c r="M63" s="145">
        <f>SUM(M58:M62)</f>
        <v>410.62124683882388</v>
      </c>
      <c r="N63" s="147">
        <f>SUM(N58:N62)</f>
        <v>506.31901293021417</v>
      </c>
      <c r="Q63" s="517"/>
      <c r="R63" s="517"/>
      <c r="S63" s="517"/>
      <c r="T63" s="517"/>
      <c r="U63" s="517"/>
      <c r="V63" s="839"/>
      <c r="W63" s="517"/>
      <c r="X63" s="517"/>
      <c r="Y63" s="517"/>
      <c r="Z63" s="517"/>
      <c r="AA63" s="517"/>
      <c r="AC63" s="517"/>
      <c r="AD63" s="517"/>
      <c r="AE63" s="517"/>
      <c r="AF63" s="517"/>
      <c r="AG63" s="517"/>
      <c r="AH63" s="517"/>
      <c r="AI63" s="517"/>
      <c r="AJ63" s="517"/>
      <c r="AK63" s="517"/>
      <c r="AL63" s="517"/>
      <c r="AM63" s="517"/>
    </row>
    <row r="64" spans="2:39">
      <c r="B64" s="247"/>
      <c r="D64" s="420"/>
      <c r="AC64" s="517"/>
      <c r="AD64" s="517"/>
      <c r="AE64" s="517"/>
      <c r="AF64" s="517"/>
      <c r="AG64" s="517"/>
      <c r="AH64" s="517"/>
      <c r="AI64" s="517"/>
      <c r="AJ64" s="517"/>
      <c r="AK64" s="517"/>
      <c r="AL64" s="517"/>
      <c r="AM64" s="517"/>
    </row>
    <row r="65" spans="2:50">
      <c r="B65" s="247" t="s">
        <v>232</v>
      </c>
      <c r="C65" s="342" t="str">
        <f>'RFPR cover'!$C$14</f>
        <v>£m 12/13</v>
      </c>
      <c r="D65" s="241">
        <f>'R9 - RAV'!D46</f>
        <v>681.889443299655</v>
      </c>
      <c r="E65" s="179">
        <f>'R9 - RAV'!E46</f>
        <v>697.08249696481153</v>
      </c>
      <c r="F65" s="179">
        <f>'R9 - RAV'!F46</f>
        <v>708.70380653879931</v>
      </c>
      <c r="G65" s="179">
        <f>'R9 - RAV'!G46</f>
        <v>716.73533933766555</v>
      </c>
      <c r="H65" s="179">
        <f>'R9 - RAV'!H46</f>
        <v>724.52327023317491</v>
      </c>
      <c r="I65" s="179">
        <f>'R9 - RAV'!I46</f>
        <v>734.61729608380119</v>
      </c>
      <c r="J65" s="179">
        <f>'R9 - RAV'!J46</f>
        <v>748.8977102554893</v>
      </c>
      <c r="K65" s="180">
        <f>'R9 - RAV'!K46</f>
        <v>766.97282774689302</v>
      </c>
      <c r="AC65" s="517"/>
      <c r="AD65" s="517"/>
      <c r="AE65" s="517"/>
      <c r="AF65" s="517"/>
      <c r="AG65" s="517"/>
      <c r="AH65" s="517"/>
      <c r="AI65" s="517"/>
      <c r="AJ65" s="517"/>
      <c r="AK65" s="517"/>
      <c r="AL65" s="517"/>
      <c r="AM65" s="517"/>
      <c r="AX65" s="517"/>
    </row>
    <row r="66" spans="2:50">
      <c r="B66" s="247" t="s">
        <v>107</v>
      </c>
      <c r="C66" s="342" t="str">
        <f>'RFPR cover'!$C$14</f>
        <v>£m 12/13</v>
      </c>
      <c r="D66" s="246">
        <f>'R8 - Net Debt'!D62</f>
        <v>720.50780284704103</v>
      </c>
      <c r="E66" s="183">
        <f>'R8 - Net Debt'!E62</f>
        <v>736.12035637288363</v>
      </c>
      <c r="F66" s="183">
        <f>'R8 - Net Debt'!F62</f>
        <v>747.55744125139324</v>
      </c>
      <c r="G66" s="183">
        <f>'R8 - Net Debt'!G62</f>
        <v>794.8844494840132</v>
      </c>
      <c r="H66" s="183">
        <f>'R8 - Net Debt'!H62</f>
        <v>828.29331789966193</v>
      </c>
      <c r="I66" s="183">
        <f>'R8 - Net Debt'!I62</f>
        <v>854.19096431505204</v>
      </c>
      <c r="J66" s="183">
        <f>'R8 - Net Debt'!J62</f>
        <v>956.51053675548258</v>
      </c>
      <c r="K66" s="184">
        <f>'R8 - Net Debt'!K62</f>
        <v>1095.1207883086975</v>
      </c>
      <c r="AC66" s="517"/>
      <c r="AD66" s="517"/>
      <c r="AE66" s="517"/>
      <c r="AF66" s="517"/>
      <c r="AG66" s="517"/>
      <c r="AH66" s="517"/>
      <c r="AI66" s="517"/>
      <c r="AJ66" s="517"/>
      <c r="AK66" s="517"/>
      <c r="AL66" s="517"/>
      <c r="AM66" s="517"/>
    </row>
    <row r="67" spans="2:50">
      <c r="AD67" s="517"/>
      <c r="AE67" s="517"/>
      <c r="AF67" s="517"/>
      <c r="AG67" s="517"/>
      <c r="AH67" s="517"/>
      <c r="AI67" s="517"/>
      <c r="AJ67" s="517"/>
      <c r="AK67" s="517"/>
      <c r="AL67" s="517"/>
      <c r="AM67" s="517"/>
    </row>
  </sheetData>
  <conditionalFormatting sqref="D5:K6">
    <cfRule type="expression" dxfId="84"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M71"/>
  <sheetViews>
    <sheetView topLeftCell="A10" zoomScale="60" zoomScaleNormal="60" workbookViewId="0">
      <selection activeCell="Q9" sqref="Q9"/>
    </sheetView>
  </sheetViews>
  <sheetFormatPr defaultRowHeight="12.6"/>
  <cols>
    <col min="1" max="1" width="8.36328125" customWidth="1"/>
    <col min="2" max="2" width="64.36328125" style="213" customWidth="1"/>
    <col min="3" max="3" width="13.36328125" style="136" customWidth="1"/>
    <col min="4" max="11" width="11.08984375" customWidth="1"/>
    <col min="12" max="12" width="5" style="42" customWidth="1"/>
  </cols>
  <sheetData>
    <row r="1" spans="1:12" s="31" customFormat="1" ht="21">
      <c r="A1" s="917" t="s">
        <v>119</v>
      </c>
      <c r="B1" s="918"/>
      <c r="C1" s="275"/>
      <c r="D1" s="274"/>
      <c r="E1" s="274"/>
      <c r="F1" s="274"/>
      <c r="G1" s="274"/>
      <c r="H1" s="274"/>
      <c r="I1" s="274"/>
      <c r="J1" s="274"/>
      <c r="K1" s="274"/>
      <c r="L1" s="276"/>
    </row>
    <row r="2" spans="1:12" s="31" customFormat="1" ht="21">
      <c r="A2" s="906" t="str">
        <f>'RFPR cover'!C5</f>
        <v>WPD-WMID</v>
      </c>
      <c r="B2" s="919"/>
      <c r="C2" s="134"/>
      <c r="D2" s="29"/>
      <c r="E2" s="29"/>
      <c r="F2" s="29"/>
      <c r="G2" s="29"/>
      <c r="H2" s="29"/>
      <c r="I2" s="27"/>
      <c r="J2" s="27"/>
      <c r="K2" s="27"/>
      <c r="L2" s="123"/>
    </row>
    <row r="3" spans="1:12" s="31" customFormat="1" ht="21">
      <c r="A3" s="909">
        <f>'RFPR cover'!C7</f>
        <v>2022</v>
      </c>
      <c r="B3" s="920"/>
      <c r="C3" s="277"/>
      <c r="D3" s="260"/>
      <c r="E3" s="260"/>
      <c r="F3" s="260"/>
      <c r="G3" s="260"/>
      <c r="H3" s="260"/>
      <c r="I3" s="255"/>
      <c r="J3" s="255"/>
      <c r="K3" s="255"/>
      <c r="L3" s="261"/>
    </row>
    <row r="4" spans="1:12" s="35" customFormat="1" ht="12.75" customHeight="1">
      <c r="B4" s="225"/>
      <c r="C4" s="138"/>
      <c r="L4" s="58"/>
    </row>
    <row r="5" spans="1:12"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L5" s="54"/>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4"/>
    </row>
    <row r="7" spans="1:12" s="2" customFormat="1">
      <c r="B7" s="761"/>
      <c r="C7" s="152"/>
      <c r="D7" s="50"/>
      <c r="E7" s="50"/>
      <c r="F7" s="50"/>
      <c r="G7" s="50"/>
      <c r="H7" s="50"/>
      <c r="I7" s="50"/>
      <c r="J7" s="50"/>
      <c r="K7" s="50"/>
      <c r="L7" s="58"/>
    </row>
    <row r="8" spans="1:12" s="2" customFormat="1">
      <c r="B8" s="762" t="s">
        <v>155</v>
      </c>
      <c r="C8" s="150"/>
      <c r="D8" s="81"/>
      <c r="E8" s="81"/>
      <c r="F8" s="81"/>
      <c r="G8" s="81"/>
      <c r="H8" s="81"/>
      <c r="I8" s="81"/>
      <c r="J8" s="81"/>
      <c r="K8" s="81"/>
      <c r="L8" s="272"/>
    </row>
    <row r="9" spans="1:12" s="35" customFormat="1">
      <c r="A9" s="2"/>
      <c r="B9" s="763"/>
      <c r="C9" s="138"/>
      <c r="L9" s="58"/>
    </row>
    <row r="10" spans="1:12" s="2" customFormat="1">
      <c r="B10" s="764" t="s">
        <v>386</v>
      </c>
      <c r="C10" s="151" t="str">
        <f>'RFPR cover'!$C$14</f>
        <v>£m 12/13</v>
      </c>
      <c r="D10" s="594">
        <v>385.8</v>
      </c>
      <c r="E10" s="595">
        <v>398.1</v>
      </c>
      <c r="F10" s="595">
        <v>409.2</v>
      </c>
      <c r="G10" s="595">
        <v>413.3</v>
      </c>
      <c r="H10" s="595">
        <v>417.4</v>
      </c>
      <c r="I10" s="595">
        <v>421.6</v>
      </c>
      <c r="J10" s="595">
        <v>425.8</v>
      </c>
      <c r="K10" s="595"/>
      <c r="L10" s="58"/>
    </row>
    <row r="11" spans="1:12" s="2" customFormat="1">
      <c r="B11" s="764" t="s">
        <v>387</v>
      </c>
      <c r="C11" s="151" t="str">
        <f>'RFPR cover'!$C$14</f>
        <v>£m 12/13</v>
      </c>
      <c r="D11" s="596">
        <v>0</v>
      </c>
      <c r="E11" s="597">
        <v>0.8</v>
      </c>
      <c r="F11" s="597">
        <v>-2.8</v>
      </c>
      <c r="G11" s="597">
        <v>-7.6</v>
      </c>
      <c r="H11" s="597">
        <v>-12</v>
      </c>
      <c r="I11" s="597">
        <v>-21.3</v>
      </c>
      <c r="J11" s="597">
        <v>-23.9</v>
      </c>
      <c r="K11" s="597"/>
      <c r="L11" s="58"/>
    </row>
    <row r="12" spans="1:12" s="2" customFormat="1">
      <c r="B12" s="764" t="s">
        <v>147</v>
      </c>
      <c r="C12" s="151" t="str">
        <f>'RFPR cover'!$C$14</f>
        <v>£m 12/13</v>
      </c>
      <c r="D12" s="596">
        <v>0</v>
      </c>
      <c r="E12" s="597">
        <v>0</v>
      </c>
      <c r="F12" s="597">
        <v>-8.507444057423978</v>
      </c>
      <c r="G12" s="597">
        <v>-1.5708343112630785</v>
      </c>
      <c r="H12" s="597">
        <v>1.0177161141528941</v>
      </c>
      <c r="I12" s="597">
        <v>-0.43011093578643173</v>
      </c>
      <c r="J12" s="597">
        <v>-3.8123347008195037</v>
      </c>
      <c r="K12" s="597"/>
      <c r="L12" s="58"/>
    </row>
    <row r="13" spans="1:12" s="2" customFormat="1">
      <c r="B13" s="764" t="s">
        <v>375</v>
      </c>
      <c r="C13" s="152" t="s">
        <v>127</v>
      </c>
      <c r="D13" s="814">
        <v>1.0820000000000001</v>
      </c>
      <c r="E13" s="815">
        <v>1.087</v>
      </c>
      <c r="F13" s="815">
        <v>1.121</v>
      </c>
      <c r="G13" s="815">
        <v>1.159</v>
      </c>
      <c r="H13" s="815">
        <v>1.198</v>
      </c>
      <c r="I13" s="815">
        <v>1.2170000000000001</v>
      </c>
      <c r="J13" s="815">
        <v>1.238</v>
      </c>
      <c r="K13" s="815"/>
      <c r="L13" s="58"/>
    </row>
    <row r="14" spans="1:12" s="2" customFormat="1">
      <c r="B14" s="765" t="s">
        <v>196</v>
      </c>
      <c r="C14" s="266" t="s">
        <v>128</v>
      </c>
      <c r="D14" s="629">
        <f>SUM(D10:D12)*D13</f>
        <v>417.43560000000002</v>
      </c>
      <c r="E14" s="630">
        <f t="shared" ref="E14:K14" si="1">SUM(E10:E12)*E13</f>
        <v>433.60430000000002</v>
      </c>
      <c r="F14" s="630">
        <f t="shared" si="1"/>
        <v>446.0375552116277</v>
      </c>
      <c r="G14" s="630">
        <f t="shared" si="1"/>
        <v>468.3857030332461</v>
      </c>
      <c r="H14" s="630">
        <f t="shared" si="1"/>
        <v>486.88842390475514</v>
      </c>
      <c r="I14" s="630">
        <f t="shared" si="1"/>
        <v>486.64165499114796</v>
      </c>
      <c r="J14" s="630">
        <f t="shared" si="1"/>
        <v>492.83252964038547</v>
      </c>
      <c r="K14" s="631">
        <f t="shared" si="1"/>
        <v>0</v>
      </c>
      <c r="L14" s="58"/>
    </row>
    <row r="15" spans="1:12" s="2" customFormat="1">
      <c r="B15" s="213" t="s">
        <v>131</v>
      </c>
      <c r="C15" s="152" t="s">
        <v>128</v>
      </c>
      <c r="D15" s="598">
        <f>'R5 - Output Incentives'!D102</f>
        <v>35.240511790305</v>
      </c>
      <c r="E15" s="599">
        <f>'R5 - Output Incentives'!E102</f>
        <v>38.803661972177039</v>
      </c>
      <c r="F15" s="600">
        <f>'R5 - Output Incentives'!F102</f>
        <v>28.486792372990937</v>
      </c>
      <c r="G15" s="600">
        <f>'R5 - Output Incentives'!G102</f>
        <v>28.90583323300503</v>
      </c>
      <c r="H15" s="600">
        <f>'R5 - Output Incentives'!H102</f>
        <v>30.570357269322244</v>
      </c>
      <c r="I15" s="600">
        <f>'R5 - Output Incentives'!I102</f>
        <v>31.443644148207188</v>
      </c>
      <c r="J15" s="600">
        <f>'R5 - Output Incentives'!J102</f>
        <v>30.505076941922219</v>
      </c>
      <c r="K15" s="601">
        <f>'R5 - Output Incentives'!K102</f>
        <v>31.780002908111626</v>
      </c>
      <c r="L15" s="58"/>
    </row>
    <row r="16" spans="1:12" s="2" customFormat="1">
      <c r="B16" s="766" t="s">
        <v>388</v>
      </c>
      <c r="C16" s="152" t="s">
        <v>128</v>
      </c>
      <c r="D16" s="596">
        <v>0</v>
      </c>
      <c r="E16" s="597">
        <v>0</v>
      </c>
      <c r="F16" s="597">
        <v>-1.5116345649481342</v>
      </c>
      <c r="G16" s="597">
        <v>-1.5721379388358552</v>
      </c>
      <c r="H16" s="597">
        <v>-5.8960633358016583</v>
      </c>
      <c r="I16" s="597">
        <v>-11.84972893017142</v>
      </c>
      <c r="J16" s="597">
        <v>-18.28423032149411</v>
      </c>
      <c r="K16" s="597"/>
      <c r="L16" s="58"/>
    </row>
    <row r="17" spans="2:12" s="2" customFormat="1">
      <c r="B17" s="766" t="s">
        <v>134</v>
      </c>
      <c r="C17" s="152" t="s">
        <v>128</v>
      </c>
      <c r="D17" s="598">
        <f>'R6 - Innovation'!D12</f>
        <v>0.34716923099999997</v>
      </c>
      <c r="E17" s="599">
        <f>'R6 - Innovation'!E12</f>
        <v>1.6326712410000002</v>
      </c>
      <c r="F17" s="600">
        <f>'R6 - Innovation'!F12</f>
        <v>1.8481499999999997</v>
      </c>
      <c r="G17" s="600">
        <f>'R6 - Innovation'!G12</f>
        <v>1.28952</v>
      </c>
      <c r="H17" s="600">
        <f>'R6 - Innovation'!H12</f>
        <v>1.8924228000000005</v>
      </c>
      <c r="I17" s="600">
        <f>'R6 - Innovation'!I12</f>
        <v>1.4882399999999998</v>
      </c>
      <c r="J17" s="600">
        <f>'R6 - Innovation'!J12</f>
        <v>1.7461530000000001</v>
      </c>
      <c r="K17" s="601">
        <f>'R6 - Innovation'!K12</f>
        <v>1.856247794505925</v>
      </c>
      <c r="L17" s="58"/>
    </row>
    <row r="18" spans="2:12" s="2" customFormat="1">
      <c r="B18" s="766" t="s">
        <v>133</v>
      </c>
      <c r="C18" s="152" t="s">
        <v>128</v>
      </c>
      <c r="D18" s="598">
        <f>'R6 - Innovation'!D17</f>
        <v>1.6996695900000001</v>
      </c>
      <c r="E18" s="599">
        <f>'R6 - Innovation'!E17</f>
        <v>9.0166620000000003E-2</v>
      </c>
      <c r="F18" s="600">
        <f>'R6 - Innovation'!F17</f>
        <v>0.26083297</v>
      </c>
      <c r="G18" s="600">
        <f>'R6 - Innovation'!G17</f>
        <v>0.70743226000000003</v>
      </c>
      <c r="H18" s="600">
        <f>'R6 - Innovation'!H17</f>
        <v>9.7071350000000001E-2</v>
      </c>
      <c r="I18" s="600">
        <f>'R6 - Innovation'!I17</f>
        <v>-0.2618509</v>
      </c>
      <c r="J18" s="600">
        <f>'R6 - Innovation'!J17</f>
        <v>5.7910059999999999E-2</v>
      </c>
      <c r="K18" s="601">
        <f>'R6 - Innovation'!K17</f>
        <v>0</v>
      </c>
      <c r="L18" s="58"/>
    </row>
    <row r="19" spans="2:12" s="2" customFormat="1">
      <c r="B19" s="940" t="s">
        <v>587</v>
      </c>
      <c r="C19" s="152" t="s">
        <v>128</v>
      </c>
      <c r="D19" s="596">
        <v>-12.581030634372675</v>
      </c>
      <c r="E19" s="597">
        <v>-9.5352639613767707</v>
      </c>
      <c r="F19" s="597">
        <v>0</v>
      </c>
      <c r="G19" s="597">
        <v>0</v>
      </c>
      <c r="H19" s="597">
        <v>0</v>
      </c>
      <c r="I19" s="597">
        <v>0</v>
      </c>
      <c r="J19" s="597">
        <v>0</v>
      </c>
      <c r="K19" s="597"/>
      <c r="L19" s="58"/>
    </row>
    <row r="20" spans="2:12" s="2" customFormat="1">
      <c r="B20" s="990" t="s">
        <v>669</v>
      </c>
      <c r="C20" s="152" t="s">
        <v>128</v>
      </c>
      <c r="D20" s="596">
        <v>0</v>
      </c>
      <c r="E20" s="597">
        <v>0</v>
      </c>
      <c r="F20" s="597">
        <v>0</v>
      </c>
      <c r="G20" s="597">
        <v>0</v>
      </c>
      <c r="H20" s="597">
        <v>0</v>
      </c>
      <c r="I20" s="597">
        <v>0</v>
      </c>
      <c r="J20" s="597">
        <v>-0.6459106190581636</v>
      </c>
      <c r="K20" s="597"/>
      <c r="L20" s="58"/>
    </row>
    <row r="21" spans="2:12" s="2" customFormat="1">
      <c r="B21" s="542" t="s">
        <v>243</v>
      </c>
      <c r="C21" s="152" t="s">
        <v>128</v>
      </c>
      <c r="D21" s="596">
        <v>0</v>
      </c>
      <c r="E21" s="597">
        <v>0</v>
      </c>
      <c r="F21" s="597">
        <v>0</v>
      </c>
      <c r="G21" s="597">
        <v>0</v>
      </c>
      <c r="H21" s="597">
        <v>0</v>
      </c>
      <c r="I21" s="597">
        <v>0</v>
      </c>
      <c r="J21" s="597">
        <v>0</v>
      </c>
      <c r="K21" s="597"/>
      <c r="L21" s="58"/>
    </row>
    <row r="22" spans="2:12" s="2" customFormat="1">
      <c r="B22" s="542" t="s">
        <v>243</v>
      </c>
      <c r="C22" s="152" t="s">
        <v>128</v>
      </c>
      <c r="D22" s="596">
        <v>0</v>
      </c>
      <c r="E22" s="597">
        <v>0</v>
      </c>
      <c r="F22" s="597">
        <v>0</v>
      </c>
      <c r="G22" s="597">
        <v>0</v>
      </c>
      <c r="H22" s="597">
        <v>0</v>
      </c>
      <c r="I22" s="597">
        <v>0</v>
      </c>
      <c r="J22" s="597">
        <v>0</v>
      </c>
      <c r="K22" s="597"/>
      <c r="L22" s="58"/>
    </row>
    <row r="23" spans="2:12" s="2" customFormat="1">
      <c r="B23" s="542" t="s">
        <v>243</v>
      </c>
      <c r="C23" s="152" t="s">
        <v>128</v>
      </c>
      <c r="D23" s="596">
        <v>0</v>
      </c>
      <c r="E23" s="597">
        <v>0</v>
      </c>
      <c r="F23" s="597">
        <v>0</v>
      </c>
      <c r="G23" s="597">
        <v>0</v>
      </c>
      <c r="H23" s="597">
        <v>0</v>
      </c>
      <c r="I23" s="597">
        <v>0</v>
      </c>
      <c r="J23" s="597">
        <v>0</v>
      </c>
      <c r="K23" s="597"/>
      <c r="L23" s="58"/>
    </row>
    <row r="24" spans="2:12" s="2" customFormat="1">
      <c r="B24" s="542" t="s">
        <v>243</v>
      </c>
      <c r="C24" s="152" t="s">
        <v>128</v>
      </c>
      <c r="D24" s="596">
        <v>0</v>
      </c>
      <c r="E24" s="597">
        <v>0</v>
      </c>
      <c r="F24" s="597">
        <v>0</v>
      </c>
      <c r="G24" s="597">
        <v>0</v>
      </c>
      <c r="H24" s="597">
        <v>0</v>
      </c>
      <c r="I24" s="597">
        <v>0</v>
      </c>
      <c r="J24" s="597">
        <v>0</v>
      </c>
      <c r="K24" s="597"/>
      <c r="L24" s="58"/>
    </row>
    <row r="25" spans="2:12" s="2" customFormat="1">
      <c r="B25" s="766" t="s">
        <v>135</v>
      </c>
      <c r="C25" s="152" t="s">
        <v>128</v>
      </c>
      <c r="D25" s="596">
        <v>0</v>
      </c>
      <c r="E25" s="597">
        <v>-29.504148614026359</v>
      </c>
      <c r="F25" s="597">
        <v>1.6073441118070579</v>
      </c>
      <c r="G25" s="597">
        <v>1.8665426239678475</v>
      </c>
      <c r="H25" s="597">
        <v>0.68928191103840242</v>
      </c>
      <c r="I25" s="597">
        <v>2.3208001422878812</v>
      </c>
      <c r="J25" s="597">
        <v>-10.384932228141443</v>
      </c>
      <c r="K25" s="597"/>
      <c r="L25" s="58"/>
    </row>
    <row r="26" spans="2:12" s="2" customFormat="1">
      <c r="B26" s="761" t="s">
        <v>148</v>
      </c>
      <c r="C26" s="152" t="s">
        <v>128</v>
      </c>
      <c r="D26" s="602">
        <f>SUM(D14:D24,-D25)</f>
        <v>442.14191997693234</v>
      </c>
      <c r="E26" s="603">
        <f t="shared" ref="E26:K26" si="2">SUM(E14:E24,-E25)</f>
        <v>494.09968448582669</v>
      </c>
      <c r="F26" s="603">
        <f t="shared" si="2"/>
        <v>473.51435187786348</v>
      </c>
      <c r="G26" s="603">
        <f t="shared" si="2"/>
        <v>495.8498079634474</v>
      </c>
      <c r="H26" s="603">
        <f t="shared" si="2"/>
        <v>512.86293007723725</v>
      </c>
      <c r="I26" s="603">
        <f t="shared" si="2"/>
        <v>505.14115916689582</v>
      </c>
      <c r="J26" s="603">
        <f t="shared" si="2"/>
        <v>516.59646092989681</v>
      </c>
      <c r="K26" s="604">
        <f t="shared" si="2"/>
        <v>33.636250702617552</v>
      </c>
      <c r="L26" s="58"/>
    </row>
    <row r="27" spans="2:12" s="2" customFormat="1">
      <c r="B27" s="225"/>
      <c r="C27" s="138"/>
      <c r="D27" s="55"/>
      <c r="E27" s="55"/>
      <c r="F27" s="55"/>
      <c r="G27" s="61"/>
      <c r="H27" s="61"/>
      <c r="I27" s="61"/>
      <c r="J27" s="61"/>
      <c r="K27" s="61"/>
      <c r="L27" s="58"/>
    </row>
    <row r="28" spans="2:12" s="2" customFormat="1">
      <c r="B28" s="225" t="s">
        <v>150</v>
      </c>
      <c r="C28" s="138"/>
      <c r="D28" s="602">
        <f>IF(ISBLANK(D33),0,D33-D26)</f>
        <v>1.5474228130676124</v>
      </c>
      <c r="E28" s="603">
        <f t="shared" ref="E28:K28" si="3">IF(ISBLANK(E33),0,E33-E26)</f>
        <v>1.7995565541733072</v>
      </c>
      <c r="F28" s="603">
        <f t="shared" si="3"/>
        <v>0.66239771213651011</v>
      </c>
      <c r="G28" s="603">
        <f t="shared" si="3"/>
        <v>2.2103411665526096</v>
      </c>
      <c r="H28" s="603">
        <f t="shared" si="3"/>
        <v>-9.9996862172372971</v>
      </c>
      <c r="I28" s="603">
        <f t="shared" si="3"/>
        <v>-24.512042679881631</v>
      </c>
      <c r="J28" s="603">
        <f t="shared" si="3"/>
        <v>20.61221404010314</v>
      </c>
      <c r="K28" s="604">
        <f t="shared" si="3"/>
        <v>0</v>
      </c>
      <c r="L28" s="58"/>
    </row>
    <row r="29" spans="2:12" s="2" customFormat="1">
      <c r="B29" s="225"/>
      <c r="C29" s="138"/>
      <c r="D29" s="35"/>
      <c r="E29" s="35"/>
      <c r="F29" s="35"/>
      <c r="G29" s="35"/>
      <c r="H29" s="35"/>
      <c r="I29" s="35"/>
      <c r="J29" s="35"/>
      <c r="K29" s="35"/>
      <c r="L29" s="58"/>
    </row>
    <row r="30" spans="2:12" s="2" customFormat="1">
      <c r="B30" s="225"/>
      <c r="C30" s="138"/>
      <c r="D30" s="35"/>
      <c r="E30" s="35"/>
      <c r="F30" s="35"/>
      <c r="G30" s="35"/>
      <c r="H30" s="35"/>
      <c r="I30" s="35"/>
      <c r="J30" s="35"/>
      <c r="K30" s="35"/>
      <c r="L30" s="58"/>
    </row>
    <row r="31" spans="2:12" s="2" customFormat="1">
      <c r="B31" s="762" t="s">
        <v>193</v>
      </c>
      <c r="C31" s="150"/>
      <c r="D31" s="81"/>
      <c r="E31" s="81"/>
      <c r="F31" s="81"/>
      <c r="G31" s="81"/>
      <c r="H31" s="81"/>
      <c r="I31" s="81"/>
      <c r="J31" s="81"/>
      <c r="K31" s="81"/>
      <c r="L31" s="273"/>
    </row>
    <row r="32" spans="2:12" s="2" customFormat="1">
      <c r="B32" s="225"/>
      <c r="C32" s="138"/>
      <c r="D32" s="35"/>
      <c r="E32" s="35"/>
      <c r="F32" s="35"/>
      <c r="G32" s="35"/>
      <c r="H32" s="35"/>
      <c r="I32" s="35"/>
      <c r="J32" s="35"/>
      <c r="K32" s="35"/>
      <c r="L32" s="58"/>
    </row>
    <row r="33" spans="2:12" s="2" customFormat="1">
      <c r="B33" s="763" t="s">
        <v>149</v>
      </c>
      <c r="C33" s="138"/>
      <c r="D33" s="638">
        <v>443.68934278999996</v>
      </c>
      <c r="E33" s="639">
        <v>495.89924103999999</v>
      </c>
      <c r="F33" s="639">
        <v>474.17674958999999</v>
      </c>
      <c r="G33" s="639">
        <v>498.06014913000001</v>
      </c>
      <c r="H33" s="639">
        <v>502.86324385999995</v>
      </c>
      <c r="I33" s="639">
        <v>480.62911648701419</v>
      </c>
      <c r="J33" s="639">
        <v>537.20867496999995</v>
      </c>
      <c r="K33" s="640"/>
      <c r="L33" s="58"/>
    </row>
    <row r="34" spans="2:12" s="2" customFormat="1">
      <c r="B34" s="129"/>
      <c r="C34" s="136"/>
      <c r="L34" s="58"/>
    </row>
    <row r="35" spans="2:12" s="2" customFormat="1">
      <c r="B35" s="393" t="s">
        <v>136</v>
      </c>
      <c r="C35" s="136"/>
      <c r="L35" s="58"/>
    </row>
    <row r="36" spans="2:12" s="2" customFormat="1">
      <c r="B36" s="891" t="s">
        <v>137</v>
      </c>
      <c r="C36" s="152" t="s">
        <v>128</v>
      </c>
      <c r="D36" s="594">
        <v>0</v>
      </c>
      <c r="E36" s="595">
        <v>0</v>
      </c>
      <c r="F36" s="595">
        <v>0</v>
      </c>
      <c r="G36" s="595">
        <v>0</v>
      </c>
      <c r="H36" s="595">
        <v>0</v>
      </c>
      <c r="I36" s="595">
        <v>0</v>
      </c>
      <c r="J36" s="595">
        <v>0</v>
      </c>
      <c r="K36" s="605"/>
      <c r="L36" s="58"/>
    </row>
    <row r="37" spans="2:12" s="2" customFormat="1">
      <c r="B37" s="891" t="s">
        <v>138</v>
      </c>
      <c r="C37" s="152" t="s">
        <v>128</v>
      </c>
      <c r="D37" s="596">
        <v>2.3860999999999999</v>
      </c>
      <c r="E37" s="597">
        <v>2.1777000000000002</v>
      </c>
      <c r="F37" s="597">
        <v>2.0762</v>
      </c>
      <c r="G37" s="597">
        <v>1.8131999999999999</v>
      </c>
      <c r="H37" s="597">
        <v>1.635026705</v>
      </c>
      <c r="I37" s="597">
        <v>1.5572399190000001</v>
      </c>
      <c r="J37" s="597">
        <v>1.448</v>
      </c>
      <c r="K37" s="606"/>
      <c r="L37" s="58"/>
    </row>
    <row r="38" spans="2:12" s="2" customFormat="1">
      <c r="B38" s="891" t="s">
        <v>139</v>
      </c>
      <c r="C38" s="152" t="s">
        <v>128</v>
      </c>
      <c r="D38" s="596">
        <v>11.888500000000001</v>
      </c>
      <c r="E38" s="597">
        <v>61.401066263930005</v>
      </c>
      <c r="F38" s="597">
        <v>60.673000000000002</v>
      </c>
      <c r="G38" s="597">
        <v>61.460399999999993</v>
      </c>
      <c r="H38" s="597">
        <v>49.067737469999997</v>
      </c>
      <c r="I38" s="597">
        <v>70.94791760999999</v>
      </c>
      <c r="J38" s="597">
        <v>80.046999999999997</v>
      </c>
      <c r="K38" s="606"/>
      <c r="L38" s="58"/>
    </row>
    <row r="39" spans="2:12" s="2" customFormat="1">
      <c r="B39" s="891" t="s">
        <v>140</v>
      </c>
      <c r="C39" s="152" t="s">
        <v>128</v>
      </c>
      <c r="D39" s="596">
        <v>0</v>
      </c>
      <c r="E39" s="597">
        <v>0</v>
      </c>
      <c r="F39" s="597">
        <v>0</v>
      </c>
      <c r="G39" s="597">
        <v>0</v>
      </c>
      <c r="H39" s="597">
        <v>0</v>
      </c>
      <c r="I39" s="597">
        <v>0</v>
      </c>
      <c r="J39" s="597">
        <v>0</v>
      </c>
      <c r="K39" s="606"/>
      <c r="L39" s="58"/>
    </row>
    <row r="40" spans="2:12" s="2" customFormat="1">
      <c r="B40" s="891" t="s">
        <v>141</v>
      </c>
      <c r="C40" s="152" t="s">
        <v>128</v>
      </c>
      <c r="D40" s="596">
        <v>0</v>
      </c>
      <c r="E40" s="597">
        <v>0</v>
      </c>
      <c r="F40" s="597">
        <v>0</v>
      </c>
      <c r="G40" s="597">
        <v>0</v>
      </c>
      <c r="H40" s="597">
        <v>0</v>
      </c>
      <c r="I40" s="597">
        <v>0</v>
      </c>
      <c r="J40" s="597">
        <v>0</v>
      </c>
      <c r="K40" s="606"/>
      <c r="L40" s="58"/>
    </row>
    <row r="41" spans="2:12" s="2" customFormat="1">
      <c r="B41" s="891" t="s">
        <v>142</v>
      </c>
      <c r="C41" s="152" t="s">
        <v>128</v>
      </c>
      <c r="D41" s="596">
        <v>2.9016000000000002</v>
      </c>
      <c r="E41" s="597">
        <v>2.4188999999999998</v>
      </c>
      <c r="F41" s="597">
        <v>1.7302</v>
      </c>
      <c r="G41" s="597">
        <v>2.8908999999999998</v>
      </c>
      <c r="H41" s="597">
        <v>2.4846943700000002</v>
      </c>
      <c r="I41" s="597">
        <v>2.3429122799999997</v>
      </c>
      <c r="J41" s="597">
        <v>2.8839999999999999</v>
      </c>
      <c r="K41" s="606"/>
      <c r="L41" s="58"/>
    </row>
    <row r="42" spans="2:12" s="2" customFormat="1">
      <c r="B42" s="891" t="s">
        <v>143</v>
      </c>
      <c r="C42" s="152" t="s">
        <v>128</v>
      </c>
      <c r="D42" s="596">
        <v>0</v>
      </c>
      <c r="E42" s="597">
        <v>0</v>
      </c>
      <c r="F42" s="597">
        <v>0</v>
      </c>
      <c r="G42" s="597">
        <v>0</v>
      </c>
      <c r="H42" s="597">
        <v>0</v>
      </c>
      <c r="I42" s="597">
        <v>0</v>
      </c>
      <c r="J42" s="597">
        <v>0</v>
      </c>
      <c r="K42" s="606"/>
      <c r="L42" s="58"/>
    </row>
    <row r="43" spans="2:12" s="2" customFormat="1">
      <c r="B43" s="892" t="s">
        <v>144</v>
      </c>
      <c r="C43" s="152" t="s">
        <v>128</v>
      </c>
      <c r="D43" s="607">
        <v>0</v>
      </c>
      <c r="E43" s="608">
        <v>0</v>
      </c>
      <c r="F43" s="608">
        <v>0</v>
      </c>
      <c r="G43" s="608">
        <v>0</v>
      </c>
      <c r="H43" s="608">
        <v>0</v>
      </c>
      <c r="I43" s="608">
        <v>0</v>
      </c>
      <c r="J43" s="608">
        <v>0</v>
      </c>
      <c r="K43" s="609"/>
      <c r="L43" s="58"/>
    </row>
    <row r="44" spans="2:12" s="2" customFormat="1">
      <c r="B44" s="890" t="s">
        <v>528</v>
      </c>
      <c r="C44" s="152" t="s">
        <v>128</v>
      </c>
      <c r="D44" s="607">
        <v>0</v>
      </c>
      <c r="E44" s="608">
        <v>0</v>
      </c>
      <c r="F44" s="608">
        <v>0</v>
      </c>
      <c r="G44" s="608">
        <v>0</v>
      </c>
      <c r="H44" s="608">
        <v>0</v>
      </c>
      <c r="I44" s="608">
        <v>0</v>
      </c>
      <c r="J44" s="608">
        <v>0</v>
      </c>
      <c r="K44" s="609"/>
      <c r="L44" s="58"/>
    </row>
    <row r="45" spans="2:12" s="2" customFormat="1">
      <c r="B45" s="393" t="s">
        <v>176</v>
      </c>
      <c r="C45" s="152" t="s">
        <v>128</v>
      </c>
      <c r="D45" s="610">
        <f>SUM(D36:D44)</f>
        <v>17.176200000000001</v>
      </c>
      <c r="E45" s="611">
        <f t="shared" ref="E45:K45" si="4">SUM(E36:E44)</f>
        <v>65.99766626393</v>
      </c>
      <c r="F45" s="611">
        <f t="shared" si="4"/>
        <v>64.479399999999998</v>
      </c>
      <c r="G45" s="611">
        <f t="shared" si="4"/>
        <v>66.16449999999999</v>
      </c>
      <c r="H45" s="611">
        <f t="shared" si="4"/>
        <v>53.187458544999998</v>
      </c>
      <c r="I45" s="611">
        <f t="shared" si="4"/>
        <v>74.848069808999981</v>
      </c>
      <c r="J45" s="611">
        <f t="shared" si="4"/>
        <v>84.378999999999991</v>
      </c>
      <c r="K45" s="612">
        <f t="shared" si="4"/>
        <v>0</v>
      </c>
      <c r="L45" s="58"/>
    </row>
    <row r="46" spans="2:12" s="2" customFormat="1">
      <c r="B46" s="129"/>
      <c r="C46" s="136"/>
      <c r="L46" s="58"/>
    </row>
    <row r="47" spans="2:12" s="2" customFormat="1">
      <c r="B47" s="393" t="s">
        <v>145</v>
      </c>
      <c r="C47" s="136"/>
      <c r="L47" s="54"/>
    </row>
    <row r="48" spans="2:12" s="2" customFormat="1">
      <c r="B48" s="542" t="s">
        <v>588</v>
      </c>
      <c r="C48" s="152" t="s">
        <v>128</v>
      </c>
      <c r="D48" s="613">
        <v>2.9306711860000001</v>
      </c>
      <c r="E48" s="614">
        <v>4.1809971749999999</v>
      </c>
      <c r="F48" s="614">
        <v>3.2499000300000009</v>
      </c>
      <c r="G48" s="614">
        <v>2.7110588600000001</v>
      </c>
      <c r="H48" s="614">
        <v>4.9781236799900004</v>
      </c>
      <c r="I48" s="614">
        <v>4.1390383499899999</v>
      </c>
      <c r="J48" s="614">
        <v>3.2292674999500011</v>
      </c>
      <c r="K48" s="615"/>
      <c r="L48" s="58"/>
    </row>
    <row r="49" spans="2:12" s="2" customFormat="1">
      <c r="B49" s="542" t="s">
        <v>589</v>
      </c>
      <c r="C49" s="152" t="s">
        <v>128</v>
      </c>
      <c r="D49" s="616">
        <v>-0.37867700000000004</v>
      </c>
      <c r="E49" s="617">
        <v>-0.27920467999999998</v>
      </c>
      <c r="F49" s="617">
        <v>-0.22100004000000001</v>
      </c>
      <c r="G49" s="617">
        <v>-0.23152535999999999</v>
      </c>
      <c r="H49" s="617">
        <v>-0.25081064999999997</v>
      </c>
      <c r="I49" s="617">
        <v>-0.25465571999999997</v>
      </c>
      <c r="J49" s="617">
        <v>-0.26588834</v>
      </c>
      <c r="K49" s="618"/>
      <c r="L49" s="58"/>
    </row>
    <row r="50" spans="2:12" s="2" customFormat="1">
      <c r="B50" s="542" t="s">
        <v>590</v>
      </c>
      <c r="C50" s="152" t="s">
        <v>128</v>
      </c>
      <c r="D50" s="616">
        <v>-2.0946694899999998</v>
      </c>
      <c r="E50" s="617">
        <v>-1.6631666800000002</v>
      </c>
      <c r="F50" s="617">
        <v>-2.1088332000000003</v>
      </c>
      <c r="G50" s="617">
        <v>-1.5269400200000001</v>
      </c>
      <c r="H50" s="617">
        <v>-0.67197089999999993</v>
      </c>
      <c r="I50" s="617">
        <v>-1.22363672</v>
      </c>
      <c r="J50" s="617">
        <v>-1.79600457</v>
      </c>
      <c r="K50" s="618"/>
      <c r="L50" s="58"/>
    </row>
    <row r="51" spans="2:12" s="2" customFormat="1">
      <c r="B51" s="542" t="s">
        <v>591</v>
      </c>
      <c r="C51" s="152" t="s">
        <v>128</v>
      </c>
      <c r="D51" s="616">
        <v>35.729999999999997</v>
      </c>
      <c r="E51" s="617">
        <v>0</v>
      </c>
      <c r="F51" s="617">
        <v>0</v>
      </c>
      <c r="G51" s="617">
        <v>0</v>
      </c>
      <c r="H51" s="617">
        <v>0</v>
      </c>
      <c r="I51" s="617">
        <v>0</v>
      </c>
      <c r="J51" s="617">
        <v>0</v>
      </c>
      <c r="K51" s="618"/>
      <c r="L51" s="58"/>
    </row>
    <row r="52" spans="2:12" s="2" customFormat="1">
      <c r="B52" s="542" t="s">
        <v>592</v>
      </c>
      <c r="C52" s="152" t="s">
        <v>128</v>
      </c>
      <c r="D52" s="616">
        <v>-37.630499999999998</v>
      </c>
      <c r="E52" s="617">
        <v>-48.507166263930003</v>
      </c>
      <c r="F52" s="617">
        <v>-42.825899999999997</v>
      </c>
      <c r="G52" s="617">
        <v>-40.477040260231199</v>
      </c>
      <c r="H52" s="617">
        <v>-34.717399999999998</v>
      </c>
      <c r="I52" s="617">
        <v>-33.362900000000003</v>
      </c>
      <c r="J52" s="617">
        <v>-37.207000000000001</v>
      </c>
      <c r="K52" s="618"/>
      <c r="L52" s="58"/>
    </row>
    <row r="53" spans="2:12" s="2" customFormat="1">
      <c r="B53" s="542" t="s">
        <v>593</v>
      </c>
      <c r="C53" s="152" t="s">
        <v>128</v>
      </c>
      <c r="D53" s="616">
        <v>1.9005000000000001</v>
      </c>
      <c r="E53" s="617">
        <v>0</v>
      </c>
      <c r="F53" s="617">
        <v>0</v>
      </c>
      <c r="G53" s="617">
        <v>0</v>
      </c>
      <c r="H53" s="617">
        <v>0</v>
      </c>
      <c r="I53" s="617">
        <v>0</v>
      </c>
      <c r="J53" s="617">
        <v>0</v>
      </c>
      <c r="K53" s="618"/>
      <c r="L53" s="58"/>
    </row>
    <row r="54" spans="2:12" s="2" customFormat="1">
      <c r="B54" s="542" t="s">
        <v>154</v>
      </c>
      <c r="C54" s="152" t="s">
        <v>128</v>
      </c>
      <c r="D54" s="616">
        <v>0</v>
      </c>
      <c r="E54" s="617">
        <v>0</v>
      </c>
      <c r="F54" s="617">
        <v>0</v>
      </c>
      <c r="G54" s="617">
        <v>-0.1</v>
      </c>
      <c r="H54" s="617">
        <v>0</v>
      </c>
      <c r="I54" s="617">
        <v>-0.1</v>
      </c>
      <c r="J54" s="617">
        <v>-0.1</v>
      </c>
      <c r="K54" s="618"/>
      <c r="L54" s="58"/>
    </row>
    <row r="55" spans="2:12" s="2" customFormat="1">
      <c r="B55" s="542" t="s">
        <v>663</v>
      </c>
      <c r="C55" s="152" t="s">
        <v>128</v>
      </c>
      <c r="D55" s="616">
        <v>0</v>
      </c>
      <c r="E55" s="617">
        <v>0</v>
      </c>
      <c r="F55" s="617">
        <v>0</v>
      </c>
      <c r="G55" s="617">
        <v>0</v>
      </c>
      <c r="H55" s="617">
        <v>0</v>
      </c>
      <c r="I55" s="617">
        <v>0</v>
      </c>
      <c r="J55" s="617">
        <v>13.517700000000001</v>
      </c>
      <c r="K55" s="618"/>
      <c r="L55" s="58"/>
    </row>
    <row r="56" spans="2:12" s="2" customFormat="1">
      <c r="B56" s="542" t="s">
        <v>243</v>
      </c>
      <c r="C56" s="152" t="s">
        <v>128</v>
      </c>
      <c r="D56" s="616">
        <v>0</v>
      </c>
      <c r="E56" s="617">
        <v>0</v>
      </c>
      <c r="F56" s="617">
        <v>0</v>
      </c>
      <c r="G56" s="617">
        <v>0</v>
      </c>
      <c r="H56" s="617">
        <v>0</v>
      </c>
      <c r="I56" s="617">
        <v>0</v>
      </c>
      <c r="J56" s="617">
        <v>0</v>
      </c>
      <c r="K56" s="618"/>
      <c r="L56" s="58"/>
    </row>
    <row r="57" spans="2:12" s="2" customFormat="1">
      <c r="B57" s="542" t="s">
        <v>243</v>
      </c>
      <c r="C57" s="152" t="s">
        <v>128</v>
      </c>
      <c r="D57" s="616">
        <v>0</v>
      </c>
      <c r="E57" s="617">
        <v>0</v>
      </c>
      <c r="F57" s="617">
        <v>0</v>
      </c>
      <c r="G57" s="617">
        <v>0</v>
      </c>
      <c r="H57" s="617">
        <v>0</v>
      </c>
      <c r="I57" s="617">
        <v>0</v>
      </c>
      <c r="J57" s="617">
        <v>0</v>
      </c>
      <c r="K57" s="618"/>
      <c r="L57" s="58"/>
    </row>
    <row r="58" spans="2:12" s="2" customFormat="1">
      <c r="B58" s="542" t="s">
        <v>243</v>
      </c>
      <c r="C58" s="152" t="s">
        <v>128</v>
      </c>
      <c r="D58" s="616">
        <v>0</v>
      </c>
      <c r="E58" s="617">
        <v>0</v>
      </c>
      <c r="F58" s="617">
        <v>0</v>
      </c>
      <c r="G58" s="617">
        <v>0</v>
      </c>
      <c r="H58" s="617">
        <v>0</v>
      </c>
      <c r="I58" s="617">
        <v>0</v>
      </c>
      <c r="J58" s="617">
        <v>0</v>
      </c>
      <c r="K58" s="618"/>
      <c r="L58" s="58"/>
    </row>
    <row r="59" spans="2:12" s="2" customFormat="1">
      <c r="B59" s="542" t="s">
        <v>243</v>
      </c>
      <c r="C59" s="152" t="s">
        <v>128</v>
      </c>
      <c r="D59" s="616">
        <v>0</v>
      </c>
      <c r="E59" s="617">
        <v>0</v>
      </c>
      <c r="F59" s="617">
        <v>0</v>
      </c>
      <c r="G59" s="617">
        <v>0</v>
      </c>
      <c r="H59" s="617">
        <v>0</v>
      </c>
      <c r="I59" s="617">
        <v>0</v>
      </c>
      <c r="J59" s="617">
        <v>0</v>
      </c>
      <c r="K59" s="618"/>
      <c r="L59" s="58"/>
    </row>
    <row r="60" spans="2:12" s="2" customFormat="1">
      <c r="B60" s="542" t="s">
        <v>243</v>
      </c>
      <c r="C60" s="152" t="s">
        <v>128</v>
      </c>
      <c r="D60" s="616">
        <v>0</v>
      </c>
      <c r="E60" s="617">
        <v>0</v>
      </c>
      <c r="F60" s="617">
        <v>0</v>
      </c>
      <c r="G60" s="617">
        <v>0</v>
      </c>
      <c r="H60" s="617">
        <v>0</v>
      </c>
      <c r="I60" s="617">
        <v>0</v>
      </c>
      <c r="J60" s="617">
        <v>0</v>
      </c>
      <c r="K60" s="618"/>
      <c r="L60" s="58"/>
    </row>
    <row r="61" spans="2:12" s="2" customFormat="1">
      <c r="B61" s="542" t="s">
        <v>243</v>
      </c>
      <c r="C61" s="152" t="s">
        <v>128</v>
      </c>
      <c r="D61" s="616">
        <v>0</v>
      </c>
      <c r="E61" s="617">
        <v>0</v>
      </c>
      <c r="F61" s="617">
        <v>0</v>
      </c>
      <c r="G61" s="617">
        <v>0</v>
      </c>
      <c r="H61" s="617">
        <v>0</v>
      </c>
      <c r="I61" s="617">
        <v>0</v>
      </c>
      <c r="J61" s="617">
        <v>0</v>
      </c>
      <c r="K61" s="618"/>
      <c r="L61" s="58"/>
    </row>
    <row r="62" spans="2:12" s="2" customFormat="1">
      <c r="B62" s="542" t="s">
        <v>243</v>
      </c>
      <c r="C62" s="152" t="s">
        <v>128</v>
      </c>
      <c r="D62" s="616">
        <v>0</v>
      </c>
      <c r="E62" s="617">
        <v>0</v>
      </c>
      <c r="F62" s="617">
        <v>0</v>
      </c>
      <c r="G62" s="617">
        <v>0</v>
      </c>
      <c r="H62" s="617">
        <v>0</v>
      </c>
      <c r="I62" s="617">
        <v>0</v>
      </c>
      <c r="J62" s="617">
        <v>0</v>
      </c>
      <c r="K62" s="618"/>
      <c r="L62" s="58"/>
    </row>
    <row r="63" spans="2:12" s="2" customFormat="1">
      <c r="B63" s="767" t="s">
        <v>154</v>
      </c>
      <c r="C63" s="152" t="s">
        <v>128</v>
      </c>
      <c r="D63" s="619">
        <v>0</v>
      </c>
      <c r="E63" s="620">
        <v>0</v>
      </c>
      <c r="F63" s="621">
        <v>0</v>
      </c>
      <c r="G63" s="620">
        <v>0</v>
      </c>
      <c r="H63" s="620">
        <v>0</v>
      </c>
      <c r="I63" s="620">
        <v>0</v>
      </c>
      <c r="J63" s="620">
        <v>0</v>
      </c>
      <c r="K63" s="622"/>
      <c r="L63" s="58"/>
    </row>
    <row r="64" spans="2:12" s="2" customFormat="1">
      <c r="B64" s="763" t="s">
        <v>177</v>
      </c>
      <c r="C64" s="152" t="s">
        <v>128</v>
      </c>
      <c r="D64" s="602">
        <f t="shared" ref="D64:K64" si="5">SUM(D48:D63)</f>
        <v>0.4573246959999997</v>
      </c>
      <c r="E64" s="603">
        <f t="shared" si="5"/>
        <v>-46.268540448930004</v>
      </c>
      <c r="F64" s="603">
        <f t="shared" si="5"/>
        <v>-41.905833209999997</v>
      </c>
      <c r="G64" s="603">
        <f t="shared" si="5"/>
        <v>-39.624446780231203</v>
      </c>
      <c r="H64" s="603">
        <f t="shared" si="5"/>
        <v>-30.662057870009995</v>
      </c>
      <c r="I64" s="603">
        <f t="shared" si="5"/>
        <v>-30.802154090010006</v>
      </c>
      <c r="J64" s="603">
        <f t="shared" si="5"/>
        <v>-22.62192541005</v>
      </c>
      <c r="K64" s="604">
        <f t="shared" si="5"/>
        <v>0</v>
      </c>
      <c r="L64" s="58"/>
    </row>
    <row r="65" spans="1:13" s="2" customFormat="1">
      <c r="B65" s="225"/>
      <c r="C65" s="138"/>
      <c r="D65" s="56"/>
      <c r="E65" s="56"/>
      <c r="F65" s="56"/>
      <c r="G65" s="56"/>
      <c r="H65" s="56"/>
      <c r="I65" s="56"/>
      <c r="J65" s="56"/>
      <c r="K65" s="56"/>
      <c r="L65" s="58"/>
    </row>
    <row r="66" spans="1:13" s="2" customFormat="1">
      <c r="B66" s="763" t="s">
        <v>146</v>
      </c>
      <c r="C66" s="152" t="s">
        <v>128</v>
      </c>
      <c r="D66" s="623">
        <f t="shared" ref="D66:K66" si="6">D33+D45+D64</f>
        <v>461.32286748599995</v>
      </c>
      <c r="E66" s="624">
        <f t="shared" si="6"/>
        <v>515.62836685499997</v>
      </c>
      <c r="F66" s="624">
        <f t="shared" si="6"/>
        <v>496.75031638000007</v>
      </c>
      <c r="G66" s="624">
        <f t="shared" si="6"/>
        <v>524.60020234976878</v>
      </c>
      <c r="H66" s="624">
        <f t="shared" si="6"/>
        <v>525.38864453498991</v>
      </c>
      <c r="I66" s="624">
        <f t="shared" si="6"/>
        <v>524.67503220600418</v>
      </c>
      <c r="J66" s="624">
        <f t="shared" si="6"/>
        <v>598.96574955994993</v>
      </c>
      <c r="K66" s="625">
        <f t="shared" si="6"/>
        <v>0</v>
      </c>
      <c r="L66" s="58"/>
      <c r="M66" s="323"/>
    </row>
    <row r="67" spans="1:13" s="2" customFormat="1">
      <c r="B67" s="763" t="s">
        <v>194</v>
      </c>
      <c r="C67" s="152" t="s">
        <v>128</v>
      </c>
      <c r="D67" s="626">
        <v>461.3</v>
      </c>
      <c r="E67" s="627">
        <v>515.6</v>
      </c>
      <c r="F67" s="627">
        <v>496.7</v>
      </c>
      <c r="G67" s="627">
        <v>524.6</v>
      </c>
      <c r="H67" s="627">
        <v>525.4</v>
      </c>
      <c r="I67" s="627">
        <v>524.70000000000005</v>
      </c>
      <c r="J67" s="627">
        <v>599</v>
      </c>
      <c r="K67" s="628"/>
      <c r="L67" s="58"/>
      <c r="M67" s="323"/>
    </row>
    <row r="68" spans="1:13"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8"/>
    </row>
    <row r="69" spans="1:13" s="2" customFormat="1">
      <c r="B69" s="129"/>
      <c r="C69" s="138"/>
      <c r="D69" s="48"/>
      <c r="E69" s="48"/>
      <c r="F69" s="48"/>
      <c r="G69" s="48"/>
      <c r="H69" s="48"/>
      <c r="I69" s="48"/>
      <c r="J69" s="48"/>
      <c r="K69" s="48"/>
      <c r="L69" s="58"/>
    </row>
    <row r="70" spans="1:13" s="2" customFormat="1">
      <c r="B70" s="129"/>
      <c r="C70" s="136"/>
      <c r="L70" s="54"/>
    </row>
    <row r="71" spans="1:13" s="2" customFormat="1">
      <c r="A71" s="81"/>
      <c r="B71" s="768"/>
      <c r="C71" s="150"/>
      <c r="D71" s="81"/>
      <c r="E71" s="81"/>
      <c r="F71" s="81"/>
      <c r="G71" s="81"/>
      <c r="H71" s="81"/>
      <c r="I71" s="81"/>
      <c r="J71" s="81"/>
      <c r="K71" s="81"/>
      <c r="L71" s="272"/>
    </row>
  </sheetData>
  <conditionalFormatting sqref="D6:K6">
    <cfRule type="expression" dxfId="83" priority="20">
      <formula>AND(D$5="Actuals",E$5="Forecast")</formula>
    </cfRule>
  </conditionalFormatting>
  <conditionalFormatting sqref="D5:K5">
    <cfRule type="expression" dxfId="82" priority="13">
      <formula>AND(D$5="Actuals",E$5="Forecast")</formula>
    </cfRule>
  </conditionalFormatting>
  <conditionalFormatting sqref="D33:K33 D45:K45 D28:H28 D66:K68 K36:K44 D36:I44 D48:K64">
    <cfRule type="expression" dxfId="81" priority="12">
      <formula>D$5="Forecast"</formula>
    </cfRule>
  </conditionalFormatting>
  <conditionalFormatting sqref="I14:K15 I28:K28 J10:K13 I17:K18 J16:K16 I26:K26 J19:K19 J21:K25 K20">
    <cfRule type="expression" dxfId="80" priority="11">
      <formula>I$5="Forecast"</formula>
    </cfRule>
  </conditionalFormatting>
  <conditionalFormatting sqref="H10:H19 H21:H26">
    <cfRule type="expression" dxfId="79" priority="10">
      <formula>H$5="Forecast"</formula>
    </cfRule>
  </conditionalFormatting>
  <conditionalFormatting sqref="G10:G19 G21:G26">
    <cfRule type="expression" dxfId="78" priority="9">
      <formula>G$5="Forecast"</formula>
    </cfRule>
  </conditionalFormatting>
  <conditionalFormatting sqref="I10:I13">
    <cfRule type="expression" dxfId="77" priority="8">
      <formula>I$5="Forecast"</formula>
    </cfRule>
  </conditionalFormatting>
  <conditionalFormatting sqref="I16">
    <cfRule type="expression" dxfId="76" priority="7">
      <formula>I$5="Forecast"</formula>
    </cfRule>
  </conditionalFormatting>
  <conditionalFormatting sqref="I19 I21:I25">
    <cfRule type="expression" dxfId="75" priority="6">
      <formula>I$5="Forecast"</formula>
    </cfRule>
  </conditionalFormatting>
  <conditionalFormatting sqref="J36:J44">
    <cfRule type="expression" dxfId="74" priority="5">
      <formula>J$5="Forecast"</formula>
    </cfRule>
  </conditionalFormatting>
  <conditionalFormatting sqref="J20">
    <cfRule type="expression" dxfId="73" priority="4">
      <formula>J$5="Forecast"</formula>
    </cfRule>
  </conditionalFormatting>
  <conditionalFormatting sqref="H20">
    <cfRule type="expression" dxfId="72" priority="3">
      <formula>H$5="Forecast"</formula>
    </cfRule>
  </conditionalFormatting>
  <conditionalFormatting sqref="G20">
    <cfRule type="expression" dxfId="71" priority="2">
      <formula>G$5="Forecast"</formula>
    </cfRule>
  </conditionalFormatting>
  <conditionalFormatting sqref="I20">
    <cfRule type="expression" dxfId="70" priority="1">
      <formula>I$5="Forecast"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topLeftCell="A43" zoomScale="60" zoomScaleNormal="60" workbookViewId="0">
      <selection activeCell="B83" sqref="B83"/>
    </sheetView>
  </sheetViews>
  <sheetFormatPr defaultRowHeight="12.6"/>
  <cols>
    <col min="1" max="1" width="8.36328125" customWidth="1"/>
    <col min="2" max="2" width="74.453125" customWidth="1"/>
    <col min="3" max="3" width="13.36328125" style="136" customWidth="1"/>
    <col min="4" max="11" width="11.08984375" customWidth="1"/>
    <col min="12" max="12" width="5" customWidth="1"/>
  </cols>
  <sheetData>
    <row r="1" spans="1:12" s="31" customFormat="1" ht="21">
      <c r="A1" s="921" t="s">
        <v>310</v>
      </c>
      <c r="B1" s="922"/>
      <c r="C1" s="148"/>
      <c r="D1" s="121"/>
      <c r="E1" s="121"/>
      <c r="F1" s="121"/>
      <c r="G1" s="121"/>
      <c r="H1" s="121"/>
      <c r="I1" s="121"/>
      <c r="J1" s="121"/>
      <c r="K1" s="121"/>
      <c r="L1" s="122"/>
    </row>
    <row r="2" spans="1:12" s="31" customFormat="1" ht="21">
      <c r="A2" s="906" t="str">
        <f>'RFPR cover'!C5</f>
        <v>WPD-WMID</v>
      </c>
      <c r="B2" s="898"/>
      <c r="C2" s="134"/>
      <c r="D2" s="29"/>
      <c r="E2" s="29"/>
      <c r="F2" s="29"/>
      <c r="G2" s="29"/>
      <c r="H2" s="29"/>
      <c r="I2" s="27"/>
      <c r="J2" s="27"/>
      <c r="K2" s="27"/>
      <c r="L2" s="123"/>
    </row>
    <row r="3" spans="1:12" s="31" customFormat="1" ht="21">
      <c r="A3" s="923">
        <f>'RFPR cover'!C7</f>
        <v>2022</v>
      </c>
      <c r="B3" s="924"/>
      <c r="C3" s="149"/>
      <c r="D3" s="124"/>
      <c r="E3" s="124"/>
      <c r="F3" s="124"/>
      <c r="G3" s="124"/>
      <c r="H3" s="124"/>
      <c r="I3" s="28"/>
      <c r="J3" s="28"/>
      <c r="K3" s="28"/>
      <c r="L3" s="125"/>
    </row>
    <row r="4" spans="1:12" s="2" customFormat="1" ht="12.75" customHeight="1">
      <c r="C4" s="136"/>
    </row>
    <row r="5" spans="1:12"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N/A</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1" t="s">
        <v>316</v>
      </c>
      <c r="C8" s="137"/>
      <c r="D8" s="51"/>
      <c r="E8" s="51"/>
      <c r="F8" s="51"/>
      <c r="G8" s="51"/>
      <c r="H8" s="51"/>
      <c r="I8" s="51"/>
      <c r="J8" s="51"/>
      <c r="K8" s="51"/>
      <c r="L8" s="35"/>
    </row>
    <row r="9" spans="1:12" s="2" customFormat="1">
      <c r="B9" s="129" t="s">
        <v>160</v>
      </c>
      <c r="C9" s="152" t="s">
        <v>128</v>
      </c>
      <c r="D9" s="594">
        <v>311.10278462999969</v>
      </c>
      <c r="E9" s="595">
        <v>298.32222223000002</v>
      </c>
      <c r="F9" s="595">
        <v>287.04688888999999</v>
      </c>
      <c r="G9" s="595">
        <v>243.86322720999999</v>
      </c>
      <c r="H9" s="595">
        <v>253.1</v>
      </c>
      <c r="I9" s="595">
        <v>298.40000000000003</v>
      </c>
      <c r="J9" s="595">
        <v>331.5</v>
      </c>
      <c r="K9" s="605"/>
    </row>
    <row r="10" spans="1:12" s="2" customFormat="1">
      <c r="B10" s="129" t="s">
        <v>161</v>
      </c>
      <c r="C10" s="152" t="s">
        <v>128</v>
      </c>
      <c r="D10" s="596">
        <v>4.3367199999999051E-3</v>
      </c>
      <c r="E10" s="597">
        <v>2.7</v>
      </c>
      <c r="F10" s="597">
        <v>2.2999999999999998</v>
      </c>
      <c r="G10" s="597">
        <v>4.0999999999999996</v>
      </c>
      <c r="H10" s="597">
        <v>2.2000000000000002</v>
      </c>
      <c r="I10" s="597">
        <v>3.5</v>
      </c>
      <c r="J10" s="597">
        <v>2.9</v>
      </c>
      <c r="K10" s="606"/>
    </row>
    <row r="11" spans="1:12" s="2" customFormat="1" ht="29.25" customHeight="1">
      <c r="B11" s="130" t="s">
        <v>455</v>
      </c>
      <c r="C11" s="152" t="s">
        <v>128</v>
      </c>
      <c r="D11" s="596">
        <v>-1.7884</v>
      </c>
      <c r="E11" s="597">
        <v>0</v>
      </c>
      <c r="F11" s="597">
        <v>0</v>
      </c>
      <c r="G11" s="597">
        <v>0</v>
      </c>
      <c r="H11" s="597">
        <v>0</v>
      </c>
      <c r="I11" s="597">
        <v>0</v>
      </c>
      <c r="J11" s="597">
        <v>0</v>
      </c>
      <c r="K11" s="606"/>
    </row>
    <row r="12" spans="1:12" s="2" customFormat="1">
      <c r="B12" s="129" t="s">
        <v>162</v>
      </c>
      <c r="C12" s="152" t="s">
        <v>128</v>
      </c>
      <c r="D12" s="596">
        <v>-38.011499999999998</v>
      </c>
      <c r="E12" s="597">
        <v>-53.502449069999997</v>
      </c>
      <c r="F12" s="597">
        <v>-49.734613590000002</v>
      </c>
      <c r="G12" s="597">
        <v>-46.435092740000009</v>
      </c>
      <c r="H12" s="597">
        <v>-40.39423270999999</v>
      </c>
      <c r="I12" s="597">
        <v>-38.619257249999997</v>
      </c>
      <c r="J12" s="597">
        <v>-41.849734290000008</v>
      </c>
      <c r="K12" s="606"/>
    </row>
    <row r="13" spans="1:12" s="2" customFormat="1">
      <c r="B13" s="129" t="s">
        <v>163</v>
      </c>
      <c r="C13" s="152" t="s">
        <v>128</v>
      </c>
      <c r="D13" s="596">
        <v>-0.7</v>
      </c>
      <c r="E13" s="597">
        <v>0.77777777000000003</v>
      </c>
      <c r="F13" s="597">
        <v>0.85311110999999995</v>
      </c>
      <c r="G13" s="597">
        <v>-0.26322721000000004</v>
      </c>
      <c r="H13" s="597">
        <v>0</v>
      </c>
      <c r="I13" s="597">
        <v>0</v>
      </c>
      <c r="J13" s="597">
        <v>0</v>
      </c>
      <c r="K13" s="606"/>
    </row>
    <row r="14" spans="1:12" s="2" customFormat="1">
      <c r="B14" s="129" t="s">
        <v>164</v>
      </c>
      <c r="C14" s="152" t="s">
        <v>128</v>
      </c>
      <c r="D14" s="632">
        <v>0</v>
      </c>
      <c r="E14" s="633">
        <v>0</v>
      </c>
      <c r="F14" s="633">
        <v>0</v>
      </c>
      <c r="G14" s="633">
        <v>0</v>
      </c>
      <c r="H14" s="633">
        <v>0</v>
      </c>
      <c r="I14" s="633">
        <v>0</v>
      </c>
      <c r="J14" s="633">
        <v>0</v>
      </c>
      <c r="K14" s="634"/>
    </row>
    <row r="15" spans="1:12" s="2" customFormat="1">
      <c r="A15" s="3">
        <v>1</v>
      </c>
      <c r="B15" s="867" t="s">
        <v>661</v>
      </c>
      <c r="C15" s="152" t="s">
        <v>128</v>
      </c>
      <c r="D15" s="594">
        <v>0</v>
      </c>
      <c r="E15" s="595">
        <v>0</v>
      </c>
      <c r="F15" s="595">
        <v>0</v>
      </c>
      <c r="G15" s="595">
        <v>0</v>
      </c>
      <c r="H15" s="595">
        <v>0</v>
      </c>
      <c r="I15" s="595">
        <v>0</v>
      </c>
      <c r="J15" s="595">
        <v>-0.3</v>
      </c>
      <c r="K15" s="605"/>
    </row>
    <row r="16" spans="1:12" s="2" customFormat="1">
      <c r="A16" s="3">
        <v>2</v>
      </c>
      <c r="B16" s="867" t="s">
        <v>243</v>
      </c>
      <c r="C16" s="152" t="s">
        <v>128</v>
      </c>
      <c r="D16" s="596">
        <v>0</v>
      </c>
      <c r="E16" s="597">
        <v>0</v>
      </c>
      <c r="F16" s="597">
        <v>0</v>
      </c>
      <c r="G16" s="597">
        <v>0</v>
      </c>
      <c r="H16" s="597">
        <v>0</v>
      </c>
      <c r="I16" s="597">
        <v>0</v>
      </c>
      <c r="J16" s="597">
        <v>0</v>
      </c>
      <c r="K16" s="606"/>
    </row>
    <row r="17" spans="1:11" s="2" customFormat="1">
      <c r="A17" s="3">
        <v>3</v>
      </c>
      <c r="B17" s="867" t="s">
        <v>243</v>
      </c>
      <c r="C17" s="152" t="s">
        <v>128</v>
      </c>
      <c r="D17" s="596">
        <v>0</v>
      </c>
      <c r="E17" s="597">
        <v>0</v>
      </c>
      <c r="F17" s="597">
        <v>0</v>
      </c>
      <c r="G17" s="597">
        <v>0</v>
      </c>
      <c r="H17" s="597">
        <v>0</v>
      </c>
      <c r="I17" s="597">
        <v>0</v>
      </c>
      <c r="J17" s="597">
        <v>0</v>
      </c>
      <c r="K17" s="606"/>
    </row>
    <row r="18" spans="1:11" s="2" customFormat="1">
      <c r="B18" s="12" t="s">
        <v>165</v>
      </c>
      <c r="C18" s="152" t="s">
        <v>128</v>
      </c>
      <c r="D18" s="635">
        <f>SUM(D9:D17)</f>
        <v>270.60722134999969</v>
      </c>
      <c r="E18" s="636">
        <f t="shared" ref="E18:K18" si="1">SUM(E9:E17)</f>
        <v>248.29755093</v>
      </c>
      <c r="F18" s="636">
        <f t="shared" si="1"/>
        <v>240.46538640999998</v>
      </c>
      <c r="G18" s="636">
        <f t="shared" si="1"/>
        <v>201.26490725999997</v>
      </c>
      <c r="H18" s="636">
        <f t="shared" si="1"/>
        <v>214.90576729</v>
      </c>
      <c r="I18" s="636">
        <f t="shared" si="1"/>
        <v>263.28074275000006</v>
      </c>
      <c r="J18" s="636">
        <f t="shared" si="1"/>
        <v>292.25026570999995</v>
      </c>
      <c r="K18" s="637">
        <f t="shared" si="1"/>
        <v>0</v>
      </c>
    </row>
    <row r="19" spans="1:11" s="2" customFormat="1">
      <c r="B19" s="129" t="s">
        <v>166</v>
      </c>
      <c r="C19" s="152" t="s">
        <v>128</v>
      </c>
      <c r="D19" s="638">
        <v>130.5</v>
      </c>
      <c r="E19" s="639">
        <v>130</v>
      </c>
      <c r="F19" s="639">
        <v>139.69999999999999</v>
      </c>
      <c r="G19" s="639">
        <v>153.30000000000001</v>
      </c>
      <c r="H19" s="639">
        <v>140.39999999999998</v>
      </c>
      <c r="I19" s="639">
        <v>166.3</v>
      </c>
      <c r="J19" s="639">
        <v>180.9</v>
      </c>
      <c r="K19" s="640"/>
    </row>
    <row r="20" spans="1:11" s="2" customFormat="1">
      <c r="A20" s="3">
        <v>1</v>
      </c>
      <c r="B20" s="867" t="s">
        <v>243</v>
      </c>
      <c r="C20" s="152" t="s">
        <v>128</v>
      </c>
      <c r="D20" s="594">
        <v>0</v>
      </c>
      <c r="E20" s="595">
        <v>0</v>
      </c>
      <c r="F20" s="595">
        <v>0</v>
      </c>
      <c r="G20" s="595">
        <v>0</v>
      </c>
      <c r="H20" s="595">
        <v>0</v>
      </c>
      <c r="I20" s="595">
        <v>0</v>
      </c>
      <c r="J20" s="595">
        <v>0</v>
      </c>
      <c r="K20" s="605"/>
    </row>
    <row r="21" spans="1:11" s="2" customFormat="1">
      <c r="A21" s="3">
        <v>2</v>
      </c>
      <c r="B21" s="867" t="s">
        <v>243</v>
      </c>
      <c r="C21" s="152" t="s">
        <v>128</v>
      </c>
      <c r="D21" s="596">
        <v>0</v>
      </c>
      <c r="E21" s="597">
        <v>0</v>
      </c>
      <c r="F21" s="597">
        <v>0</v>
      </c>
      <c r="G21" s="597">
        <v>0</v>
      </c>
      <c r="H21" s="597">
        <v>0</v>
      </c>
      <c r="I21" s="597">
        <v>0</v>
      </c>
      <c r="J21" s="597">
        <v>0</v>
      </c>
      <c r="K21" s="606"/>
    </row>
    <row r="22" spans="1:11" s="2" customFormat="1">
      <c r="A22" s="3">
        <v>3</v>
      </c>
      <c r="B22" s="867" t="s">
        <v>243</v>
      </c>
      <c r="C22" s="152" t="s">
        <v>128</v>
      </c>
      <c r="D22" s="596">
        <v>0</v>
      </c>
      <c r="E22" s="597">
        <v>0</v>
      </c>
      <c r="F22" s="597">
        <v>0</v>
      </c>
      <c r="G22" s="597">
        <v>0</v>
      </c>
      <c r="H22" s="597">
        <v>0</v>
      </c>
      <c r="I22" s="597">
        <v>0</v>
      </c>
      <c r="J22" s="597">
        <v>0</v>
      </c>
      <c r="K22" s="606"/>
    </row>
    <row r="23" spans="1:11" s="2" customFormat="1">
      <c r="B23" s="12" t="s">
        <v>167</v>
      </c>
      <c r="C23" s="152" t="s">
        <v>128</v>
      </c>
      <c r="D23" s="610">
        <f>SUM(D18:D22)</f>
        <v>401.10722134999969</v>
      </c>
      <c r="E23" s="611">
        <f t="shared" ref="E23:K23" si="2">SUM(E18:E22)</f>
        <v>378.29755093</v>
      </c>
      <c r="F23" s="611">
        <f t="shared" si="2"/>
        <v>380.16538641</v>
      </c>
      <c r="G23" s="611">
        <f t="shared" si="2"/>
        <v>354.56490725999998</v>
      </c>
      <c r="H23" s="611">
        <f t="shared" si="2"/>
        <v>355.30576728999995</v>
      </c>
      <c r="I23" s="611">
        <f t="shared" si="2"/>
        <v>429.58074275000007</v>
      </c>
      <c r="J23" s="611">
        <f t="shared" si="2"/>
        <v>473.15026570999999</v>
      </c>
      <c r="K23" s="612">
        <f t="shared" si="2"/>
        <v>0</v>
      </c>
    </row>
    <row r="24" spans="1:11" s="2" customFormat="1">
      <c r="C24" s="136"/>
      <c r="D24" s="52"/>
      <c r="E24" s="52"/>
      <c r="F24" s="52"/>
      <c r="G24" s="52"/>
      <c r="H24" s="52"/>
      <c r="I24" s="52"/>
      <c r="J24" s="52"/>
      <c r="K24" s="52"/>
    </row>
    <row r="25" spans="1:11" s="2" customFormat="1">
      <c r="B25" s="12" t="s">
        <v>445</v>
      </c>
      <c r="C25" s="152" t="s">
        <v>128</v>
      </c>
      <c r="D25" s="54"/>
    </row>
    <row r="26" spans="1:11" s="2" customFormat="1">
      <c r="A26" s="3">
        <v>1</v>
      </c>
      <c r="B26" s="519" t="s">
        <v>594</v>
      </c>
      <c r="C26" s="152" t="s">
        <v>128</v>
      </c>
      <c r="D26" s="594">
        <v>1.3196999999999999</v>
      </c>
      <c r="E26" s="595">
        <v>-0.4</v>
      </c>
      <c r="F26" s="595">
        <v>-0.1</v>
      </c>
      <c r="G26" s="595">
        <v>-0.2</v>
      </c>
      <c r="H26" s="595">
        <v>-0.1</v>
      </c>
      <c r="I26" s="595">
        <v>0</v>
      </c>
      <c r="J26" s="595">
        <v>0</v>
      </c>
      <c r="K26" s="605"/>
    </row>
    <row r="27" spans="1:11" s="2" customFormat="1">
      <c r="A27" s="3">
        <v>2</v>
      </c>
      <c r="B27" s="519" t="s">
        <v>595</v>
      </c>
      <c r="C27" s="152" t="s">
        <v>128</v>
      </c>
      <c r="D27" s="596">
        <v>-10.054214999999999</v>
      </c>
      <c r="E27" s="597">
        <v>-10.093412460000001</v>
      </c>
      <c r="F27" s="597">
        <v>-9.5583737699999993</v>
      </c>
      <c r="G27" s="597">
        <v>-10.850108710000001</v>
      </c>
      <c r="H27" s="597">
        <v>-11.45076177</v>
      </c>
      <c r="I27" s="597">
        <v>-11.2834643</v>
      </c>
      <c r="J27" s="597">
        <v>-11.059204880000001</v>
      </c>
      <c r="K27" s="606"/>
    </row>
    <row r="28" spans="1:11" s="2" customFormat="1">
      <c r="A28" s="3">
        <v>3</v>
      </c>
      <c r="B28" s="519" t="s">
        <v>596</v>
      </c>
      <c r="C28" s="152" t="s">
        <v>128</v>
      </c>
      <c r="D28" s="596">
        <v>42.876539000000008</v>
      </c>
      <c r="E28" s="597">
        <v>0.1020660010000034</v>
      </c>
      <c r="F28" s="597">
        <v>-1.6284027399999998</v>
      </c>
      <c r="G28" s="597">
        <v>-0.46477278999999994</v>
      </c>
      <c r="H28" s="597">
        <v>-1.87554574</v>
      </c>
      <c r="I28" s="597">
        <v>-2.17885317</v>
      </c>
      <c r="J28" s="597">
        <v>5.5853731799999995</v>
      </c>
      <c r="K28" s="606"/>
    </row>
    <row r="29" spans="1:11" s="2" customFormat="1">
      <c r="A29" s="3">
        <v>4</v>
      </c>
      <c r="B29" s="519" t="s">
        <v>597</v>
      </c>
      <c r="C29" s="152" t="s">
        <v>128</v>
      </c>
      <c r="D29" s="596">
        <v>-0.18394802999999998</v>
      </c>
      <c r="E29" s="597">
        <v>-0.17374798000000002</v>
      </c>
      <c r="F29" s="597">
        <v>-8.4149000000000002E-2</v>
      </c>
      <c r="G29" s="597">
        <v>-0.10371408</v>
      </c>
      <c r="H29" s="597">
        <v>-1.332966E-2</v>
      </c>
      <c r="I29" s="597">
        <v>-0.11184588000000001</v>
      </c>
      <c r="J29" s="597">
        <v>-0.13213235999999998</v>
      </c>
      <c r="K29" s="606"/>
    </row>
    <row r="30" spans="1:11" s="2" customFormat="1">
      <c r="A30" s="3">
        <v>5</v>
      </c>
      <c r="B30" s="519" t="s">
        <v>598</v>
      </c>
      <c r="C30" s="152" t="s">
        <v>128</v>
      </c>
      <c r="D30" s="596">
        <v>0.29606278600000002</v>
      </c>
      <c r="E30" s="597">
        <v>0.38805146749999986</v>
      </c>
      <c r="F30" s="597">
        <v>0.34478409700000001</v>
      </c>
      <c r="G30" s="597">
        <v>0.35891927300000004</v>
      </c>
      <c r="H30" s="597">
        <v>1.4376836249999996</v>
      </c>
      <c r="I30" s="597">
        <v>0.32830134799999999</v>
      </c>
      <c r="J30" s="597">
        <v>1.1570539790000001</v>
      </c>
      <c r="K30" s="606"/>
    </row>
    <row r="31" spans="1:11" s="2" customFormat="1">
      <c r="A31" s="3">
        <v>6</v>
      </c>
      <c r="B31" s="519" t="s">
        <v>599</v>
      </c>
      <c r="C31" s="152" t="s">
        <v>128</v>
      </c>
      <c r="D31" s="596">
        <v>-2.9297996360000003</v>
      </c>
      <c r="E31" s="597">
        <v>-4.1809971749999999</v>
      </c>
      <c r="F31" s="597">
        <v>-3.2499000300000009</v>
      </c>
      <c r="G31" s="597">
        <v>-2.7110588600000001</v>
      </c>
      <c r="H31" s="597">
        <v>-4.9781236799900004</v>
      </c>
      <c r="I31" s="597">
        <v>-4.1390383499899999</v>
      </c>
      <c r="J31" s="597">
        <v>-3.2292674999500011</v>
      </c>
      <c r="K31" s="606"/>
    </row>
    <row r="32" spans="1:11" s="2" customFormat="1">
      <c r="A32" s="3">
        <v>7</v>
      </c>
      <c r="B32" s="519" t="s">
        <v>600</v>
      </c>
      <c r="C32" s="152" t="s">
        <v>128</v>
      </c>
      <c r="D32" s="596">
        <v>0.37867700000000004</v>
      </c>
      <c r="E32" s="597">
        <v>0.27920467999999998</v>
      </c>
      <c r="F32" s="597">
        <v>0.22100004000000001</v>
      </c>
      <c r="G32" s="597">
        <v>0.23152535999999999</v>
      </c>
      <c r="H32" s="597">
        <v>0.25081064999999997</v>
      </c>
      <c r="I32" s="597">
        <v>0.25465571999999997</v>
      </c>
      <c r="J32" s="597">
        <v>0.26588834</v>
      </c>
      <c r="K32" s="606"/>
    </row>
    <row r="33" spans="1:13" s="2" customFormat="1">
      <c r="A33" s="3">
        <v>8</v>
      </c>
      <c r="B33" s="519" t="s">
        <v>601</v>
      </c>
      <c r="C33" s="152" t="s">
        <v>128</v>
      </c>
      <c r="D33" s="596">
        <v>0.40377359243856947</v>
      </c>
      <c r="E33" s="597">
        <v>0.37363962275289414</v>
      </c>
      <c r="F33" s="597">
        <v>0.15776231633790655</v>
      </c>
      <c r="G33" s="597">
        <v>0.26196700424945601</v>
      </c>
      <c r="H33" s="597">
        <v>0.21957549260789469</v>
      </c>
      <c r="I33" s="597">
        <v>0.16359385176516267</v>
      </c>
      <c r="J33" s="597">
        <v>0.43094984857266572</v>
      </c>
      <c r="K33" s="606"/>
    </row>
    <row r="34" spans="1:13" s="2" customFormat="1">
      <c r="A34" s="3">
        <v>9</v>
      </c>
      <c r="B34" s="519" t="s">
        <v>602</v>
      </c>
      <c r="C34" s="152" t="s">
        <v>128</v>
      </c>
      <c r="D34" s="596">
        <v>-12.26910086207608</v>
      </c>
      <c r="E34" s="597">
        <v>0.95212986207607853</v>
      </c>
      <c r="F34" s="597">
        <v>3.3029999999999999</v>
      </c>
      <c r="G34" s="597">
        <v>1.2040510000000002</v>
      </c>
      <c r="H34" s="597">
        <v>6.1662175750000001</v>
      </c>
      <c r="I34" s="597">
        <v>-6.3421959999999958E-2</v>
      </c>
      <c r="J34" s="597">
        <v>-1.5231845400000001</v>
      </c>
      <c r="K34" s="606"/>
    </row>
    <row r="35" spans="1:13" s="2" customFormat="1">
      <c r="A35" s="3">
        <v>10</v>
      </c>
      <c r="B35" s="519" t="s">
        <v>603</v>
      </c>
      <c r="C35" s="152" t="s">
        <v>128</v>
      </c>
      <c r="D35" s="596">
        <v>-11.303225449843858</v>
      </c>
      <c r="E35" s="597">
        <v>32.769579494868658</v>
      </c>
      <c r="F35" s="597">
        <v>1.0296000000000003</v>
      </c>
      <c r="G35" s="597">
        <v>30.775635867378583</v>
      </c>
      <c r="H35" s="597">
        <v>32.237245271492775</v>
      </c>
      <c r="I35" s="597">
        <v>32.023589329605059</v>
      </c>
      <c r="J35" s="597">
        <v>-7.5325839992129886</v>
      </c>
      <c r="K35" s="606"/>
    </row>
    <row r="36" spans="1:13" s="2" customFormat="1">
      <c r="A36" s="3">
        <v>11</v>
      </c>
      <c r="B36" s="519" t="s">
        <v>604</v>
      </c>
      <c r="C36" s="152" t="s">
        <v>128</v>
      </c>
      <c r="D36" s="596">
        <v>0</v>
      </c>
      <c r="E36" s="597">
        <v>51.179034508097004</v>
      </c>
      <c r="F36" s="597">
        <v>-15.087448679294205</v>
      </c>
      <c r="G36" s="597">
        <v>-0.20623206954060525</v>
      </c>
      <c r="H36" s="597">
        <v>0</v>
      </c>
      <c r="I36" s="597">
        <v>0</v>
      </c>
      <c r="J36" s="597">
        <v>7.8330000000000002</v>
      </c>
      <c r="K36" s="606"/>
    </row>
    <row r="37" spans="1:13" s="2" customFormat="1">
      <c r="A37" s="3">
        <v>12</v>
      </c>
      <c r="B37" s="519" t="s">
        <v>605</v>
      </c>
      <c r="C37" s="152" t="s">
        <v>128</v>
      </c>
      <c r="D37" s="596">
        <v>0</v>
      </c>
      <c r="E37" s="597">
        <v>0.28741558499999997</v>
      </c>
      <c r="F37" s="597">
        <v>-4.4837818102145306</v>
      </c>
      <c r="G37" s="597">
        <v>-3.9931659861526505</v>
      </c>
      <c r="H37" s="597">
        <v>-4.7709321255958521</v>
      </c>
      <c r="I37" s="597">
        <v>-3.352502347211562</v>
      </c>
      <c r="J37" s="597">
        <v>0</v>
      </c>
      <c r="K37" s="606"/>
    </row>
    <row r="38" spans="1:13" s="2" customFormat="1">
      <c r="A38" s="3">
        <v>13</v>
      </c>
      <c r="B38" s="519" t="s">
        <v>606</v>
      </c>
      <c r="C38" s="152" t="s">
        <v>128</v>
      </c>
      <c r="D38" s="596">
        <v>0</v>
      </c>
      <c r="E38" s="597">
        <v>0</v>
      </c>
      <c r="F38" s="597">
        <v>0.26959761161680751</v>
      </c>
      <c r="G38" s="597">
        <v>0.31905110994246044</v>
      </c>
      <c r="H38" s="597">
        <v>0.3701118264260696</v>
      </c>
      <c r="I38" s="597">
        <v>0.34038048574932306</v>
      </c>
      <c r="J38" s="597">
        <v>-0.99686892898484758</v>
      </c>
      <c r="K38" s="606"/>
    </row>
    <row r="39" spans="1:13" s="2" customFormat="1">
      <c r="A39" s="3">
        <v>14</v>
      </c>
      <c r="B39" s="519" t="s">
        <v>607</v>
      </c>
      <c r="C39" s="152" t="s">
        <v>128</v>
      </c>
      <c r="D39" s="596">
        <v>-3.8593000000000002</v>
      </c>
      <c r="E39" s="597">
        <v>0</v>
      </c>
      <c r="F39" s="597">
        <v>0</v>
      </c>
      <c r="G39" s="597">
        <v>0</v>
      </c>
      <c r="H39" s="597">
        <v>0</v>
      </c>
      <c r="I39" s="597">
        <v>0</v>
      </c>
      <c r="J39" s="597">
        <v>0</v>
      </c>
      <c r="K39" s="606"/>
    </row>
    <row r="40" spans="1:13" s="2" customFormat="1">
      <c r="A40" s="3">
        <v>15</v>
      </c>
      <c r="B40" s="519" t="s">
        <v>608</v>
      </c>
      <c r="C40" s="152" t="s">
        <v>128</v>
      </c>
      <c r="D40" s="596">
        <v>0.1</v>
      </c>
      <c r="E40" s="597">
        <v>-1.3</v>
      </c>
      <c r="F40" s="597">
        <v>-1.55</v>
      </c>
      <c r="G40" s="597">
        <v>-1.1451564147383806</v>
      </c>
      <c r="H40" s="597">
        <v>-0.63354031973909231</v>
      </c>
      <c r="I40" s="597">
        <v>0</v>
      </c>
      <c r="J40" s="597">
        <v>1.44</v>
      </c>
      <c r="K40" s="606"/>
    </row>
    <row r="41" spans="1:13" s="2" customFormat="1">
      <c r="A41" s="3">
        <v>16</v>
      </c>
      <c r="B41" s="519" t="s">
        <v>609</v>
      </c>
      <c r="C41" s="152" t="s">
        <v>128</v>
      </c>
      <c r="D41" s="596">
        <v>0</v>
      </c>
      <c r="E41" s="597">
        <v>0</v>
      </c>
      <c r="F41" s="597">
        <v>0</v>
      </c>
      <c r="G41" s="597">
        <v>-3.6999999999999997</v>
      </c>
      <c r="H41" s="597">
        <v>0</v>
      </c>
      <c r="I41" s="597">
        <v>0</v>
      </c>
      <c r="J41" s="597">
        <v>0</v>
      </c>
      <c r="K41" s="606"/>
    </row>
    <row r="42" spans="1:13" s="2" customFormat="1">
      <c r="A42" s="3">
        <v>17</v>
      </c>
      <c r="B42" s="519" t="s">
        <v>654</v>
      </c>
      <c r="C42" s="152" t="s">
        <v>128</v>
      </c>
      <c r="D42" s="596">
        <v>0</v>
      </c>
      <c r="E42" s="597">
        <v>0</v>
      </c>
      <c r="F42" s="597">
        <v>0</v>
      </c>
      <c r="G42" s="597">
        <v>1.226</v>
      </c>
      <c r="H42" s="597">
        <v>0.53291890519999996</v>
      </c>
      <c r="I42" s="597">
        <v>1.76047748</v>
      </c>
      <c r="J42" s="597">
        <v>-3.8099556741666669</v>
      </c>
      <c r="K42" s="606"/>
    </row>
    <row r="43" spans="1:13" s="2" customFormat="1">
      <c r="A43" s="3">
        <v>18</v>
      </c>
      <c r="B43" s="519" t="s">
        <v>610</v>
      </c>
      <c r="C43" s="152" t="s">
        <v>128</v>
      </c>
      <c r="D43" s="596">
        <v>0</v>
      </c>
      <c r="E43" s="597">
        <v>0</v>
      </c>
      <c r="F43" s="597">
        <v>0</v>
      </c>
      <c r="G43" s="597">
        <v>0</v>
      </c>
      <c r="H43" s="597">
        <v>-1.9057532748218389</v>
      </c>
      <c r="I43" s="597">
        <v>-5.0000000000000044E-2</v>
      </c>
      <c r="J43" s="597">
        <v>0</v>
      </c>
      <c r="K43" s="606"/>
    </row>
    <row r="44" spans="1:13" s="2" customFormat="1">
      <c r="A44" s="3">
        <v>19</v>
      </c>
      <c r="B44" s="519" t="s">
        <v>611</v>
      </c>
      <c r="C44" s="152" t="s">
        <v>128</v>
      </c>
      <c r="D44" s="596">
        <v>0</v>
      </c>
      <c r="E44" s="597">
        <v>0</v>
      </c>
      <c r="F44" s="597">
        <v>0</v>
      </c>
      <c r="G44" s="597">
        <v>0</v>
      </c>
      <c r="H44" s="597">
        <v>0.50048638960282688</v>
      </c>
      <c r="I44" s="597">
        <v>0</v>
      </c>
      <c r="J44" s="597">
        <v>0</v>
      </c>
      <c r="K44" s="606"/>
    </row>
    <row r="45" spans="1:13" s="2" customFormat="1">
      <c r="A45" s="3">
        <v>20</v>
      </c>
      <c r="B45" s="519" t="s">
        <v>662</v>
      </c>
      <c r="C45" s="152" t="s">
        <v>128</v>
      </c>
      <c r="D45" s="596">
        <v>0</v>
      </c>
      <c r="E45" s="597">
        <v>0</v>
      </c>
      <c r="F45" s="597">
        <v>0</v>
      </c>
      <c r="G45" s="597">
        <v>0</v>
      </c>
      <c r="H45" s="597">
        <v>0</v>
      </c>
      <c r="I45" s="597">
        <v>0</v>
      </c>
      <c r="J45" s="597">
        <v>0</v>
      </c>
      <c r="K45" s="606"/>
    </row>
    <row r="46" spans="1:13" s="2" customFormat="1">
      <c r="B46" s="12" t="s">
        <v>398</v>
      </c>
      <c r="C46" s="152" t="s">
        <v>128</v>
      </c>
      <c r="D46" s="610">
        <f>SUM(D26:D45)</f>
        <v>4.7751634005186387</v>
      </c>
      <c r="E46" s="611">
        <f t="shared" ref="E46:K46" si="3">SUM(E26:E45)</f>
        <v>70.182963606294649</v>
      </c>
      <c r="F46" s="611">
        <f t="shared" si="3"/>
        <v>-30.416311964554026</v>
      </c>
      <c r="G46" s="611">
        <f t="shared" si="3"/>
        <v>11.002940704138862</v>
      </c>
      <c r="H46" s="611">
        <f t="shared" si="3"/>
        <v>15.98706316518278</v>
      </c>
      <c r="I46" s="611">
        <f t="shared" si="3"/>
        <v>13.691872207917982</v>
      </c>
      <c r="J46" s="611">
        <f t="shared" si="3"/>
        <v>-11.570932534741843</v>
      </c>
      <c r="K46" s="612">
        <f t="shared" si="3"/>
        <v>0</v>
      </c>
      <c r="M46" s="988"/>
    </row>
    <row r="47" spans="1:13" s="2" customFormat="1">
      <c r="C47" s="136"/>
      <c r="D47" s="53"/>
      <c r="E47" s="52"/>
      <c r="F47" s="52"/>
      <c r="G47" s="52"/>
      <c r="H47" s="52"/>
      <c r="I47" s="52"/>
      <c r="J47" s="984"/>
      <c r="K47" s="52"/>
    </row>
    <row r="48" spans="1:13" s="2" customFormat="1">
      <c r="B48" s="12" t="s">
        <v>444</v>
      </c>
      <c r="C48" s="152" t="s">
        <v>128</v>
      </c>
      <c r="D48" s="610">
        <f>D46+D23</f>
        <v>405.88238475051833</v>
      </c>
      <c r="E48" s="611">
        <f t="shared" ref="E48:K48" si="4">E46+E23</f>
        <v>448.48051453629466</v>
      </c>
      <c r="F48" s="611">
        <f t="shared" si="4"/>
        <v>349.74907444544596</v>
      </c>
      <c r="G48" s="611">
        <f t="shared" si="4"/>
        <v>365.56784796413882</v>
      </c>
      <c r="H48" s="611">
        <f t="shared" si="4"/>
        <v>371.29283045518275</v>
      </c>
      <c r="I48" s="611">
        <f t="shared" si="4"/>
        <v>443.27261495791805</v>
      </c>
      <c r="J48" s="611">
        <f t="shared" si="4"/>
        <v>461.57933317525817</v>
      </c>
      <c r="K48" s="612">
        <f t="shared" si="4"/>
        <v>0</v>
      </c>
      <c r="M48" s="952"/>
    </row>
    <row r="49" spans="1:13" s="2" customFormat="1">
      <c r="B49" s="2" t="s">
        <v>399</v>
      </c>
      <c r="C49" s="152" t="s">
        <v>128</v>
      </c>
      <c r="D49" s="594">
        <v>405.88519999999988</v>
      </c>
      <c r="E49" s="595">
        <v>448.47820000000007</v>
      </c>
      <c r="F49" s="595">
        <v>349.70259999999996</v>
      </c>
      <c r="G49" s="595">
        <v>365.5779291732</v>
      </c>
      <c r="H49" s="595">
        <v>371.30571890519991</v>
      </c>
      <c r="I49" s="595">
        <v>443.30850492261999</v>
      </c>
      <c r="J49" s="595">
        <v>461.58056882300008</v>
      </c>
      <c r="K49" s="605"/>
    </row>
    <row r="50" spans="1:13" s="2" customFormat="1">
      <c r="C50" s="136" t="s">
        <v>402</v>
      </c>
      <c r="D50" s="641" t="str">
        <f>IF(D$5="Actuals",IF(ABS(D48-D49)&lt;1,"OK","ERROR"),"N/A")</f>
        <v>OK</v>
      </c>
      <c r="E50" s="642" t="str">
        <f t="shared" ref="E50:K50" si="5">IF(E$5="Actuals",IF(ABS(E48-E49)&lt;1,"OK","ERROR"),"N/A")</f>
        <v>OK</v>
      </c>
      <c r="F50" s="642" t="str">
        <f t="shared" si="5"/>
        <v>OK</v>
      </c>
      <c r="G50" s="642" t="str">
        <f t="shared" si="5"/>
        <v>OK</v>
      </c>
      <c r="H50" s="642" t="str">
        <f t="shared" si="5"/>
        <v>OK</v>
      </c>
      <c r="I50" s="642" t="str">
        <f t="shared" si="5"/>
        <v>OK</v>
      </c>
      <c r="J50" s="642" t="str">
        <f t="shared" si="5"/>
        <v>OK</v>
      </c>
      <c r="K50" s="643" t="str">
        <f t="shared" si="5"/>
        <v>N/A</v>
      </c>
    </row>
    <row r="51" spans="1:13" s="2" customFormat="1">
      <c r="B51" s="2" t="s">
        <v>84</v>
      </c>
      <c r="C51" s="136"/>
      <c r="D51" s="54"/>
    </row>
    <row r="52" spans="1:13" s="2" customFormat="1">
      <c r="B52" s="12" t="s">
        <v>400</v>
      </c>
      <c r="C52" s="152"/>
      <c r="D52" s="54"/>
    </row>
    <row r="53" spans="1:13" s="2" customFormat="1">
      <c r="A53" s="3">
        <v>1</v>
      </c>
      <c r="B53" s="940" t="s">
        <v>612</v>
      </c>
      <c r="C53" s="152" t="s">
        <v>128</v>
      </c>
      <c r="D53" s="594">
        <v>42.040999999999997</v>
      </c>
      <c r="E53" s="595">
        <v>43.255899999999997</v>
      </c>
      <c r="F53" s="595">
        <v>44.732400000000005</v>
      </c>
      <c r="G53" s="595">
        <v>48.107829173200003</v>
      </c>
      <c r="H53" s="595">
        <v>49.032218905200011</v>
      </c>
      <c r="I53" s="595">
        <v>52.054318889999998</v>
      </c>
      <c r="J53" s="595">
        <v>50.5944</v>
      </c>
      <c r="K53" s="605"/>
      <c r="M53" s="323"/>
    </row>
    <row r="54" spans="1:13" s="2" customFormat="1">
      <c r="A54" s="3">
        <v>2</v>
      </c>
      <c r="B54" s="940" t="s">
        <v>613</v>
      </c>
      <c r="C54" s="152" t="s">
        <v>128</v>
      </c>
      <c r="D54" s="596">
        <v>30.9314</v>
      </c>
      <c r="E54" s="597">
        <v>65.922167795981437</v>
      </c>
      <c r="F54" s="597">
        <v>-1.0007986500000001</v>
      </c>
      <c r="G54" s="597">
        <v>29.73603332016134</v>
      </c>
      <c r="H54" s="597">
        <v>31.589654550000002</v>
      </c>
      <c r="I54" s="597">
        <v>34.475650559999998</v>
      </c>
      <c r="J54" s="597">
        <v>6.7027999999999999</v>
      </c>
      <c r="K54" s="606"/>
      <c r="M54" s="323"/>
    </row>
    <row r="55" spans="1:13" s="2" customFormat="1">
      <c r="A55" s="3">
        <v>3</v>
      </c>
      <c r="B55" s="940" t="s">
        <v>614</v>
      </c>
      <c r="C55" s="152" t="s">
        <v>128</v>
      </c>
      <c r="D55" s="596">
        <v>16.506600000000002</v>
      </c>
      <c r="E55" s="597">
        <v>14.228890358494713</v>
      </c>
      <c r="F55" s="597">
        <v>21.079882741671465</v>
      </c>
      <c r="G55" s="597">
        <v>22.364947418649905</v>
      </c>
      <c r="H55" s="597">
        <v>18.489931668486495</v>
      </c>
      <c r="I55" s="597">
        <v>37.4446126738478</v>
      </c>
      <c r="J55" s="597">
        <v>46.532340818644244</v>
      </c>
      <c r="K55" s="606"/>
      <c r="M55" s="323"/>
    </row>
    <row r="56" spans="1:13" s="2" customFormat="1">
      <c r="A56" s="3">
        <v>4</v>
      </c>
      <c r="B56" s="940" t="s">
        <v>615</v>
      </c>
      <c r="C56" s="152" t="s">
        <v>128</v>
      </c>
      <c r="D56" s="596">
        <v>4.5557000000000007</v>
      </c>
      <c r="E56" s="597">
        <v>4.2782</v>
      </c>
      <c r="F56" s="597">
        <v>3.5907389599999999</v>
      </c>
      <c r="G56" s="597">
        <v>3.3118381299999995</v>
      </c>
      <c r="H56" s="597">
        <v>3.2798600085979661</v>
      </c>
      <c r="I56" s="597">
        <v>3.0098367700000002</v>
      </c>
      <c r="J56" s="597">
        <v>8.276150502008317</v>
      </c>
      <c r="K56" s="606"/>
      <c r="M56" s="323"/>
    </row>
    <row r="57" spans="1:13" s="2" customFormat="1">
      <c r="A57" s="3">
        <v>5</v>
      </c>
      <c r="B57" s="518" t="s">
        <v>243</v>
      </c>
      <c r="C57" s="152" t="s">
        <v>128</v>
      </c>
      <c r="D57" s="596">
        <v>0</v>
      </c>
      <c r="E57" s="597">
        <v>0</v>
      </c>
      <c r="F57" s="597">
        <v>0</v>
      </c>
      <c r="G57" s="597">
        <v>0</v>
      </c>
      <c r="H57" s="597">
        <v>0</v>
      </c>
      <c r="I57" s="597">
        <v>0</v>
      </c>
      <c r="J57" s="597">
        <v>0</v>
      </c>
      <c r="K57" s="606"/>
    </row>
    <row r="58" spans="1:13" s="2" customFormat="1">
      <c r="A58" s="3">
        <v>6</v>
      </c>
      <c r="B58" s="518" t="s">
        <v>243</v>
      </c>
      <c r="C58" s="152" t="s">
        <v>128</v>
      </c>
      <c r="D58" s="596">
        <v>0</v>
      </c>
      <c r="E58" s="597">
        <v>0</v>
      </c>
      <c r="F58" s="597">
        <v>0</v>
      </c>
      <c r="G58" s="597">
        <v>0</v>
      </c>
      <c r="H58" s="597">
        <v>0</v>
      </c>
      <c r="I58" s="597">
        <v>0</v>
      </c>
      <c r="J58" s="597">
        <v>0</v>
      </c>
      <c r="K58" s="606"/>
    </row>
    <row r="59" spans="1:13" s="2" customFormat="1">
      <c r="A59" s="3">
        <v>7</v>
      </c>
      <c r="B59" s="518" t="s">
        <v>243</v>
      </c>
      <c r="C59" s="152" t="s">
        <v>128</v>
      </c>
      <c r="D59" s="596">
        <v>0</v>
      </c>
      <c r="E59" s="597">
        <v>0</v>
      </c>
      <c r="F59" s="597">
        <v>0</v>
      </c>
      <c r="G59" s="597">
        <v>0</v>
      </c>
      <c r="H59" s="597">
        <v>0</v>
      </c>
      <c r="I59" s="597">
        <v>0</v>
      </c>
      <c r="J59" s="597">
        <v>0</v>
      </c>
      <c r="K59" s="606"/>
    </row>
    <row r="60" spans="1:13" s="2" customFormat="1">
      <c r="A60" s="3">
        <v>8</v>
      </c>
      <c r="B60" s="518" t="s">
        <v>243</v>
      </c>
      <c r="C60" s="152" t="s">
        <v>128</v>
      </c>
      <c r="D60" s="596">
        <v>0</v>
      </c>
      <c r="E60" s="597">
        <v>0</v>
      </c>
      <c r="F60" s="597">
        <v>0</v>
      </c>
      <c r="G60" s="597">
        <v>0</v>
      </c>
      <c r="H60" s="597">
        <v>0</v>
      </c>
      <c r="I60" s="597">
        <v>0</v>
      </c>
      <c r="J60" s="597">
        <v>0</v>
      </c>
      <c r="K60" s="606"/>
    </row>
    <row r="61" spans="1:13" s="2" customFormat="1">
      <c r="A61" s="3">
        <v>9</v>
      </c>
      <c r="B61" s="518" t="s">
        <v>243</v>
      </c>
      <c r="C61" s="152" t="s">
        <v>128</v>
      </c>
      <c r="D61" s="596">
        <v>0</v>
      </c>
      <c r="E61" s="597">
        <v>0</v>
      </c>
      <c r="F61" s="597">
        <v>0</v>
      </c>
      <c r="G61" s="597">
        <v>0</v>
      </c>
      <c r="H61" s="597">
        <v>0</v>
      </c>
      <c r="I61" s="597">
        <v>0</v>
      </c>
      <c r="J61" s="597">
        <v>0</v>
      </c>
      <c r="K61" s="606"/>
    </row>
    <row r="62" spans="1:13" s="2" customFormat="1">
      <c r="A62" s="3">
        <v>10</v>
      </c>
      <c r="B62" s="518" t="s">
        <v>243</v>
      </c>
      <c r="C62" s="152" t="s">
        <v>128</v>
      </c>
      <c r="D62" s="596">
        <v>0</v>
      </c>
      <c r="E62" s="597">
        <v>0</v>
      </c>
      <c r="F62" s="597">
        <v>0</v>
      </c>
      <c r="G62" s="597">
        <v>0</v>
      </c>
      <c r="H62" s="597">
        <v>0</v>
      </c>
      <c r="I62" s="597">
        <v>0</v>
      </c>
      <c r="J62" s="597">
        <v>0</v>
      </c>
      <c r="K62" s="606"/>
    </row>
    <row r="63" spans="1:13" s="2" customFormat="1">
      <c r="A63" s="3">
        <v>11</v>
      </c>
      <c r="B63" s="518" t="s">
        <v>243</v>
      </c>
      <c r="C63" s="152" t="s">
        <v>128</v>
      </c>
      <c r="D63" s="596">
        <v>0</v>
      </c>
      <c r="E63" s="597">
        <v>0</v>
      </c>
      <c r="F63" s="597">
        <v>0</v>
      </c>
      <c r="G63" s="597">
        <v>0</v>
      </c>
      <c r="H63" s="597">
        <v>0</v>
      </c>
      <c r="I63" s="597">
        <v>0</v>
      </c>
      <c r="J63" s="597">
        <v>0</v>
      </c>
      <c r="K63" s="606"/>
    </row>
    <row r="64" spans="1:13" s="2" customFormat="1">
      <c r="A64" s="3">
        <v>12</v>
      </c>
      <c r="B64" s="518" t="s">
        <v>243</v>
      </c>
      <c r="C64" s="152" t="s">
        <v>128</v>
      </c>
      <c r="D64" s="596">
        <v>0</v>
      </c>
      <c r="E64" s="597">
        <v>0</v>
      </c>
      <c r="F64" s="597">
        <v>0</v>
      </c>
      <c r="G64" s="597">
        <v>0</v>
      </c>
      <c r="H64" s="597">
        <v>0</v>
      </c>
      <c r="I64" s="597">
        <v>0</v>
      </c>
      <c r="J64" s="597">
        <v>0</v>
      </c>
      <c r="K64" s="606"/>
    </row>
    <row r="65" spans="1:11" s="2" customFormat="1">
      <c r="A65" s="3">
        <v>13</v>
      </c>
      <c r="B65" s="518" t="s">
        <v>243</v>
      </c>
      <c r="C65" s="152" t="s">
        <v>128</v>
      </c>
      <c r="D65" s="596">
        <v>0</v>
      </c>
      <c r="E65" s="597">
        <v>0</v>
      </c>
      <c r="F65" s="597">
        <v>0</v>
      </c>
      <c r="G65" s="597">
        <v>0</v>
      </c>
      <c r="H65" s="597">
        <v>0</v>
      </c>
      <c r="I65" s="597">
        <v>0</v>
      </c>
      <c r="J65" s="597">
        <v>0</v>
      </c>
      <c r="K65" s="606"/>
    </row>
    <row r="66" spans="1:11" s="2" customFormat="1">
      <c r="A66" s="3">
        <v>14</v>
      </c>
      <c r="B66" s="518" t="s">
        <v>243</v>
      </c>
      <c r="C66" s="152" t="s">
        <v>128</v>
      </c>
      <c r="D66" s="596">
        <v>0</v>
      </c>
      <c r="E66" s="597">
        <v>0</v>
      </c>
      <c r="F66" s="597">
        <v>0</v>
      </c>
      <c r="G66" s="597">
        <v>0</v>
      </c>
      <c r="H66" s="597">
        <v>0</v>
      </c>
      <c r="I66" s="597">
        <v>0</v>
      </c>
      <c r="J66" s="597">
        <v>0</v>
      </c>
      <c r="K66" s="606"/>
    </row>
    <row r="67" spans="1:11" s="2" customFormat="1">
      <c r="A67" s="3">
        <v>15</v>
      </c>
      <c r="B67" s="518" t="s">
        <v>243</v>
      </c>
      <c r="C67" s="152" t="s">
        <v>128</v>
      </c>
      <c r="D67" s="596">
        <v>0</v>
      </c>
      <c r="E67" s="597">
        <v>0</v>
      </c>
      <c r="F67" s="597">
        <v>0</v>
      </c>
      <c r="G67" s="597">
        <v>0</v>
      </c>
      <c r="H67" s="597">
        <v>0</v>
      </c>
      <c r="I67" s="597">
        <v>0</v>
      </c>
      <c r="J67" s="597">
        <v>0</v>
      </c>
      <c r="K67" s="606"/>
    </row>
    <row r="68" spans="1:11" s="2" customFormat="1">
      <c r="A68" s="3">
        <v>16</v>
      </c>
      <c r="B68" s="518" t="s">
        <v>243</v>
      </c>
      <c r="C68" s="152" t="s">
        <v>128</v>
      </c>
      <c r="D68" s="596">
        <v>0</v>
      </c>
      <c r="E68" s="597">
        <v>0</v>
      </c>
      <c r="F68" s="597">
        <v>0</v>
      </c>
      <c r="G68" s="597">
        <v>0</v>
      </c>
      <c r="H68" s="597">
        <v>0</v>
      </c>
      <c r="I68" s="597">
        <v>0</v>
      </c>
      <c r="J68" s="597">
        <v>0</v>
      </c>
      <c r="K68" s="606"/>
    </row>
    <row r="69" spans="1:11" s="2" customFormat="1">
      <c r="A69" s="3">
        <v>17</v>
      </c>
      <c r="B69" s="518" t="s">
        <v>243</v>
      </c>
      <c r="C69" s="152" t="s">
        <v>128</v>
      </c>
      <c r="D69" s="596">
        <v>0</v>
      </c>
      <c r="E69" s="597">
        <v>0</v>
      </c>
      <c r="F69" s="597">
        <v>0</v>
      </c>
      <c r="G69" s="597">
        <v>0</v>
      </c>
      <c r="H69" s="597">
        <v>0</v>
      </c>
      <c r="I69" s="597">
        <v>0</v>
      </c>
      <c r="J69" s="597">
        <v>0</v>
      </c>
      <c r="K69" s="606"/>
    </row>
    <row r="70" spans="1:11" s="2" customFormat="1">
      <c r="A70" s="3">
        <v>18</v>
      </c>
      <c r="B70" s="518" t="s">
        <v>243</v>
      </c>
      <c r="C70" s="152" t="s">
        <v>128</v>
      </c>
      <c r="D70" s="596">
        <v>0</v>
      </c>
      <c r="E70" s="597">
        <v>0</v>
      </c>
      <c r="F70" s="597">
        <v>0</v>
      </c>
      <c r="G70" s="597">
        <v>0</v>
      </c>
      <c r="H70" s="597">
        <v>0</v>
      </c>
      <c r="I70" s="597">
        <v>0</v>
      </c>
      <c r="J70" s="597">
        <v>0</v>
      </c>
      <c r="K70" s="606"/>
    </row>
    <row r="71" spans="1:11" s="2" customFormat="1">
      <c r="A71" s="3">
        <v>19</v>
      </c>
      <c r="B71" s="518" t="s">
        <v>243</v>
      </c>
      <c r="C71" s="152" t="s">
        <v>128</v>
      </c>
      <c r="D71" s="596">
        <v>0</v>
      </c>
      <c r="E71" s="597">
        <v>0</v>
      </c>
      <c r="F71" s="597">
        <v>0</v>
      </c>
      <c r="G71" s="597">
        <v>0</v>
      </c>
      <c r="H71" s="597">
        <v>0</v>
      </c>
      <c r="I71" s="597">
        <v>0</v>
      </c>
      <c r="J71" s="597">
        <v>0</v>
      </c>
      <c r="K71" s="606"/>
    </row>
    <row r="72" spans="1:11" s="2" customFormat="1">
      <c r="A72" s="3">
        <v>20</v>
      </c>
      <c r="B72" s="518" t="s">
        <v>243</v>
      </c>
      <c r="C72" s="152" t="s">
        <v>128</v>
      </c>
      <c r="D72" s="596">
        <v>0</v>
      </c>
      <c r="E72" s="597">
        <v>0</v>
      </c>
      <c r="F72" s="597">
        <v>0</v>
      </c>
      <c r="G72" s="597">
        <v>0</v>
      </c>
      <c r="H72" s="597">
        <v>0</v>
      </c>
      <c r="I72" s="597">
        <v>0</v>
      </c>
      <c r="J72" s="597">
        <v>0</v>
      </c>
      <c r="K72" s="606"/>
    </row>
    <row r="73" spans="1:11" s="2" customFormat="1">
      <c r="A73" s="3">
        <v>21</v>
      </c>
      <c r="B73" s="518" t="s">
        <v>243</v>
      </c>
      <c r="C73" s="152" t="s">
        <v>128</v>
      </c>
      <c r="D73" s="596">
        <v>0</v>
      </c>
      <c r="E73" s="597">
        <v>0</v>
      </c>
      <c r="F73" s="597">
        <v>0</v>
      </c>
      <c r="G73" s="597">
        <v>0</v>
      </c>
      <c r="H73" s="597">
        <v>0</v>
      </c>
      <c r="I73" s="597">
        <v>0</v>
      </c>
      <c r="J73" s="597">
        <v>0</v>
      </c>
      <c r="K73" s="606"/>
    </row>
    <row r="74" spans="1:11" s="2" customFormat="1">
      <c r="A74" s="3">
        <v>22</v>
      </c>
      <c r="B74" s="518" t="s">
        <v>243</v>
      </c>
      <c r="C74" s="152" t="s">
        <v>128</v>
      </c>
      <c r="D74" s="596">
        <v>0</v>
      </c>
      <c r="E74" s="597">
        <v>0</v>
      </c>
      <c r="F74" s="597">
        <v>0</v>
      </c>
      <c r="G74" s="597">
        <v>0</v>
      </c>
      <c r="H74" s="597">
        <v>0</v>
      </c>
      <c r="I74" s="597">
        <v>0</v>
      </c>
      <c r="J74" s="597">
        <v>0</v>
      </c>
      <c r="K74" s="606"/>
    </row>
    <row r="75" spans="1:11" s="2" customFormat="1">
      <c r="A75" s="3">
        <v>23</v>
      </c>
      <c r="B75" s="518" t="s">
        <v>243</v>
      </c>
      <c r="C75" s="152" t="s">
        <v>128</v>
      </c>
      <c r="D75" s="596">
        <v>0</v>
      </c>
      <c r="E75" s="597">
        <v>0</v>
      </c>
      <c r="F75" s="597">
        <v>0</v>
      </c>
      <c r="G75" s="597">
        <v>0</v>
      </c>
      <c r="H75" s="597">
        <v>0</v>
      </c>
      <c r="I75" s="597">
        <v>0</v>
      </c>
      <c r="J75" s="597">
        <v>0</v>
      </c>
      <c r="K75" s="606"/>
    </row>
    <row r="76" spans="1:11" s="2" customFormat="1">
      <c r="A76" s="3">
        <v>24</v>
      </c>
      <c r="B76" s="518" t="s">
        <v>243</v>
      </c>
      <c r="C76" s="152" t="s">
        <v>128</v>
      </c>
      <c r="D76" s="596">
        <v>0</v>
      </c>
      <c r="E76" s="597">
        <v>0</v>
      </c>
      <c r="F76" s="597">
        <v>0</v>
      </c>
      <c r="G76" s="597">
        <v>0</v>
      </c>
      <c r="H76" s="597">
        <v>0</v>
      </c>
      <c r="I76" s="597">
        <v>0</v>
      </c>
      <c r="J76" s="597">
        <v>0</v>
      </c>
      <c r="K76" s="606"/>
    </row>
    <row r="77" spans="1:11" s="2" customFormat="1">
      <c r="A77" s="3">
        <v>25</v>
      </c>
      <c r="B77" s="518" t="s">
        <v>243</v>
      </c>
      <c r="C77" s="152" t="s">
        <v>128</v>
      </c>
      <c r="D77" s="632">
        <v>0</v>
      </c>
      <c r="E77" s="633">
        <v>0</v>
      </c>
      <c r="F77" s="633">
        <v>0</v>
      </c>
      <c r="G77" s="633">
        <v>0</v>
      </c>
      <c r="H77" s="633">
        <v>0</v>
      </c>
      <c r="I77" s="633">
        <v>0</v>
      </c>
      <c r="J77" s="597">
        <v>0</v>
      </c>
      <c r="K77" s="634"/>
    </row>
    <row r="78" spans="1:11" s="2" customFormat="1">
      <c r="B78" s="12" t="s">
        <v>171</v>
      </c>
      <c r="C78" s="152" t="s">
        <v>128</v>
      </c>
      <c r="D78" s="610">
        <f>SUM(D53:D77)</f>
        <v>94.034700000000001</v>
      </c>
      <c r="E78" s="611">
        <f t="shared" ref="E78:K78" si="6">SUM(E53:E77)</f>
        <v>127.68515815447614</v>
      </c>
      <c r="F78" s="611">
        <f t="shared" si="6"/>
        <v>68.40222305167147</v>
      </c>
      <c r="G78" s="611">
        <f t="shared" si="6"/>
        <v>103.52064804201125</v>
      </c>
      <c r="H78" s="611">
        <f t="shared" si="6"/>
        <v>102.39166513228447</v>
      </c>
      <c r="I78" s="611">
        <f t="shared" si="6"/>
        <v>126.9844188938478</v>
      </c>
      <c r="J78" s="611">
        <f t="shared" si="6"/>
        <v>112.10569132065257</v>
      </c>
      <c r="K78" s="612">
        <f t="shared" si="6"/>
        <v>0</v>
      </c>
    </row>
    <row r="79" spans="1:11" s="2" customFormat="1">
      <c r="C79" s="136"/>
      <c r="D79" s="53"/>
      <c r="E79" s="52"/>
      <c r="F79" s="52"/>
      <c r="G79" s="52"/>
      <c r="H79" s="52"/>
      <c r="I79" s="52"/>
      <c r="J79" s="52"/>
      <c r="K79" s="52"/>
    </row>
    <row r="80" spans="1:11" s="2" customFormat="1">
      <c r="B80" s="12" t="s">
        <v>401</v>
      </c>
      <c r="C80" s="152" t="s">
        <v>128</v>
      </c>
      <c r="D80" s="610">
        <f>D48-D78</f>
        <v>311.84768475051834</v>
      </c>
      <c r="E80" s="611">
        <f t="shared" ref="E80:K80" si="7">E48-E78</f>
        <v>320.79535638181852</v>
      </c>
      <c r="F80" s="611">
        <f t="shared" si="7"/>
        <v>281.3468513937745</v>
      </c>
      <c r="G80" s="611">
        <f t="shared" si="7"/>
        <v>262.04719992212756</v>
      </c>
      <c r="H80" s="611">
        <f t="shared" si="7"/>
        <v>268.90116532289829</v>
      </c>
      <c r="I80" s="611">
        <f t="shared" si="7"/>
        <v>316.28819606407023</v>
      </c>
      <c r="J80" s="611">
        <f t="shared" si="7"/>
        <v>349.4736418546056</v>
      </c>
      <c r="K80" s="612">
        <f t="shared" si="7"/>
        <v>0</v>
      </c>
    </row>
    <row r="81" spans="2:11" s="2" customFormat="1">
      <c r="B81" s="12" t="s">
        <v>489</v>
      </c>
      <c r="C81" s="152" t="s">
        <v>128</v>
      </c>
      <c r="D81" s="644">
        <f>'R4 - Totex'!D90+'R4 - Totex'!D118</f>
        <v>311.84609999999998</v>
      </c>
      <c r="E81" s="645">
        <f>'R4 - Totex'!E90+'R4 - Totex'!E118</f>
        <v>320.7876</v>
      </c>
      <c r="F81" s="645">
        <f>'R4 - Totex'!F90+'R4 - Totex'!F118</f>
        <v>281.29869999999988</v>
      </c>
      <c r="G81" s="645">
        <f>'R4 - Totex'!G90+'R4 - Totex'!G118</f>
        <v>262.05380000000002</v>
      </c>
      <c r="H81" s="645">
        <f>'R4 - Totex'!H90+'R4 - Totex'!H118</f>
        <v>268.91001304140201</v>
      </c>
      <c r="I81" s="645">
        <f>'R4 - Totex'!I90+'R4 - Totex'!I118</f>
        <v>316.31918603262</v>
      </c>
      <c r="J81" s="645">
        <f>'R4 - Totex'!J90+'R4 - Totex'!J118</f>
        <v>349.4748775023474</v>
      </c>
      <c r="K81" s="645">
        <f>'R4 - Totex'!K90+'R4 - Totex'!K118</f>
        <v>376.09306593807196</v>
      </c>
    </row>
    <row r="82" spans="2:11" s="2" customFormat="1">
      <c r="C82" s="136" t="s">
        <v>402</v>
      </c>
      <c r="D82" s="572" t="str">
        <f>IF(D$5="Actuals",IF(ABS(D80-('R4 - Totex'!D90+'R4 - Totex'!D118))&lt;'RFPR cover'!$F$14,"OK","Error"),"N/A")</f>
        <v>OK</v>
      </c>
      <c r="E82" s="572" t="str">
        <f>IF(E$5="Actuals",IF(ABS(E80-('R4 - Totex'!E90+'R4 - Totex'!E118))&lt;'RFPR cover'!$F$14,"OK","Error"),"N/A")</f>
        <v>OK</v>
      </c>
      <c r="F82" s="572" t="str">
        <f>IF(F$5="Actuals",IF(ABS(F80-('R4 - Totex'!F90+'R4 - Totex'!F118))&lt;'RFPR cover'!$F$14,"OK","Error"),"N/A")</f>
        <v>OK</v>
      </c>
      <c r="G82" s="572" t="str">
        <f>IF(G$5="Actuals",IF(ABS(G80-('R4 - Totex'!G90+'R4 - Totex'!G118))&lt;'RFPR cover'!$F$14,"OK","Error"),"N/A")</f>
        <v>OK</v>
      </c>
      <c r="H82" s="572" t="str">
        <f>IF(H$5="Actuals",IF(ABS(H80-('R4 - Totex'!H90+'R4 - Totex'!H118))&lt;'RFPR cover'!$F$14,"OK","Error"),"N/A")</f>
        <v>OK</v>
      </c>
      <c r="I82" s="572" t="str">
        <f>IF(I$5="Actuals",IF(ABS(I80-('R4 - Totex'!I90+'R4 - Totex'!I118))&lt;'RFPR cover'!$F$14,"OK","Error"),"N/A")</f>
        <v>OK</v>
      </c>
      <c r="J82" s="572" t="str">
        <f>IF(J$5="Actuals",IF(ABS(J80-('R4 - Totex'!J90+'R4 - Totex'!J118))&lt;'RFPR cover'!$F$14,"OK","Error"),"N/A")</f>
        <v>OK</v>
      </c>
      <c r="K82" s="572" t="str">
        <f>IF(K$5="Actuals",IF(ABS(K80-('R4 - Totex'!K90+'R4 - Totex'!K118))&lt;'RFPR cover'!$F$14,"OK","Error"),"N/A")</f>
        <v>N/A</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69" priority="23">
      <formula>AND(D$5="Actuals",E$5="N/A")</formula>
    </cfRule>
  </conditionalFormatting>
  <conditionalFormatting sqref="D5:K5">
    <cfRule type="expression" dxfId="68" priority="14">
      <formula>AND(D$5="Actuals",E$5="N/A")</formula>
    </cfRule>
  </conditionalFormatting>
  <conditionalFormatting sqref="D9:H14 D80:K80 D82:K82 D23:K23 D53:H56 D78:K78 D57:I77 K53:K77 D48:K50 J9:K14 D18:K19 D26:K46">
    <cfRule type="expression" dxfId="67" priority="9">
      <formula>D$5="N/A"</formula>
    </cfRule>
  </conditionalFormatting>
  <conditionalFormatting sqref="D15:H17 J15:K17">
    <cfRule type="expression" dxfId="66" priority="8">
      <formula>D$5="N/A"</formula>
    </cfRule>
  </conditionalFormatting>
  <conditionalFormatting sqref="D20:K22">
    <cfRule type="expression" dxfId="65" priority="7">
      <formula>D$5="N/A"</formula>
    </cfRule>
  </conditionalFormatting>
  <conditionalFormatting sqref="J57:J77">
    <cfRule type="expression" dxfId="64" priority="5">
      <formula>J$5="N/A"</formula>
    </cfRule>
  </conditionalFormatting>
  <conditionalFormatting sqref="I9:I14">
    <cfRule type="expression" dxfId="63" priority="4">
      <formula>I$5="N/A"</formula>
    </cfRule>
  </conditionalFormatting>
  <conditionalFormatting sqref="I15:I17">
    <cfRule type="expression" dxfId="62" priority="3">
      <formula>I$5="N/A"</formula>
    </cfRule>
  </conditionalFormatting>
  <conditionalFormatting sqref="J53:J56">
    <cfRule type="expression" dxfId="61" priority="2">
      <formula>J$5="N/A"</formula>
    </cfRule>
  </conditionalFormatting>
  <conditionalFormatting sqref="I53:I56">
    <cfRule type="expression" dxfId="60"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W154"/>
  <sheetViews>
    <sheetView topLeftCell="A121" zoomScale="70" zoomScaleNormal="70" workbookViewId="0">
      <selection activeCell="C24" sqref="C24"/>
    </sheetView>
  </sheetViews>
  <sheetFormatPr defaultColWidth="9.08984375" defaultRowHeight="12.6"/>
  <cols>
    <col min="1" max="1" width="8.36328125" style="2" customWidth="1"/>
    <col min="2" max="2" width="75.453125" style="129" customWidth="1"/>
    <col min="3" max="3" width="13.36328125" style="136" customWidth="1"/>
    <col min="4" max="11" width="11.08984375" style="2" customWidth="1"/>
    <col min="12" max="13" width="12.90625" style="2" customWidth="1"/>
    <col min="14" max="14" width="25.453125" style="2" customWidth="1"/>
    <col min="15" max="16384" width="9.08984375" style="2"/>
  </cols>
  <sheetData>
    <row r="1" spans="1:23" s="31" customFormat="1" ht="21">
      <c r="A1" s="903" t="s">
        <v>99</v>
      </c>
      <c r="B1" s="925"/>
      <c r="C1" s="278"/>
      <c r="D1" s="256"/>
      <c r="E1" s="256"/>
      <c r="F1" s="256"/>
      <c r="G1" s="256"/>
      <c r="H1" s="256"/>
      <c r="I1" s="257"/>
      <c r="J1" s="257"/>
      <c r="K1" s="258"/>
      <c r="L1" s="258"/>
      <c r="M1" s="258"/>
      <c r="N1" s="258"/>
      <c r="O1" s="363"/>
    </row>
    <row r="2" spans="1:23" s="31" customFormat="1" ht="21">
      <c r="A2" s="906" t="str">
        <f>'RFPR cover'!C5</f>
        <v>WPD-WMID</v>
      </c>
      <c r="B2" s="919"/>
      <c r="C2" s="134"/>
      <c r="D2" s="29"/>
      <c r="E2" s="29"/>
      <c r="F2" s="29"/>
      <c r="G2" s="29"/>
      <c r="H2" s="29"/>
      <c r="I2" s="27"/>
      <c r="J2" s="27"/>
      <c r="K2" s="27"/>
      <c r="L2" s="27"/>
      <c r="M2" s="27"/>
      <c r="N2" s="27"/>
      <c r="O2" s="123"/>
    </row>
    <row r="3" spans="1:23" s="31" customFormat="1" ht="21">
      <c r="A3" s="909">
        <f>'RFPR cover'!C7</f>
        <v>2022</v>
      </c>
      <c r="B3" s="920"/>
      <c r="C3" s="277"/>
      <c r="D3" s="260"/>
      <c r="E3" s="260"/>
      <c r="F3" s="260"/>
      <c r="G3" s="260"/>
      <c r="H3" s="260"/>
      <c r="I3" s="255"/>
      <c r="J3" s="255"/>
      <c r="K3" s="255"/>
      <c r="L3" s="255"/>
      <c r="M3" s="255"/>
      <c r="N3" s="255"/>
      <c r="O3" s="261"/>
    </row>
    <row r="4" spans="1:23" ht="12.75" customHeight="1"/>
    <row r="5" spans="1:23"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23" ht="27.75" customHeight="1">
      <c r="B6" s="769"/>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2022</v>
      </c>
      <c r="M6" s="119" t="s">
        <v>109</v>
      </c>
      <c r="N6" s="119" t="s">
        <v>311</v>
      </c>
    </row>
    <row r="7" spans="1:23" s="35" customFormat="1">
      <c r="B7" s="770"/>
      <c r="C7" s="158"/>
      <c r="D7" s="58"/>
      <c r="E7" s="58"/>
      <c r="F7" s="58"/>
      <c r="G7" s="58"/>
      <c r="H7" s="58"/>
      <c r="I7" s="58"/>
      <c r="J7" s="58"/>
      <c r="K7" s="58"/>
      <c r="L7" s="58"/>
      <c r="M7" s="58"/>
      <c r="N7" s="58"/>
    </row>
    <row r="8" spans="1:23" s="35" customFormat="1">
      <c r="B8" s="771" t="s">
        <v>389</v>
      </c>
      <c r="C8" s="291"/>
      <c r="D8" s="321"/>
      <c r="E8" s="321"/>
      <c r="F8" s="321"/>
      <c r="G8" s="321"/>
      <c r="H8" s="321"/>
      <c r="I8" s="321"/>
      <c r="J8" s="321"/>
      <c r="K8" s="321"/>
      <c r="L8" s="321"/>
      <c r="M8" s="321"/>
      <c r="N8" s="321"/>
    </row>
    <row r="9" spans="1:23" s="35" customFormat="1">
      <c r="B9" s="770"/>
      <c r="C9" s="158"/>
      <c r="D9" s="58"/>
      <c r="E9" s="58"/>
      <c r="F9" s="58"/>
      <c r="G9" s="58"/>
      <c r="H9" s="58"/>
      <c r="I9" s="58"/>
      <c r="J9" s="58"/>
      <c r="K9" s="58"/>
      <c r="L9" s="58"/>
      <c r="M9" s="58"/>
      <c r="N9" s="58"/>
    </row>
    <row r="10" spans="1:23">
      <c r="A10" s="35"/>
      <c r="B10" s="772" t="str">
        <f>Data!B48</f>
        <v>Totex</v>
      </c>
      <c r="C10" s="150"/>
      <c r="D10" s="82"/>
      <c r="E10" s="82"/>
      <c r="F10" s="82"/>
      <c r="G10" s="82"/>
      <c r="H10" s="82"/>
      <c r="I10" s="82"/>
      <c r="J10" s="82"/>
      <c r="K10" s="82"/>
      <c r="L10" s="82"/>
      <c r="M10" s="82"/>
      <c r="N10" s="82"/>
      <c r="P10"/>
      <c r="Q10" s="941"/>
      <c r="R10"/>
      <c r="S10" s="65"/>
      <c r="T10"/>
    </row>
    <row r="11" spans="1:23" s="35" customFormat="1">
      <c r="B11" s="773"/>
      <c r="C11" s="138"/>
      <c r="D11" s="320"/>
      <c r="E11" s="320"/>
      <c r="F11" s="320"/>
      <c r="G11" s="320"/>
      <c r="H11" s="320"/>
      <c r="I11" s="320"/>
      <c r="J11" s="320"/>
      <c r="K11" s="320"/>
      <c r="L11" s="320"/>
      <c r="M11" s="320"/>
      <c r="N11" s="320"/>
      <c r="P11"/>
      <c r="Q11" s="941"/>
      <c r="R11"/>
      <c r="S11" s="65"/>
      <c r="T11"/>
      <c r="U11" s="2"/>
      <c r="V11" s="2"/>
      <c r="W11" s="2"/>
    </row>
    <row r="12" spans="1:23">
      <c r="A12" s="35"/>
      <c r="B12" s="305" t="s">
        <v>34</v>
      </c>
      <c r="C12" s="155" t="str">
        <f>'RFPR cover'!$C$14</f>
        <v>£m 12/13</v>
      </c>
      <c r="D12" s="482">
        <v>294.10654973538448</v>
      </c>
      <c r="E12" s="483">
        <v>296.19273800718508</v>
      </c>
      <c r="F12" s="483">
        <v>250.36288293720074</v>
      </c>
      <c r="G12" s="483">
        <v>226.31910682013927</v>
      </c>
      <c r="H12" s="483">
        <v>226.38007390846829</v>
      </c>
      <c r="I12" s="483">
        <v>263.10020105087011</v>
      </c>
      <c r="J12" s="483">
        <v>274.80497256341425</v>
      </c>
      <c r="K12" s="483">
        <v>273.07094633071569</v>
      </c>
      <c r="L12" s="107">
        <f>SUM(D12:INDEX(D12:K12,0,MATCH('RFPR cover'!$C$7,$D$6:$K$6,0)))</f>
        <v>1831.2665250226623</v>
      </c>
      <c r="M12" s="108">
        <f>SUM(D12:K12)</f>
        <v>2104.3374713533781</v>
      </c>
      <c r="N12" s="63"/>
      <c r="O12" s="63"/>
      <c r="P12" s="323"/>
      <c r="Q12" s="941"/>
      <c r="R12"/>
      <c r="S12" s="65"/>
      <c r="T12"/>
    </row>
    <row r="13" spans="1:23" ht="25.2">
      <c r="A13" s="35"/>
      <c r="B13" s="774" t="s">
        <v>501</v>
      </c>
      <c r="C13" s="155" t="str">
        <f>'RFPR cover'!$C$14</f>
        <v>£m 12/13</v>
      </c>
      <c r="D13" s="484">
        <v>260.44338165260348</v>
      </c>
      <c r="E13" s="485">
        <v>261.35001924358107</v>
      </c>
      <c r="F13" s="485">
        <v>253.02472202307121</v>
      </c>
      <c r="G13" s="485">
        <v>257.57897462476495</v>
      </c>
      <c r="H13" s="485">
        <v>264.82466663941199</v>
      </c>
      <c r="I13" s="485">
        <v>263.14241808881269</v>
      </c>
      <c r="J13" s="654">
        <v>261.3729377805758</v>
      </c>
      <c r="K13" s="485">
        <v>264.11771019517033</v>
      </c>
      <c r="L13" s="105">
        <f>SUM(D13:INDEX(D13:K13,0,MATCH('RFPR cover'!$C$7,$D$6:$K$6,0)))</f>
        <v>1821.7371200528212</v>
      </c>
      <c r="M13" s="106">
        <f>SUM(D13:K13)</f>
        <v>2085.8548302479917</v>
      </c>
      <c r="N13" s="963"/>
      <c r="O13" s="63"/>
      <c r="P13"/>
      <c r="Q13" s="941"/>
      <c r="R13"/>
      <c r="S13" s="65"/>
      <c r="T13"/>
    </row>
    <row r="14" spans="1:23">
      <c r="A14" s="35"/>
      <c r="B14" s="775" t="s">
        <v>195</v>
      </c>
      <c r="C14" s="155" t="str">
        <f>'RFPR cover'!$C$14</f>
        <v>£m 12/13</v>
      </c>
      <c r="D14" s="102">
        <f>D13-D12</f>
        <v>-33.663168082780999</v>
      </c>
      <c r="E14" s="103">
        <f t="shared" ref="E14:M14" si="1">E13-E12</f>
        <v>-34.842718763604012</v>
      </c>
      <c r="F14" s="103">
        <f t="shared" si="1"/>
        <v>2.6618390858704686</v>
      </c>
      <c r="G14" s="103">
        <f t="shared" si="1"/>
        <v>31.259867804625685</v>
      </c>
      <c r="H14" s="103">
        <f t="shared" si="1"/>
        <v>38.444592730943697</v>
      </c>
      <c r="I14" s="103">
        <f t="shared" si="1"/>
        <v>4.2217037942577917E-2</v>
      </c>
      <c r="J14" s="103">
        <f t="shared" si="1"/>
        <v>-13.432034782838457</v>
      </c>
      <c r="K14" s="103">
        <f t="shared" si="1"/>
        <v>-8.9532361355453531</v>
      </c>
      <c r="L14" s="102">
        <f t="shared" si="1"/>
        <v>-9.5294049698411527</v>
      </c>
      <c r="M14" s="104">
        <f t="shared" si="1"/>
        <v>-18.482641105386392</v>
      </c>
      <c r="P14"/>
      <c r="Q14" s="941"/>
      <c r="R14"/>
      <c r="S14" s="65"/>
      <c r="T14"/>
    </row>
    <row r="15" spans="1:23">
      <c r="A15" s="35"/>
      <c r="B15" s="775"/>
      <c r="C15" s="155"/>
      <c r="D15" s="59"/>
      <c r="E15" s="59"/>
      <c r="F15" s="59"/>
      <c r="G15" s="59"/>
      <c r="H15" s="59"/>
      <c r="I15" s="59"/>
      <c r="J15" s="59"/>
      <c r="K15" s="59"/>
      <c r="L15" s="59"/>
      <c r="M15" s="59"/>
      <c r="P15"/>
      <c r="Q15" s="941"/>
      <c r="R15"/>
      <c r="S15" s="65"/>
      <c r="T15"/>
    </row>
    <row r="16" spans="1:23">
      <c r="A16" s="35"/>
      <c r="B16" s="769"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2"/>
      <c r="M16" s="62"/>
      <c r="P16"/>
      <c r="Q16" s="941"/>
      <c r="R16"/>
      <c r="S16" s="65"/>
      <c r="T16"/>
    </row>
    <row r="17" spans="1:20">
      <c r="A17" s="35"/>
      <c r="B17" s="769"/>
      <c r="N17" s="63"/>
      <c r="P17"/>
      <c r="Q17" s="941"/>
      <c r="R17"/>
      <c r="S17" s="65"/>
      <c r="T17"/>
    </row>
    <row r="18" spans="1:20">
      <c r="A18" s="35"/>
      <c r="B18" s="776" t="s">
        <v>183</v>
      </c>
      <c r="C18" s="159" t="str">
        <f>'RFPR cover'!$C$14</f>
        <v>£m 12/13</v>
      </c>
      <c r="D18" s="95">
        <f>D14*D16</f>
        <v>-10.098950424834301</v>
      </c>
      <c r="E18" s="96">
        <f t="shared" ref="E18:K18" si="2">E14*E16</f>
        <v>-10.452815629081204</v>
      </c>
      <c r="F18" s="96">
        <f t="shared" si="2"/>
        <v>0.79855172576114064</v>
      </c>
      <c r="G18" s="96">
        <f t="shared" si="2"/>
        <v>9.3779603413877073</v>
      </c>
      <c r="H18" s="96">
        <f t="shared" si="2"/>
        <v>11.53337781928311</v>
      </c>
      <c r="I18" s="96">
        <f t="shared" si="2"/>
        <v>1.2665111382773377E-2</v>
      </c>
      <c r="J18" s="96">
        <f t="shared" si="2"/>
        <v>-4.0296104348515378</v>
      </c>
      <c r="K18" s="96">
        <f t="shared" si="2"/>
        <v>-2.6859708406636065</v>
      </c>
      <c r="L18" s="95">
        <f>SUM(D18:INDEX(D18:K18,0,MATCH('RFPR cover'!$C$7,$D$6:$K$6,0)))</f>
        <v>-2.8588214909523142</v>
      </c>
      <c r="M18" s="97">
        <f>SUM(D18:K18)</f>
        <v>-5.5447923316159207</v>
      </c>
      <c r="N18" s="63"/>
      <c r="P18"/>
      <c r="Q18" s="941"/>
      <c r="R18"/>
      <c r="S18" s="65"/>
      <c r="T18"/>
    </row>
    <row r="19" spans="1:20">
      <c r="A19" s="35"/>
      <c r="B19" s="776" t="s">
        <v>280</v>
      </c>
      <c r="C19" s="159" t="str">
        <f>'RFPR cover'!$C$14</f>
        <v>£m 12/13</v>
      </c>
      <c r="D19" s="92">
        <f>D14*(1-D16)</f>
        <v>-23.564217657946699</v>
      </c>
      <c r="E19" s="93">
        <f t="shared" ref="E19:K19" si="3">E14*(1-E16)</f>
        <v>-24.389903134522807</v>
      </c>
      <c r="F19" s="93">
        <f t="shared" si="3"/>
        <v>1.8632873601093278</v>
      </c>
      <c r="G19" s="93">
        <f t="shared" si="3"/>
        <v>21.88190746323798</v>
      </c>
      <c r="H19" s="93">
        <f t="shared" si="3"/>
        <v>26.911214911660586</v>
      </c>
      <c r="I19" s="93">
        <f t="shared" si="3"/>
        <v>2.9551926559804539E-2</v>
      </c>
      <c r="J19" s="93">
        <f t="shared" si="3"/>
        <v>-9.4024243479869192</v>
      </c>
      <c r="K19" s="93">
        <f t="shared" si="3"/>
        <v>-6.2672652948817467</v>
      </c>
      <c r="L19" s="92">
        <f>SUM(D19:INDEX(D19:K19,0,MATCH('RFPR cover'!$C$7,$D$6:$K$6,0)))</f>
        <v>-6.6705834788887337</v>
      </c>
      <c r="M19" s="94">
        <f>SUM(D19:K19)</f>
        <v>-12.937848773770479</v>
      </c>
      <c r="N19" s="63"/>
      <c r="P19"/>
      <c r="Q19" s="941"/>
      <c r="R19"/>
      <c r="S19" s="65"/>
      <c r="T19"/>
    </row>
    <row r="20" spans="1:20">
      <c r="A20" s="35"/>
      <c r="B20" s="769"/>
      <c r="J20" s="941"/>
      <c r="K20" s="960"/>
      <c r="L20" s="960"/>
      <c r="M20" s="960"/>
      <c r="N20" s="63"/>
      <c r="P20"/>
      <c r="Q20" s="941"/>
      <c r="R20"/>
      <c r="S20" s="65"/>
      <c r="T20"/>
    </row>
    <row r="21" spans="1:20">
      <c r="A21" s="35"/>
      <c r="B21" s="777" t="s">
        <v>182</v>
      </c>
      <c r="J21" s="941"/>
      <c r="K21" s="960"/>
      <c r="L21" s="960"/>
      <c r="M21" s="960"/>
      <c r="N21" s="63"/>
      <c r="P21"/>
      <c r="Q21" s="941"/>
      <c r="R21"/>
      <c r="S21" s="65"/>
      <c r="T21"/>
    </row>
    <row r="22" spans="1:20">
      <c r="A22" s="269" t="s">
        <v>151</v>
      </c>
      <c r="B22" s="767" t="s">
        <v>616</v>
      </c>
      <c r="C22" s="155" t="str">
        <f>'RFPR cover'!$C$14</f>
        <v>£m 12/13</v>
      </c>
      <c r="D22" s="582">
        <v>0</v>
      </c>
      <c r="E22" s="583">
        <v>13.469733518085491</v>
      </c>
      <c r="F22" s="583">
        <v>-12.736583527773119</v>
      </c>
      <c r="G22" s="583">
        <v>-0.2399611728982512</v>
      </c>
      <c r="H22" s="583">
        <v>0</v>
      </c>
      <c r="I22" s="583">
        <v>0</v>
      </c>
      <c r="J22" s="583">
        <v>0</v>
      </c>
      <c r="K22" s="583">
        <v>0</v>
      </c>
      <c r="L22" s="584">
        <f>SUM(D22:INDEX(D22:K22,0,MATCH('RFPR cover'!$C$7,$D$6:$K$6,0)))</f>
        <v>0.49318881741412052</v>
      </c>
      <c r="M22" s="585">
        <f t="shared" ref="M22:M27" si="4">SUM(D22:K22)</f>
        <v>0.49318881741412052</v>
      </c>
      <c r="N22" s="573" t="s">
        <v>619</v>
      </c>
      <c r="P22"/>
      <c r="Q22" s="941"/>
      <c r="R22"/>
      <c r="S22" s="65"/>
      <c r="T22"/>
    </row>
    <row r="23" spans="1:20">
      <c r="A23" s="269" t="s">
        <v>152</v>
      </c>
      <c r="B23" s="767" t="s">
        <v>617</v>
      </c>
      <c r="C23" s="155" t="str">
        <f>'RFPR cover'!$C$14</f>
        <v>£m 12/13</v>
      </c>
      <c r="D23" s="586">
        <v>0</v>
      </c>
      <c r="E23" s="587">
        <v>0</v>
      </c>
      <c r="F23" s="587">
        <v>-0.54379581414955358</v>
      </c>
      <c r="G23" s="587">
        <v>-0.14530976513400659</v>
      </c>
      <c r="H23" s="587">
        <v>-1.256397810151316</v>
      </c>
      <c r="I23" s="587">
        <v>0.69569554917636012</v>
      </c>
      <c r="J23" s="587">
        <v>0.68365087798296731</v>
      </c>
      <c r="K23" s="587">
        <v>0.5661569622755489</v>
      </c>
      <c r="L23" s="588">
        <f>SUM(D23:INDEX(D23:K23,0,MATCH('RFPR cover'!$C$7,$D$6:$K$6,0)))</f>
        <v>-0.5661569622755489</v>
      </c>
      <c r="M23" s="589">
        <f t="shared" si="4"/>
        <v>0</v>
      </c>
      <c r="N23" s="574" t="s">
        <v>619</v>
      </c>
      <c r="O23"/>
      <c r="P23"/>
      <c r="Q23" s="941"/>
      <c r="R23"/>
      <c r="S23" s="65"/>
      <c r="T23"/>
    </row>
    <row r="24" spans="1:20">
      <c r="A24" s="269" t="s">
        <v>153</v>
      </c>
      <c r="B24" s="767" t="s">
        <v>618</v>
      </c>
      <c r="C24" s="155" t="str">
        <f>'RFPR cover'!$C$14</f>
        <v>£m 12/13</v>
      </c>
      <c r="D24" s="586">
        <v>0</v>
      </c>
      <c r="E24" s="587">
        <v>0</v>
      </c>
      <c r="F24" s="587">
        <v>0</v>
      </c>
      <c r="G24" s="587">
        <v>0</v>
      </c>
      <c r="H24" s="587">
        <v>0</v>
      </c>
      <c r="I24" s="587">
        <v>0</v>
      </c>
      <c r="J24" s="587">
        <v>1.0421624529981552</v>
      </c>
      <c r="K24" s="587">
        <v>2.4806933092734864</v>
      </c>
      <c r="L24" s="588">
        <f>SUM(D24:INDEX(D24:K24,0,MATCH('RFPR cover'!$C$7,$D$6:$K$6,0)))</f>
        <v>1.0421624529981552</v>
      </c>
      <c r="M24" s="589">
        <f t="shared" si="4"/>
        <v>3.5228557622716417</v>
      </c>
      <c r="N24" s="574" t="s">
        <v>619</v>
      </c>
      <c r="O24"/>
      <c r="P24" s="323"/>
      <c r="Q24" s="941"/>
      <c r="R24"/>
      <c r="S24" s="65"/>
      <c r="T24"/>
    </row>
    <row r="25" spans="1:20">
      <c r="A25" s="269" t="s">
        <v>168</v>
      </c>
      <c r="B25" s="767" t="s">
        <v>637</v>
      </c>
      <c r="C25" s="155" t="str">
        <f>'RFPR cover'!$C$14</f>
        <v>£m 12/13</v>
      </c>
      <c r="D25" s="586">
        <v>0</v>
      </c>
      <c r="E25" s="587">
        <v>0</v>
      </c>
      <c r="F25" s="587">
        <v>0</v>
      </c>
      <c r="G25" s="587">
        <v>0</v>
      </c>
      <c r="H25" s="587">
        <v>0</v>
      </c>
      <c r="I25" s="587">
        <v>0</v>
      </c>
      <c r="J25" s="587">
        <v>0</v>
      </c>
      <c r="K25" s="587">
        <v>0</v>
      </c>
      <c r="L25" s="588">
        <f>SUM(D25:INDEX(D25:K25,0,MATCH('RFPR cover'!$C$7,$D$6:$K$6,0)))</f>
        <v>0</v>
      </c>
      <c r="M25" s="589">
        <f t="shared" si="4"/>
        <v>0</v>
      </c>
      <c r="N25" s="574" t="s">
        <v>619</v>
      </c>
      <c r="O25"/>
      <c r="P25" s="323"/>
      <c r="Q25"/>
      <c r="R25"/>
      <c r="S25"/>
      <c r="T25"/>
    </row>
    <row r="26" spans="1:20">
      <c r="A26" s="269" t="s">
        <v>169</v>
      </c>
      <c r="B26" s="767" t="s">
        <v>242</v>
      </c>
      <c r="C26" s="155" t="str">
        <f>'RFPR cover'!$C$14</f>
        <v>£m 12/13</v>
      </c>
      <c r="D26" s="586">
        <v>0</v>
      </c>
      <c r="E26" s="587">
        <v>0</v>
      </c>
      <c r="F26" s="587">
        <v>0</v>
      </c>
      <c r="G26" s="587">
        <v>0</v>
      </c>
      <c r="H26" s="587">
        <v>0</v>
      </c>
      <c r="I26" s="587">
        <v>0</v>
      </c>
      <c r="J26" s="587">
        <v>0</v>
      </c>
      <c r="K26" s="587">
        <v>0</v>
      </c>
      <c r="L26" s="588">
        <f>SUM(D26:INDEX(D26:K26,0,MATCH('RFPR cover'!$C$7,$D$6:$K$6,0)))</f>
        <v>0</v>
      </c>
      <c r="M26" s="589">
        <f t="shared" si="4"/>
        <v>0</v>
      </c>
      <c r="N26" s="574"/>
      <c r="O26"/>
      <c r="P26"/>
      <c r="Q26"/>
      <c r="R26"/>
      <c r="S26"/>
      <c r="T26"/>
    </row>
    <row r="27" spans="1:20">
      <c r="A27" s="269" t="s">
        <v>170</v>
      </c>
      <c r="B27" s="767" t="s">
        <v>242</v>
      </c>
      <c r="C27" s="155" t="str">
        <f>'RFPR cover'!$C$14</f>
        <v>£m 12/13</v>
      </c>
      <c r="D27" s="590">
        <v>0</v>
      </c>
      <c r="E27" s="591">
        <v>0</v>
      </c>
      <c r="F27" s="591">
        <v>0</v>
      </c>
      <c r="G27" s="591">
        <v>0</v>
      </c>
      <c r="H27" s="591">
        <v>0</v>
      </c>
      <c r="I27" s="591">
        <v>0</v>
      </c>
      <c r="J27" s="591">
        <v>0</v>
      </c>
      <c r="K27" s="591">
        <v>0</v>
      </c>
      <c r="L27" s="592">
        <f>SUM(D27:INDEX(D27:K27,0,MATCH('RFPR cover'!$C$7,$D$6:$K$6,0)))</f>
        <v>0</v>
      </c>
      <c r="M27" s="593">
        <f t="shared" si="4"/>
        <v>0</v>
      </c>
      <c r="N27" s="575"/>
      <c r="O27"/>
      <c r="P27"/>
      <c r="Q27"/>
      <c r="R27"/>
      <c r="S27"/>
      <c r="T27"/>
    </row>
    <row r="28" spans="1:20">
      <c r="A28" s="35"/>
      <c r="B28" s="777" t="s">
        <v>190</v>
      </c>
      <c r="C28" s="155" t="str">
        <f>'RFPR cover'!$C$14</f>
        <v>£m 12/13</v>
      </c>
      <c r="D28" s="102">
        <f>SUM(D22:D27)</f>
        <v>0</v>
      </c>
      <c r="E28" s="103">
        <f t="shared" ref="E28:K28" si="5">SUM(E22:E27)</f>
        <v>13.469733518085491</v>
      </c>
      <c r="F28" s="103">
        <f t="shared" si="5"/>
        <v>-13.280379341922673</v>
      </c>
      <c r="G28" s="103">
        <f t="shared" si="5"/>
        <v>-0.38527093803225776</v>
      </c>
      <c r="H28" s="103">
        <f t="shared" si="5"/>
        <v>-1.256397810151316</v>
      </c>
      <c r="I28" s="103">
        <f t="shared" si="5"/>
        <v>0.69569554917636012</v>
      </c>
      <c r="J28" s="103">
        <f t="shared" si="5"/>
        <v>1.7258133309811226</v>
      </c>
      <c r="K28" s="103">
        <f t="shared" si="5"/>
        <v>3.0468502715490353</v>
      </c>
      <c r="L28" s="102">
        <f>SUM(D28:INDEX(D28:K28,0,MATCH('RFPR cover'!$C$7,$D$6:$K$6,0)))</f>
        <v>0.96919430813672625</v>
      </c>
      <c r="M28" s="104">
        <f>SUM(D28:K28)</f>
        <v>4.0160445796857616</v>
      </c>
      <c r="N28" s="63"/>
    </row>
    <row r="29" spans="1:20">
      <c r="A29" s="35"/>
      <c r="B29" s="769"/>
    </row>
    <row r="30" spans="1:20">
      <c r="A30" s="35"/>
      <c r="B30" s="776" t="s">
        <v>198</v>
      </c>
      <c r="C30" s="159" t="str">
        <f>'RFPR cover'!$C$14</f>
        <v>£m 12/13</v>
      </c>
      <c r="D30" s="95">
        <f t="shared" ref="D30:K30" si="6">D28*D16</f>
        <v>0</v>
      </c>
      <c r="E30" s="96">
        <f t="shared" si="6"/>
        <v>4.0409200554256479</v>
      </c>
      <c r="F30" s="96">
        <f t="shared" si="6"/>
        <v>-3.9841138025768026</v>
      </c>
      <c r="G30" s="96">
        <f t="shared" si="6"/>
        <v>-0.11558128140967734</v>
      </c>
      <c r="H30" s="96">
        <f t="shared" si="6"/>
        <v>-0.37691934304539487</v>
      </c>
      <c r="I30" s="96">
        <f t="shared" si="6"/>
        <v>0.20870866475290806</v>
      </c>
      <c r="J30" s="96">
        <f t="shared" si="6"/>
        <v>0.51774399929433679</v>
      </c>
      <c r="K30" s="96">
        <f t="shared" si="6"/>
        <v>0.91405508146471071</v>
      </c>
      <c r="L30" s="95">
        <f>SUM(D30:INDEX(D30:K30,0,MATCH('RFPR cover'!$C$7,$D$6:$K$6,0)))</f>
        <v>0.29075829244101797</v>
      </c>
      <c r="M30" s="97">
        <f>SUM(D30:K30)</f>
        <v>1.2048133739057287</v>
      </c>
    </row>
    <row r="31" spans="1:20">
      <c r="A31" s="35"/>
      <c r="B31" s="776" t="s">
        <v>309</v>
      </c>
      <c r="C31" s="159" t="str">
        <f>'RFPR cover'!$C$14</f>
        <v>£m 12/13</v>
      </c>
      <c r="D31" s="92">
        <f t="shared" ref="D31:K31" si="7">D28*(1-D16)</f>
        <v>0</v>
      </c>
      <c r="E31" s="93">
        <f t="shared" si="7"/>
        <v>9.4288134626598428</v>
      </c>
      <c r="F31" s="93">
        <f t="shared" si="7"/>
        <v>-9.2962655393458711</v>
      </c>
      <c r="G31" s="93">
        <f t="shared" si="7"/>
        <v>-0.26968965662258043</v>
      </c>
      <c r="H31" s="93">
        <f t="shared" si="7"/>
        <v>-0.87947846710592115</v>
      </c>
      <c r="I31" s="93">
        <f t="shared" si="7"/>
        <v>0.48698688442345206</v>
      </c>
      <c r="J31" s="93">
        <f t="shared" si="7"/>
        <v>1.2080693316867857</v>
      </c>
      <c r="K31" s="93">
        <f t="shared" si="7"/>
        <v>2.1327951900843245</v>
      </c>
      <c r="L31" s="92">
        <f>SUM(D31:INDEX(D31:K31,0,MATCH('RFPR cover'!$C$7,$D$6:$K$6,0)))</f>
        <v>0.67843601569570777</v>
      </c>
      <c r="M31" s="94">
        <f>SUM(D31:K31)</f>
        <v>2.8112312057800324</v>
      </c>
    </row>
    <row r="32" spans="1:20">
      <c r="A32" s="35"/>
      <c r="B32" s="769"/>
    </row>
    <row r="33" spans="1:20">
      <c r="A33" s="35"/>
      <c r="B33" s="777" t="s">
        <v>181</v>
      </c>
    </row>
    <row r="34" spans="1:20">
      <c r="A34" s="35"/>
      <c r="B34" s="769" t="s">
        <v>180</v>
      </c>
      <c r="C34" s="155" t="str">
        <f>'RFPR cover'!$C$14</f>
        <v>£m 12/13</v>
      </c>
      <c r="D34" s="95">
        <f>D18+D30</f>
        <v>-10.098950424834301</v>
      </c>
      <c r="E34" s="96">
        <f t="shared" ref="E34:K34" si="8">E18+E30</f>
        <v>-6.4118955736555563</v>
      </c>
      <c r="F34" s="96">
        <f t="shared" si="8"/>
        <v>-3.1855620768156618</v>
      </c>
      <c r="G34" s="96">
        <f t="shared" si="8"/>
        <v>9.2623790599780307</v>
      </c>
      <c r="H34" s="96">
        <f t="shared" si="8"/>
        <v>11.156458476237715</v>
      </c>
      <c r="I34" s="96">
        <f t="shared" si="8"/>
        <v>0.22137377613568143</v>
      </c>
      <c r="J34" s="96">
        <f t="shared" si="8"/>
        <v>-3.5118664355572009</v>
      </c>
      <c r="K34" s="96">
        <f t="shared" si="8"/>
        <v>-1.7719157591988957</v>
      </c>
      <c r="L34" s="95">
        <f>SUM(D34:INDEX(D34:K34,0,MATCH('RFPR cover'!$C$7,$D$6:$K$6,0)))</f>
        <v>-2.5680631985112905</v>
      </c>
      <c r="M34" s="97">
        <f>SUM(D34:K34)</f>
        <v>-4.3399789577101862</v>
      </c>
    </row>
    <row r="35" spans="1:20">
      <c r="A35" s="35"/>
      <c r="B35" s="769" t="s">
        <v>280</v>
      </c>
      <c r="C35" s="155" t="str">
        <f>'RFPR cover'!$C$14</f>
        <v>£m 12/13</v>
      </c>
      <c r="D35" s="98">
        <f>D19+D31</f>
        <v>-23.564217657946699</v>
      </c>
      <c r="E35" s="99">
        <f t="shared" ref="E35:K35" si="9">E19+E31</f>
        <v>-14.961089671862965</v>
      </c>
      <c r="F35" s="99">
        <f t="shared" si="9"/>
        <v>-7.4329781792365432</v>
      </c>
      <c r="G35" s="99">
        <f t="shared" si="9"/>
        <v>21.612217806615398</v>
      </c>
      <c r="H35" s="99">
        <f t="shared" si="9"/>
        <v>26.031736444554664</v>
      </c>
      <c r="I35" s="99">
        <f t="shared" si="9"/>
        <v>0.5165388109832566</v>
      </c>
      <c r="J35" s="99">
        <f t="shared" si="9"/>
        <v>-8.1943550163001326</v>
      </c>
      <c r="K35" s="99">
        <f t="shared" si="9"/>
        <v>-4.1344701047974226</v>
      </c>
      <c r="L35" s="98">
        <f>SUM(D35:INDEX(D35:K35,0,MATCH('RFPR cover'!$C$7,$D$6:$K$6,0)))</f>
        <v>-5.9921474631930209</v>
      </c>
      <c r="M35" s="100">
        <f>SUM(D35:K35)</f>
        <v>-10.126617567990444</v>
      </c>
    </row>
    <row r="36" spans="1:20">
      <c r="A36" s="35"/>
      <c r="B36" s="777" t="s">
        <v>11</v>
      </c>
      <c r="C36" s="156" t="str">
        <f>'RFPR cover'!$C$14</f>
        <v>£m 12/13</v>
      </c>
      <c r="D36" s="139">
        <f>SUM(D34:D35)</f>
        <v>-33.663168082780999</v>
      </c>
      <c r="E36" s="140">
        <f t="shared" ref="E36:K36" si="10">SUM(E34:E35)</f>
        <v>-21.372985245518521</v>
      </c>
      <c r="F36" s="140">
        <f t="shared" si="10"/>
        <v>-10.618540256052205</v>
      </c>
      <c r="G36" s="140">
        <f t="shared" si="10"/>
        <v>30.874596866593429</v>
      </c>
      <c r="H36" s="140">
        <f t="shared" si="10"/>
        <v>37.188194920792377</v>
      </c>
      <c r="I36" s="140">
        <f t="shared" si="10"/>
        <v>0.73791258711893803</v>
      </c>
      <c r="J36" s="140">
        <f t="shared" si="10"/>
        <v>-11.706221451857333</v>
      </c>
      <c r="K36" s="140">
        <f t="shared" si="10"/>
        <v>-5.9063858639963183</v>
      </c>
      <c r="L36" s="139">
        <f>SUM(D36:INDEX(D36:K36,0,MATCH('RFPR cover'!$C$7,$D$6:$K$6,0)))</f>
        <v>-8.5602106617043088</v>
      </c>
      <c r="M36" s="141">
        <f>SUM(D36:K36)</f>
        <v>-14.466596525700627</v>
      </c>
    </row>
    <row r="37" spans="1:20">
      <c r="A37" s="35"/>
      <c r="B37" s="769"/>
    </row>
    <row r="38" spans="1:20">
      <c r="A38" s="35"/>
      <c r="B38" s="772" t="str">
        <f>Data!B51</f>
        <v>n/a</v>
      </c>
      <c r="C38" s="150"/>
      <c r="D38" s="82"/>
      <c r="E38" s="82"/>
      <c r="F38" s="82"/>
      <c r="G38" s="82"/>
      <c r="H38" s="82"/>
      <c r="I38" s="82"/>
      <c r="J38" s="82"/>
      <c r="K38" s="82"/>
      <c r="L38" s="82"/>
      <c r="M38" s="82"/>
      <c r="N38" s="82"/>
    </row>
    <row r="39" spans="1:20" s="35" customFormat="1">
      <c r="B39" s="770"/>
      <c r="C39" s="138"/>
      <c r="D39" s="320"/>
      <c r="E39" s="320"/>
      <c r="F39" s="320"/>
      <c r="G39" s="320"/>
      <c r="H39" s="320"/>
      <c r="I39" s="320"/>
      <c r="J39" s="320"/>
      <c r="K39" s="320"/>
      <c r="L39" s="320"/>
      <c r="M39" s="320"/>
      <c r="N39" s="320"/>
    </row>
    <row r="40" spans="1:20">
      <c r="A40" s="35"/>
      <c r="B40" s="305" t="s">
        <v>34</v>
      </c>
      <c r="C40" s="155" t="str">
        <f>'RFPR cover'!$C$14</f>
        <v>£m 12/13</v>
      </c>
      <c r="D40" s="649"/>
      <c r="E40" s="650"/>
      <c r="F40" s="650"/>
      <c r="G40" s="650"/>
      <c r="H40" s="650"/>
      <c r="I40" s="650"/>
      <c r="J40" s="650"/>
      <c r="K40" s="650"/>
      <c r="L40" s="651">
        <f>SUM(D40:INDEX(D40:K40,0,MATCH('RFPR cover'!$C$7,$D$6:$K$6,0)))</f>
        <v>0</v>
      </c>
      <c r="M40" s="652">
        <f>SUM(D40:K40)</f>
        <v>0</v>
      </c>
      <c r="N40" s="352"/>
      <c r="O40" s="63"/>
    </row>
    <row r="41" spans="1:20" ht="25.2">
      <c r="A41" s="35"/>
      <c r="B41" s="774" t="s">
        <v>501</v>
      </c>
      <c r="C41" s="155" t="str">
        <f>'RFPR cover'!$C$14</f>
        <v>£m 12/13</v>
      </c>
      <c r="D41" s="653"/>
      <c r="E41" s="654"/>
      <c r="F41" s="654"/>
      <c r="G41" s="654"/>
      <c r="H41" s="654"/>
      <c r="I41" s="654"/>
      <c r="J41" s="654"/>
      <c r="K41" s="654"/>
      <c r="L41" s="655">
        <f>SUM(D41:INDEX(D41:K41,0,MATCH('RFPR cover'!$C$7,$D$6:$K$6,0)))</f>
        <v>0</v>
      </c>
      <c r="M41" s="656">
        <f>SUM(D41:K41)</f>
        <v>0</v>
      </c>
      <c r="N41" s="352"/>
      <c r="O41" s="63"/>
    </row>
    <row r="42" spans="1:20">
      <c r="A42" s="35"/>
      <c r="B42" s="775"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1034"/>
      <c r="P42" s="1034"/>
      <c r="Q42" s="1034"/>
      <c r="R42"/>
      <c r="S42"/>
      <c r="T42"/>
    </row>
    <row r="43" spans="1:20" ht="13.2">
      <c r="A43" s="35"/>
      <c r="B43" s="775"/>
      <c r="C43" s="155"/>
      <c r="D43" s="59"/>
      <c r="E43" s="59"/>
      <c r="F43" s="59"/>
      <c r="G43" s="59"/>
      <c r="H43" s="59"/>
      <c r="I43" s="59"/>
      <c r="J43" s="59"/>
      <c r="K43" s="59"/>
      <c r="L43" s="59"/>
      <c r="M43" s="59"/>
      <c r="N43" s="349"/>
      <c r="O43" s="64"/>
      <c r="P43" s="64"/>
      <c r="Q43" s="64"/>
      <c r="R43"/>
      <c r="S43"/>
      <c r="T43"/>
    </row>
    <row r="44" spans="1:20">
      <c r="A44" s="35"/>
      <c r="B44" s="769"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2"/>
      <c r="M44" s="62"/>
      <c r="N44" s="350"/>
      <c r="O44"/>
      <c r="P44"/>
      <c r="Q44"/>
      <c r="R44"/>
      <c r="S44"/>
      <c r="T44"/>
    </row>
    <row r="45" spans="1:20">
      <c r="A45" s="35"/>
      <c r="B45" s="769"/>
      <c r="N45" s="351"/>
      <c r="O45"/>
      <c r="P45"/>
      <c r="Q45"/>
      <c r="R45"/>
      <c r="S45"/>
      <c r="T45"/>
    </row>
    <row r="46" spans="1:20">
      <c r="A46" s="35"/>
      <c r="B46" s="776"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6">
        <f>SUM(D46:K46)</f>
        <v>0</v>
      </c>
      <c r="N46" s="353"/>
      <c r="O46"/>
      <c r="P46"/>
      <c r="Q46"/>
      <c r="R46"/>
      <c r="S46"/>
      <c r="T46"/>
    </row>
    <row r="47" spans="1:20">
      <c r="A47" s="35"/>
      <c r="B47" s="776" t="s">
        <v>280</v>
      </c>
      <c r="C47" s="159" t="str">
        <f>'RFPR cover'!$C$14</f>
        <v>£m 12/13</v>
      </c>
      <c r="D47" s="578">
        <f>D42*(1-D44)</f>
        <v>0</v>
      </c>
      <c r="E47" s="579">
        <f t="shared" ref="E47:K47" si="13">E42*(1-E44)</f>
        <v>0</v>
      </c>
      <c r="F47" s="579">
        <f t="shared" si="13"/>
        <v>0</v>
      </c>
      <c r="G47" s="579">
        <f t="shared" si="13"/>
        <v>0</v>
      </c>
      <c r="H47" s="579">
        <f t="shared" si="13"/>
        <v>0</v>
      </c>
      <c r="I47" s="579">
        <f t="shared" si="13"/>
        <v>0</v>
      </c>
      <c r="J47" s="579">
        <f t="shared" si="13"/>
        <v>0</v>
      </c>
      <c r="K47" s="579">
        <f t="shared" si="13"/>
        <v>0</v>
      </c>
      <c r="L47" s="580">
        <f>SUM(D47:INDEX(D47:K47,0,MATCH('RFPR cover'!$C$7,$D$6:$K$6,0)))</f>
        <v>0</v>
      </c>
      <c r="M47" s="581">
        <f>SUM(D47:K47)</f>
        <v>0</v>
      </c>
      <c r="N47" s="353"/>
      <c r="O47"/>
      <c r="P47"/>
      <c r="Q47"/>
      <c r="R47"/>
      <c r="S47"/>
      <c r="T47"/>
    </row>
    <row r="48" spans="1:20">
      <c r="A48" s="35"/>
      <c r="B48" s="769"/>
      <c r="N48" s="351"/>
      <c r="O48"/>
      <c r="P48"/>
      <c r="Q48"/>
      <c r="R48"/>
      <c r="S48"/>
      <c r="T48"/>
    </row>
    <row r="49" spans="1:20">
      <c r="A49" s="35"/>
      <c r="B49" s="777" t="s">
        <v>182</v>
      </c>
      <c r="N49" s="351"/>
      <c r="O49"/>
      <c r="P49"/>
      <c r="Q49"/>
      <c r="R49"/>
      <c r="S49"/>
      <c r="T49"/>
    </row>
    <row r="50" spans="1:20">
      <c r="A50" s="269" t="s">
        <v>151</v>
      </c>
      <c r="B50" s="767" t="s">
        <v>242</v>
      </c>
      <c r="C50" s="155" t="str">
        <f>'RFPR cover'!$C$14</f>
        <v>£m 12/13</v>
      </c>
      <c r="D50" s="582"/>
      <c r="E50" s="583"/>
      <c r="F50" s="583"/>
      <c r="G50" s="583"/>
      <c r="H50" s="583"/>
      <c r="I50" s="583"/>
      <c r="J50" s="583"/>
      <c r="K50" s="583"/>
      <c r="L50" s="657">
        <f>SUM(D50:INDEX(D50:K50,0,MATCH('RFPR cover'!$C$7,$D$6:$K$6,0)))</f>
        <v>0</v>
      </c>
      <c r="M50" s="658">
        <f t="shared" ref="M50:M56" si="14">SUM(D50:K50)</f>
        <v>0</v>
      </c>
      <c r="N50" s="573"/>
      <c r="O50"/>
      <c r="P50"/>
      <c r="Q50"/>
      <c r="R50"/>
      <c r="S50"/>
      <c r="T50"/>
    </row>
    <row r="51" spans="1:20">
      <c r="A51" s="269" t="s">
        <v>152</v>
      </c>
      <c r="B51" s="767" t="s">
        <v>242</v>
      </c>
      <c r="C51" s="155" t="str">
        <f>'RFPR cover'!$C$14</f>
        <v>£m 12/13</v>
      </c>
      <c r="D51" s="586"/>
      <c r="E51" s="587"/>
      <c r="F51" s="587"/>
      <c r="G51" s="587"/>
      <c r="H51" s="587"/>
      <c r="I51" s="587"/>
      <c r="J51" s="587"/>
      <c r="K51" s="587"/>
      <c r="L51" s="659">
        <f>SUM(D51:INDEX(D51:K51,0,MATCH('RFPR cover'!$C$7,$D$6:$K$6,0)))</f>
        <v>0</v>
      </c>
      <c r="M51" s="660">
        <f t="shared" si="14"/>
        <v>0</v>
      </c>
      <c r="N51" s="574"/>
      <c r="O51"/>
      <c r="P51"/>
      <c r="Q51"/>
      <c r="R51"/>
      <c r="S51"/>
      <c r="T51"/>
    </row>
    <row r="52" spans="1:20">
      <c r="A52" s="269" t="s">
        <v>153</v>
      </c>
      <c r="B52" s="767" t="s">
        <v>242</v>
      </c>
      <c r="C52" s="155" t="str">
        <f>'RFPR cover'!$C$14</f>
        <v>£m 12/13</v>
      </c>
      <c r="D52" s="586"/>
      <c r="E52" s="587"/>
      <c r="F52" s="587"/>
      <c r="G52" s="587"/>
      <c r="H52" s="587"/>
      <c r="I52" s="587"/>
      <c r="J52" s="587"/>
      <c r="K52" s="587"/>
      <c r="L52" s="659">
        <f>SUM(D52:INDEX(D52:K52,0,MATCH('RFPR cover'!$C$7,$D$6:$K$6,0)))</f>
        <v>0</v>
      </c>
      <c r="M52" s="660">
        <f t="shared" si="14"/>
        <v>0</v>
      </c>
      <c r="N52" s="574"/>
      <c r="O52"/>
      <c r="P52"/>
      <c r="Q52"/>
      <c r="R52"/>
      <c r="S52" s="65"/>
      <c r="T52"/>
    </row>
    <row r="53" spans="1:20">
      <c r="A53" s="269" t="s">
        <v>168</v>
      </c>
      <c r="B53" s="767" t="s">
        <v>242</v>
      </c>
      <c r="C53" s="155" t="str">
        <f>'RFPR cover'!$C$14</f>
        <v>£m 12/13</v>
      </c>
      <c r="D53" s="586"/>
      <c r="E53" s="587"/>
      <c r="F53" s="587"/>
      <c r="G53" s="587"/>
      <c r="H53" s="587"/>
      <c r="I53" s="587"/>
      <c r="J53" s="587"/>
      <c r="K53" s="587"/>
      <c r="L53" s="659">
        <f>SUM(D53:INDEX(D53:K53,0,MATCH('RFPR cover'!$C$7,$D$6:$K$6,0)))</f>
        <v>0</v>
      </c>
      <c r="M53" s="660">
        <f t="shared" si="14"/>
        <v>0</v>
      </c>
      <c r="N53" s="574"/>
      <c r="O53"/>
      <c r="P53"/>
      <c r="Q53"/>
      <c r="R53"/>
      <c r="S53"/>
      <c r="T53"/>
    </row>
    <row r="54" spans="1:20">
      <c r="A54" s="269" t="s">
        <v>169</v>
      </c>
      <c r="B54" s="767" t="s">
        <v>242</v>
      </c>
      <c r="C54" s="155" t="str">
        <f>'RFPR cover'!$C$14</f>
        <v>£m 12/13</v>
      </c>
      <c r="D54" s="586"/>
      <c r="E54" s="587"/>
      <c r="F54" s="587"/>
      <c r="G54" s="587"/>
      <c r="H54" s="587"/>
      <c r="I54" s="587"/>
      <c r="J54" s="587"/>
      <c r="K54" s="587"/>
      <c r="L54" s="659">
        <f>SUM(D54:INDEX(D54:K54,0,MATCH('RFPR cover'!$C$7,$D$6:$K$6,0)))</f>
        <v>0</v>
      </c>
      <c r="M54" s="660">
        <f t="shared" si="14"/>
        <v>0</v>
      </c>
      <c r="N54" s="574"/>
      <c r="O54"/>
      <c r="P54"/>
      <c r="Q54"/>
      <c r="R54"/>
      <c r="S54"/>
      <c r="T54"/>
    </row>
    <row r="55" spans="1:20">
      <c r="A55" s="269" t="s">
        <v>170</v>
      </c>
      <c r="B55" s="767" t="s">
        <v>242</v>
      </c>
      <c r="C55" s="155" t="str">
        <f>'RFPR cover'!$C$14</f>
        <v>£m 12/13</v>
      </c>
      <c r="D55" s="590"/>
      <c r="E55" s="591"/>
      <c r="F55" s="591"/>
      <c r="G55" s="591"/>
      <c r="H55" s="591"/>
      <c r="I55" s="591"/>
      <c r="J55" s="591"/>
      <c r="K55" s="591"/>
      <c r="L55" s="661">
        <f>SUM(D55:INDEX(D55:K55,0,MATCH('RFPR cover'!$C$7,$D$6:$K$6,0)))</f>
        <v>0</v>
      </c>
      <c r="M55" s="662">
        <f t="shared" si="14"/>
        <v>0</v>
      </c>
      <c r="N55" s="575"/>
      <c r="O55"/>
      <c r="P55"/>
      <c r="Q55"/>
      <c r="R55"/>
      <c r="S55"/>
      <c r="T55"/>
    </row>
    <row r="56" spans="1:20">
      <c r="A56" s="35"/>
      <c r="B56" s="777"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69"/>
      <c r="N57" s="351"/>
    </row>
    <row r="58" spans="1:20">
      <c r="A58" s="35"/>
      <c r="B58" s="776"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6">
        <f>SUM(D58:K58)</f>
        <v>0</v>
      </c>
      <c r="N58" s="353"/>
    </row>
    <row r="59" spans="1:20">
      <c r="A59" s="35"/>
      <c r="B59" s="776" t="s">
        <v>309</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7">
        <f>SUM(D59:K59)</f>
        <v>0</v>
      </c>
      <c r="N59" s="353"/>
    </row>
    <row r="60" spans="1:20">
      <c r="A60" s="35"/>
      <c r="B60" s="769"/>
      <c r="N60" s="351"/>
    </row>
    <row r="61" spans="1:20">
      <c r="A61" s="35"/>
      <c r="B61" s="777" t="s">
        <v>181</v>
      </c>
      <c r="N61" s="351"/>
    </row>
    <row r="62" spans="1:20">
      <c r="A62" s="35"/>
      <c r="B62" s="769"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6">
        <f>SUM(D62:K62)</f>
        <v>0</v>
      </c>
      <c r="N62" s="353"/>
    </row>
    <row r="63" spans="1:20">
      <c r="A63" s="35"/>
      <c r="B63" s="769" t="s">
        <v>280</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7">
        <f>SUM(D63:K63)</f>
        <v>0</v>
      </c>
      <c r="N63" s="353"/>
    </row>
    <row r="64" spans="1:20">
      <c r="A64" s="35"/>
      <c r="B64" s="777"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77"/>
      <c r="C65" s="156"/>
      <c r="D65" s="156"/>
      <c r="E65" s="156"/>
      <c r="F65" s="156"/>
      <c r="G65" s="156"/>
      <c r="H65" s="156"/>
      <c r="I65" s="156"/>
      <c r="J65" s="156"/>
      <c r="K65" s="156"/>
      <c r="L65" s="156"/>
      <c r="M65" s="156"/>
    </row>
    <row r="66" spans="1:20">
      <c r="A66" s="35"/>
      <c r="B66" s="772" t="s">
        <v>257</v>
      </c>
      <c r="C66" s="150"/>
      <c r="D66" s="82"/>
      <c r="E66" s="82"/>
      <c r="F66" s="82"/>
      <c r="G66" s="82"/>
      <c r="H66" s="82"/>
      <c r="I66" s="82"/>
      <c r="J66" s="82"/>
      <c r="K66" s="82"/>
      <c r="L66" s="82"/>
      <c r="M66" s="82"/>
      <c r="N66" s="82"/>
    </row>
    <row r="67" spans="1:20">
      <c r="A67" s="35"/>
      <c r="B67" s="769"/>
      <c r="O67"/>
      <c r="P67"/>
      <c r="Q67"/>
      <c r="R67"/>
      <c r="S67"/>
      <c r="T67"/>
    </row>
    <row r="68" spans="1:20">
      <c r="A68" s="35"/>
      <c r="B68" s="777" t="s">
        <v>181</v>
      </c>
    </row>
    <row r="69" spans="1:20">
      <c r="A69" s="35"/>
      <c r="B69" s="769" t="s">
        <v>180</v>
      </c>
      <c r="C69" s="155" t="str">
        <f>'RFPR cover'!$C$14</f>
        <v>£m 12/13</v>
      </c>
      <c r="D69" s="95">
        <f>D34+D62</f>
        <v>-10.098950424834301</v>
      </c>
      <c r="E69" s="96">
        <f t="shared" ref="E69:K69" si="21">E34+E62</f>
        <v>-6.4118955736555563</v>
      </c>
      <c r="F69" s="96">
        <f t="shared" si="21"/>
        <v>-3.1855620768156618</v>
      </c>
      <c r="G69" s="96">
        <f t="shared" si="21"/>
        <v>9.2623790599780307</v>
      </c>
      <c r="H69" s="96">
        <f t="shared" si="21"/>
        <v>11.156458476237715</v>
      </c>
      <c r="I69" s="96">
        <f t="shared" si="21"/>
        <v>0.22137377613568143</v>
      </c>
      <c r="J69" s="96">
        <f t="shared" si="21"/>
        <v>-3.5118664355572009</v>
      </c>
      <c r="K69" s="96">
        <f t="shared" si="21"/>
        <v>-1.7719157591988957</v>
      </c>
      <c r="L69" s="95">
        <f>SUM(D69:INDEX(D69:K69,0,MATCH('RFPR cover'!$C$7,$D$6:$K$6,0)))</f>
        <v>-2.5680631985112905</v>
      </c>
      <c r="M69" s="97">
        <f>SUM(D69:K69)</f>
        <v>-4.3399789577101862</v>
      </c>
    </row>
    <row r="70" spans="1:20">
      <c r="A70" s="35"/>
      <c r="B70" s="769" t="s">
        <v>280</v>
      </c>
      <c r="C70" s="155" t="str">
        <f>'RFPR cover'!$C$14</f>
        <v>£m 12/13</v>
      </c>
      <c r="D70" s="520">
        <f t="shared" ref="D70:K70" si="22">D35+D63</f>
        <v>-23.564217657946699</v>
      </c>
      <c r="E70" s="521">
        <f t="shared" si="22"/>
        <v>-14.961089671862965</v>
      </c>
      <c r="F70" s="521">
        <f t="shared" si="22"/>
        <v>-7.4329781792365432</v>
      </c>
      <c r="G70" s="521">
        <f t="shared" si="22"/>
        <v>21.612217806615398</v>
      </c>
      <c r="H70" s="521">
        <f t="shared" si="22"/>
        <v>26.031736444554664</v>
      </c>
      <c r="I70" s="521">
        <f t="shared" si="22"/>
        <v>0.5165388109832566</v>
      </c>
      <c r="J70" s="521">
        <f t="shared" si="22"/>
        <v>-8.1943550163001326</v>
      </c>
      <c r="K70" s="521">
        <f t="shared" si="22"/>
        <v>-4.1344701047974226</v>
      </c>
      <c r="L70" s="520">
        <f>SUM(D70:INDEX(D70:K70,0,MATCH('RFPR cover'!$C$7,$D$6:$K$6,0)))</f>
        <v>-5.9921474631930209</v>
      </c>
      <c r="M70" s="522">
        <f>SUM(D70:K70)</f>
        <v>-10.126617567990444</v>
      </c>
    </row>
    <row r="71" spans="1:20">
      <c r="A71" s="35"/>
      <c r="B71" s="777" t="s">
        <v>11</v>
      </c>
      <c r="C71" s="156" t="str">
        <f>'RFPR cover'!$C$14</f>
        <v>£m 12/13</v>
      </c>
      <c r="D71" s="145">
        <f>SUM(D69:D70)</f>
        <v>-33.663168082780999</v>
      </c>
      <c r="E71" s="146">
        <f t="shared" ref="E71:K71" si="23">SUM(E69:E70)</f>
        <v>-21.372985245518521</v>
      </c>
      <c r="F71" s="146">
        <f t="shared" si="23"/>
        <v>-10.618540256052205</v>
      </c>
      <c r="G71" s="146">
        <f t="shared" si="23"/>
        <v>30.874596866593429</v>
      </c>
      <c r="H71" s="146">
        <f t="shared" si="23"/>
        <v>37.188194920792377</v>
      </c>
      <c r="I71" s="146">
        <f t="shared" si="23"/>
        <v>0.73791258711893803</v>
      </c>
      <c r="J71" s="146">
        <f t="shared" si="23"/>
        <v>-11.706221451857333</v>
      </c>
      <c r="K71" s="146">
        <f t="shared" si="23"/>
        <v>-5.9063858639963183</v>
      </c>
      <c r="L71" s="145">
        <f>SUM(D71:INDEX(D71:K71,0,MATCH('RFPR cover'!$C$7,$D$6:$K$6,0)))</f>
        <v>-8.5602106617043088</v>
      </c>
      <c r="M71" s="147">
        <f>SUM(D71:K71)</f>
        <v>-14.466596525700627</v>
      </c>
    </row>
    <row r="72" spans="1:20">
      <c r="A72" s="35"/>
      <c r="B72" s="777"/>
      <c r="C72" s="156"/>
      <c r="D72" s="156"/>
      <c r="E72" s="156"/>
      <c r="F72" s="156"/>
      <c r="G72" s="156"/>
      <c r="H72" s="156"/>
      <c r="I72" s="156"/>
      <c r="J72" s="156"/>
      <c r="K72" s="156"/>
      <c r="L72" s="156"/>
      <c r="M72" s="156"/>
    </row>
    <row r="73" spans="1:20">
      <c r="A73" s="35"/>
      <c r="B73" s="769"/>
    </row>
    <row r="74" spans="1:20">
      <c r="A74" s="35"/>
      <c r="B74" s="772" t="s">
        <v>214</v>
      </c>
      <c r="C74" s="150"/>
      <c r="D74" s="81"/>
      <c r="E74" s="81"/>
      <c r="F74" s="81"/>
      <c r="G74" s="81"/>
      <c r="H74" s="81"/>
      <c r="I74" s="81"/>
      <c r="J74" s="81"/>
      <c r="K74" s="81"/>
      <c r="L74" s="81"/>
      <c r="M74" s="81"/>
      <c r="N74" s="81"/>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76" t="s">
        <v>217</v>
      </c>
      <c r="C77" s="155" t="str">
        <f>'RFPR cover'!$C$14</f>
        <v>£m 12/13</v>
      </c>
      <c r="D77" s="663">
        <f>INDEX(Data!$C$119:$L$146,MATCH('RFPR cover'!$C$5,Data!$B$119:$B$146,0),MATCH('R4 - Totex'!D$6,Data!$C$118:$L$118,0))</f>
        <v>6.5079014730517413</v>
      </c>
      <c r="E77" s="664">
        <f>INDEX(Data!$C$119:$L$146,MATCH('RFPR cover'!$C$5,Data!$B$119:$B$146,0),MATCH('R4 - Totex'!E$6,Data!$C$118:$L$118,0))</f>
        <v>6.5166167406950333</v>
      </c>
      <c r="F77" s="664">
        <f>INDEX(Data!$C$119:$L$146,MATCH('RFPR cover'!$C$5,Data!$B$119:$B$146,0),MATCH('R4 - Totex'!F$6,Data!$C$118:$L$118,0))</f>
        <v>6.3292456496722922</v>
      </c>
      <c r="G77" s="664">
        <f>INDEX(Data!$C$119:$L$146,MATCH('RFPR cover'!$C$5,Data!$B$119:$B$146,0),MATCH('R4 - Totex'!G$6,Data!$C$118:$L$118,0))</f>
        <v>6.4407397408462082</v>
      </c>
      <c r="H77" s="664">
        <f>INDEX(Data!$C$119:$L$146,MATCH('RFPR cover'!$C$5,Data!$B$119:$B$146,0),MATCH('R4 - Totex'!H$6,Data!$C$118:$L$118,0))</f>
        <v>6.6367331985058957</v>
      </c>
      <c r="I77" s="664">
        <f>INDEX(Data!$C$119:$L$146,MATCH('RFPR cover'!$C$5,Data!$B$119:$B$146,0),MATCH('R4 - Totex'!I$6,Data!$C$118:$L$118,0))</f>
        <v>6.7568163761394304</v>
      </c>
      <c r="J77" s="664">
        <f>INDEX(Data!$C$119:$L$146,MATCH('RFPR cover'!$C$5,Data!$B$119:$B$146,0),MATCH('R4 - Totex'!J$6,Data!$C$118:$L$118,0))</f>
        <v>6.6961234445143969</v>
      </c>
      <c r="K77" s="665">
        <f>INDEX(Data!$C$119:$L$146,MATCH('RFPR cover'!$C$5,Data!$B$119:$B$146,0),MATCH('R4 - Totex'!K$6,Data!$C$118:$L$118,0))</f>
        <v>6.7647427548792596</v>
      </c>
      <c r="L77" s="98">
        <f>SUM(D77:INDEX(D77:K77,0,MATCH('RFPR cover'!$C$7,$D$6:$K$6,0)))</f>
        <v>45.884176623424999</v>
      </c>
      <c r="M77" s="100">
        <f>SUM(D77:K77)</f>
        <v>52.648919378304257</v>
      </c>
    </row>
    <row r="78" spans="1:20">
      <c r="A78" s="35"/>
      <c r="B78" s="225" t="s">
        <v>201</v>
      </c>
      <c r="C78" s="155" t="s">
        <v>7</v>
      </c>
      <c r="D78" s="880">
        <f>IF(INDEX(Data!$J$73:$J$100,MATCH('RFPR cover'!$C$5,Data!$B$73:$B$100,0),0)="Pre",INDEX(Data!$G$18:$G$27,MATCH('R4 - Totex'!D$6,Data!$C$18:$C$27,0),0),"n/a")</f>
        <v>0.2</v>
      </c>
      <c r="E78" s="880">
        <f>IF(INDEX(Data!$J$73:$J$100,MATCH('RFPR cover'!$C$5,Data!$B$73:$B$100,0),0)="Pre",INDEX(Data!$G$18:$G$27,MATCH('R4 - Totex'!E$6,Data!$C$18:$C$27,0),0),"n/a")</f>
        <v>0.2</v>
      </c>
      <c r="F78" s="880">
        <f>IF(INDEX(Data!$J$73:$J$100,MATCH('RFPR cover'!$C$5,Data!$B$73:$B$100,0),0)="Pre",INDEX(Data!$G$18:$G$27,MATCH('R4 - Totex'!F$6,Data!$C$18:$C$27,0),0),"n/a")</f>
        <v>0.19</v>
      </c>
      <c r="G78" s="880">
        <f>IF(INDEX(Data!$J$73:$J$100,MATCH('RFPR cover'!$C$5,Data!$B$73:$B$100,0),0)="Pre",INDEX(Data!$G$18:$G$27,MATCH('R4 - Totex'!G$6,Data!$C$18:$C$27,0),0),"n/a")</f>
        <v>0.19</v>
      </c>
      <c r="H78" s="880">
        <f>IF(INDEX(Data!$J$73:$J$100,MATCH('RFPR cover'!$C$5,Data!$B$73:$B$100,0),0)="Pre",INDEX(Data!$G$18:$G$27,MATCH('R4 - Totex'!H$6,Data!$C$18:$C$27,0),0),"n/a")</f>
        <v>0.19</v>
      </c>
      <c r="I78" s="880">
        <f>IF(INDEX(Data!$J$73:$J$100,MATCH('RFPR cover'!$C$5,Data!$B$73:$B$100,0),0)="Pre",INDEX(Data!$G$18:$G$27,MATCH('R4 - Totex'!I$6,Data!$C$18:$C$27,0),0),"n/a")</f>
        <v>0.19</v>
      </c>
      <c r="J78" s="880">
        <f>IF(INDEX(Data!$J$73:$J$100,MATCH('RFPR cover'!$C$5,Data!$B$73:$B$100,0),0)="Pre",INDEX(Data!$G$18:$G$27,MATCH('R4 - Totex'!J$6,Data!$C$18:$C$27,0),0),"n/a")</f>
        <v>0.19</v>
      </c>
      <c r="K78" s="880">
        <f>IF(INDEX(Data!$J$73:$J$100,MATCH('RFPR cover'!$C$5,Data!$B$73:$B$100,0),0)="Pre",INDEX(Data!$G$18:$G$27,MATCH('R4 - Totex'!K$6,Data!$C$18:$C$27,0),0),"n/a")</f>
        <v>0.19</v>
      </c>
      <c r="L78" s="878"/>
      <c r="M78" s="879"/>
    </row>
    <row r="79" spans="1:20">
      <c r="A79" s="35"/>
      <c r="B79" s="225" t="s">
        <v>210</v>
      </c>
      <c r="C79" s="155" t="str">
        <f>'RFPR cover'!$C$14</f>
        <v>£m 12/13</v>
      </c>
      <c r="D79" s="610">
        <f>IF(ISNUMBER(D78),D77*(1-D78),D77)</f>
        <v>5.2063211784413932</v>
      </c>
      <c r="E79" s="611">
        <f t="shared" ref="E79:K79" si="24">IF(ISNUMBER(E78),E77*(1-E78),E77)</f>
        <v>5.213293392556027</v>
      </c>
      <c r="F79" s="611">
        <f t="shared" si="24"/>
        <v>5.1266889762345569</v>
      </c>
      <c r="G79" s="611">
        <f t="shared" si="24"/>
        <v>5.2169991900854287</v>
      </c>
      <c r="H79" s="611">
        <f t="shared" si="24"/>
        <v>5.3757538907897757</v>
      </c>
      <c r="I79" s="611">
        <f t="shared" si="24"/>
        <v>5.4730212646729388</v>
      </c>
      <c r="J79" s="611">
        <f t="shared" si="24"/>
        <v>5.4238599900566618</v>
      </c>
      <c r="K79" s="612">
        <f t="shared" si="24"/>
        <v>5.4794416314522003</v>
      </c>
      <c r="L79" s="669">
        <f>SUM(D79:INDEX(D79:K79,0,MATCH('RFPR cover'!$C$7,$D$6:$K$6,0)))</f>
        <v>37.035937882836784</v>
      </c>
      <c r="M79" s="670">
        <f>SUM(D79:K79)</f>
        <v>42.515379514288981</v>
      </c>
    </row>
    <row r="80" spans="1:20">
      <c r="A80" s="35"/>
      <c r="B80" s="225"/>
      <c r="C80" s="66"/>
      <c r="D80" s="282"/>
      <c r="E80" s="282"/>
      <c r="F80" s="282"/>
      <c r="G80" s="282"/>
      <c r="H80" s="282"/>
      <c r="I80" s="282"/>
      <c r="J80" s="282"/>
      <c r="K80" s="282"/>
      <c r="L80" s="283"/>
      <c r="M80" s="283"/>
    </row>
    <row r="81" spans="1:20">
      <c r="A81" s="35"/>
      <c r="B81" s="225"/>
      <c r="C81" s="66"/>
      <c r="D81" s="282"/>
      <c r="E81" s="282"/>
      <c r="F81" s="282"/>
      <c r="G81" s="282"/>
      <c r="H81" s="282"/>
      <c r="I81" s="282"/>
      <c r="J81" s="282"/>
      <c r="K81" s="282"/>
      <c r="L81" s="283"/>
      <c r="M81" s="283"/>
    </row>
    <row r="82" spans="1:20">
      <c r="A82" s="35"/>
      <c r="B82" s="225"/>
      <c r="C82" s="66"/>
      <c r="D82" s="282"/>
      <c r="E82" s="282"/>
      <c r="F82" s="282"/>
      <c r="G82" s="282"/>
      <c r="H82" s="282"/>
      <c r="I82" s="282"/>
      <c r="J82" s="282"/>
      <c r="K82" s="282"/>
      <c r="L82" s="283"/>
      <c r="M82" s="283"/>
    </row>
    <row r="83" spans="1:20">
      <c r="A83" s="35"/>
      <c r="B83" s="769"/>
    </row>
    <row r="84" spans="1:20">
      <c r="A84" s="35"/>
      <c r="B84" s="771" t="s">
        <v>187</v>
      </c>
      <c r="C84" s="291"/>
      <c r="D84" s="293"/>
      <c r="E84" s="293"/>
      <c r="F84" s="293"/>
      <c r="G84" s="293"/>
      <c r="H84" s="293"/>
      <c r="I84" s="293"/>
      <c r="J84" s="293"/>
      <c r="K84" s="293"/>
      <c r="L84" s="293"/>
      <c r="M84" s="293"/>
      <c r="N84" s="293"/>
    </row>
    <row r="85" spans="1:20">
      <c r="A85" s="35"/>
      <c r="B85" s="777"/>
    </row>
    <row r="86" spans="1:20">
      <c r="A86" s="35"/>
      <c r="B86" s="776"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1.2717196280780627</v>
      </c>
      <c r="K86" s="114">
        <f>Data!J$34</f>
        <v>1.3772723572085417</v>
      </c>
    </row>
    <row r="87" spans="1:20">
      <c r="A87" s="35"/>
      <c r="B87" s="776"/>
      <c r="D87" s="136"/>
      <c r="E87" s="136"/>
      <c r="F87" s="136"/>
      <c r="G87" s="136"/>
      <c r="H87" s="136"/>
      <c r="I87" s="136"/>
      <c r="J87" s="136"/>
      <c r="K87" s="136"/>
    </row>
    <row r="88" spans="1:20">
      <c r="A88" s="35"/>
      <c r="B88" s="772" t="str">
        <f>B10</f>
        <v>Totex</v>
      </c>
      <c r="C88" s="150"/>
      <c r="D88" s="82"/>
      <c r="E88" s="82"/>
      <c r="F88" s="82"/>
      <c r="G88" s="82"/>
      <c r="H88" s="82"/>
      <c r="I88" s="82"/>
      <c r="J88" s="82"/>
      <c r="K88" s="82"/>
      <c r="L88" s="82"/>
      <c r="M88" s="82"/>
      <c r="N88" s="82"/>
    </row>
    <row r="89" spans="1:20" s="35" customFormat="1">
      <c r="B89" s="773"/>
      <c r="C89" s="138"/>
      <c r="D89" s="320"/>
      <c r="E89" s="320"/>
      <c r="F89" s="320"/>
      <c r="G89" s="320"/>
      <c r="H89" s="320"/>
      <c r="I89" s="320"/>
      <c r="J89" s="320"/>
      <c r="K89" s="320"/>
      <c r="L89" s="320"/>
      <c r="M89" s="320"/>
      <c r="N89" s="320"/>
    </row>
    <row r="90" spans="1:20">
      <c r="A90" s="35"/>
      <c r="B90" s="305" t="s">
        <v>34</v>
      </c>
      <c r="C90" s="155" t="s">
        <v>128</v>
      </c>
      <c r="D90" s="672">
        <f t="shared" ref="D90:K91" si="25">D12*D$86</f>
        <v>311.84609999999998</v>
      </c>
      <c r="E90" s="672">
        <f t="shared" si="25"/>
        <v>320.7876</v>
      </c>
      <c r="F90" s="672">
        <f t="shared" si="25"/>
        <v>281.29869999999988</v>
      </c>
      <c r="G90" s="672">
        <f t="shared" si="25"/>
        <v>262.05380000000002</v>
      </c>
      <c r="H90" s="672">
        <f t="shared" si="25"/>
        <v>268.91001304140201</v>
      </c>
      <c r="I90" s="672">
        <f t="shared" si="25"/>
        <v>316.31918603262</v>
      </c>
      <c r="J90" s="672">
        <f t="shared" si="25"/>
        <v>349.4748775023474</v>
      </c>
      <c r="K90" s="672">
        <f t="shared" si="25"/>
        <v>376.09306593807196</v>
      </c>
      <c r="L90" s="671">
        <f>SUM(D90:INDEX(D90:K90,0,MATCH('RFPR cover'!$C$7,$D$6:$K$6,0)))</f>
        <v>2110.6902765763689</v>
      </c>
      <c r="M90" s="672">
        <f>SUM(D90:K90)</f>
        <v>2486.7833425144408</v>
      </c>
      <c r="N90" s="63"/>
      <c r="O90" s="63"/>
    </row>
    <row r="91" spans="1:20" ht="25.2">
      <c r="A91" s="35"/>
      <c r="B91" s="774" t="s">
        <v>197</v>
      </c>
      <c r="C91" s="155" t="s">
        <v>128</v>
      </c>
      <c r="D91" s="672">
        <f t="shared" si="25"/>
        <v>276.15247913468835</v>
      </c>
      <c r="E91" s="672">
        <f t="shared" si="25"/>
        <v>283.05165750238086</v>
      </c>
      <c r="F91" s="672">
        <f t="shared" si="25"/>
        <v>284.28944633460083</v>
      </c>
      <c r="G91" s="672">
        <f t="shared" si="25"/>
        <v>298.24944985385883</v>
      </c>
      <c r="H91" s="672">
        <f t="shared" si="25"/>
        <v>314.57717691391429</v>
      </c>
      <c r="I91" s="672">
        <f t="shared" si="25"/>
        <v>316.3699425847829</v>
      </c>
      <c r="J91" s="672">
        <f t="shared" si="25"/>
        <v>332.39309522398446</v>
      </c>
      <c r="K91" s="672">
        <f t="shared" si="25"/>
        <v>363.76202130102473</v>
      </c>
      <c r="L91" s="673">
        <f>SUM(D91:INDEX(D91:K91,0,MATCH('RFPR cover'!$C$7,$D$6:$K$6,0)))</f>
        <v>2105.0832475482107</v>
      </c>
      <c r="M91" s="674">
        <f>SUM(D91:K91)</f>
        <v>2468.8452688492353</v>
      </c>
      <c r="N91" s="63"/>
      <c r="O91" s="63"/>
    </row>
    <row r="92" spans="1:20">
      <c r="A92" s="35"/>
      <c r="B92" s="775" t="s">
        <v>195</v>
      </c>
      <c r="C92" s="155" t="s">
        <v>128</v>
      </c>
      <c r="D92" s="102">
        <f>D91-D90</f>
        <v>-35.69362086531163</v>
      </c>
      <c r="E92" s="103">
        <f t="shared" ref="E92:M92" si="26">E91-E90</f>
        <v>-37.735942497619135</v>
      </c>
      <c r="F92" s="103">
        <f t="shared" si="26"/>
        <v>2.9907463346009422</v>
      </c>
      <c r="G92" s="103">
        <f t="shared" si="26"/>
        <v>36.195649853858811</v>
      </c>
      <c r="H92" s="103">
        <f t="shared" si="26"/>
        <v>45.667163872512276</v>
      </c>
      <c r="I92" s="103">
        <f t="shared" si="26"/>
        <v>5.0756552162908974E-2</v>
      </c>
      <c r="J92" s="103">
        <f t="shared" si="26"/>
        <v>-17.081782278362937</v>
      </c>
      <c r="K92" s="104">
        <f t="shared" si="26"/>
        <v>-12.331044637047228</v>
      </c>
      <c r="L92" s="102">
        <f t="shared" si="26"/>
        <v>-5.6070290281581947</v>
      </c>
      <c r="M92" s="104">
        <f t="shared" si="26"/>
        <v>-17.938073665205593</v>
      </c>
      <c r="N92" s="63"/>
      <c r="O92" s="1034"/>
      <c r="P92" s="1034"/>
      <c r="Q92" s="1034"/>
      <c r="R92"/>
      <c r="S92"/>
      <c r="T92"/>
    </row>
    <row r="93" spans="1:20" ht="13.2">
      <c r="A93" s="35"/>
      <c r="B93" s="775"/>
      <c r="C93" s="155"/>
      <c r="D93" s="59"/>
      <c r="E93" s="59"/>
      <c r="F93" s="59"/>
      <c r="G93" s="59"/>
      <c r="H93" s="59"/>
      <c r="I93" s="59"/>
      <c r="J93" s="59"/>
      <c r="K93" s="59"/>
      <c r="L93" s="59"/>
      <c r="M93" s="59"/>
      <c r="O93" s="64"/>
      <c r="P93" s="64"/>
      <c r="Q93" s="64"/>
      <c r="R93"/>
      <c r="S93"/>
      <c r="T93"/>
    </row>
    <row r="94" spans="1:20">
      <c r="A94" s="35"/>
      <c r="B94" s="769"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2"/>
      <c r="M94" s="62"/>
      <c r="O94"/>
      <c r="P94"/>
      <c r="Q94"/>
      <c r="R94"/>
      <c r="S94"/>
      <c r="T94"/>
    </row>
    <row r="95" spans="1:20">
      <c r="A95" s="35"/>
      <c r="B95" s="769"/>
      <c r="O95"/>
      <c r="P95"/>
      <c r="Q95"/>
      <c r="R95"/>
      <c r="S95"/>
      <c r="T95"/>
    </row>
    <row r="96" spans="1:20">
      <c r="A96" s="35"/>
      <c r="B96" s="776" t="s">
        <v>183</v>
      </c>
      <c r="C96" s="155" t="s">
        <v>128</v>
      </c>
      <c r="D96" s="95">
        <f>D92*D94</f>
        <v>-10.70808625959349</v>
      </c>
      <c r="E96" s="96">
        <f t="shared" ref="E96:K96" si="27">E92*E94</f>
        <v>-11.320782749285742</v>
      </c>
      <c r="F96" s="96">
        <f t="shared" si="27"/>
        <v>0.89722390038028277</v>
      </c>
      <c r="G96" s="96">
        <f t="shared" si="27"/>
        <v>10.858694956157645</v>
      </c>
      <c r="H96" s="96">
        <f t="shared" si="27"/>
        <v>13.700149161753686</v>
      </c>
      <c r="I96" s="96">
        <f t="shared" si="27"/>
        <v>1.5226965648872694E-2</v>
      </c>
      <c r="J96" s="96">
        <f t="shared" si="27"/>
        <v>-5.1245346835088821</v>
      </c>
      <c r="K96" s="96">
        <f t="shared" si="27"/>
        <v>-3.6993133911141687</v>
      </c>
      <c r="L96" s="95">
        <f>SUM(D96:INDEX(D96:K96,0,MATCH('RFPR cover'!$C$7,$D$6:$K$6,0)))</f>
        <v>-1.6821087084476294</v>
      </c>
      <c r="M96" s="97">
        <f>SUM(D96:K96)</f>
        <v>-5.3814220995617976</v>
      </c>
      <c r="O96"/>
      <c r="P96"/>
      <c r="Q96"/>
      <c r="R96"/>
      <c r="S96"/>
      <c r="T96"/>
    </row>
    <row r="97" spans="1:20">
      <c r="A97" s="35"/>
      <c r="B97" s="776" t="s">
        <v>280</v>
      </c>
      <c r="C97" s="155" t="s">
        <v>128</v>
      </c>
      <c r="D97" s="92">
        <f>D92*(1-D94)</f>
        <v>-24.98553460571814</v>
      </c>
      <c r="E97" s="93">
        <f t="shared" ref="E97:K97" si="28">E92*(1-E94)</f>
        <v>-26.415159748333394</v>
      </c>
      <c r="F97" s="93">
        <f t="shared" si="28"/>
        <v>2.0935224342206595</v>
      </c>
      <c r="G97" s="93">
        <f t="shared" si="28"/>
        <v>25.336954897701165</v>
      </c>
      <c r="H97" s="93">
        <f t="shared" si="28"/>
        <v>31.96701471075859</v>
      </c>
      <c r="I97" s="93">
        <f t="shared" si="28"/>
        <v>3.5529586514036281E-2</v>
      </c>
      <c r="J97" s="93">
        <f t="shared" si="28"/>
        <v>-11.957247594854055</v>
      </c>
      <c r="K97" s="93">
        <f t="shared" si="28"/>
        <v>-8.6317312459330591</v>
      </c>
      <c r="L97" s="92">
        <f>SUM(D97:INDEX(D97:K97,0,MATCH('RFPR cover'!$C$7,$D$6:$K$6,0)))</f>
        <v>-3.9249203197111413</v>
      </c>
      <c r="M97" s="94">
        <f>SUM(D97:K97)</f>
        <v>-12.5566515656442</v>
      </c>
      <c r="O97"/>
      <c r="P97"/>
      <c r="Q97"/>
      <c r="R97"/>
      <c r="S97"/>
      <c r="T97"/>
    </row>
    <row r="98" spans="1:20">
      <c r="A98" s="35"/>
      <c r="B98" s="769"/>
      <c r="O98"/>
      <c r="P98"/>
      <c r="Q98"/>
      <c r="R98"/>
      <c r="S98"/>
      <c r="T98"/>
    </row>
    <row r="99" spans="1:20">
      <c r="A99" s="35"/>
      <c r="B99" s="777" t="s">
        <v>182</v>
      </c>
      <c r="N99" s="63"/>
      <c r="O99"/>
      <c r="P99"/>
      <c r="Q99"/>
      <c r="R99"/>
      <c r="S99"/>
      <c r="T99"/>
    </row>
    <row r="100" spans="1:20">
      <c r="A100" s="269" t="s">
        <v>151</v>
      </c>
      <c r="B100" s="225" t="str">
        <f t="shared" ref="B100:B105" si="29">B22</f>
        <v>Pensions prepayment (See Appendices within RFPR commentary documentation)</v>
      </c>
      <c r="C100" s="155" t="s">
        <v>128</v>
      </c>
      <c r="D100" s="592">
        <f t="shared" ref="D100:K105" si="30">D22*D$86</f>
        <v>0</v>
      </c>
      <c r="E100" s="592">
        <f t="shared" si="30"/>
        <v>14.588215487583573</v>
      </c>
      <c r="F100" s="592">
        <f t="shared" si="30"/>
        <v>-14.310365605203033</v>
      </c>
      <c r="G100" s="592">
        <f t="shared" si="30"/>
        <v>-0.27784988238053643</v>
      </c>
      <c r="H100" s="592">
        <f t="shared" si="30"/>
        <v>0</v>
      </c>
      <c r="I100" s="592">
        <f t="shared" si="30"/>
        <v>0</v>
      </c>
      <c r="J100" s="592">
        <f t="shared" si="30"/>
        <v>0</v>
      </c>
      <c r="K100" s="592">
        <f t="shared" si="30"/>
        <v>0</v>
      </c>
      <c r="L100" s="584">
        <f>SUM(D100:INDEX(D100:K100,0,MATCH('RFPR cover'!$C$7,$D$6:$K$6,0)))</f>
        <v>3.5527136788005009E-15</v>
      </c>
      <c r="M100" s="585">
        <f t="shared" ref="M100:M106" si="31">SUM(D100:K100)</f>
        <v>3.5527136788005009E-15</v>
      </c>
      <c r="N100" s="63"/>
      <c r="O100"/>
      <c r="P100"/>
      <c r="Q100"/>
      <c r="R100"/>
      <c r="S100"/>
      <c r="T100"/>
    </row>
    <row r="101" spans="1:20">
      <c r="A101" s="269" t="s">
        <v>152</v>
      </c>
      <c r="B101" s="225" t="str">
        <f t="shared" si="29"/>
        <v>Rail Electrification (See Appendices within RFRS commentary documentation)</v>
      </c>
      <c r="C101" s="155" t="s">
        <v>128</v>
      </c>
      <c r="D101" s="592">
        <f t="shared" si="30"/>
        <v>0</v>
      </c>
      <c r="E101" s="592">
        <f t="shared" si="30"/>
        <v>0</v>
      </c>
      <c r="F101" s="592">
        <f t="shared" si="30"/>
        <v>-0.61098935190037995</v>
      </c>
      <c r="G101" s="592">
        <f t="shared" si="30"/>
        <v>-0.16825347477504909</v>
      </c>
      <c r="H101" s="592">
        <f t="shared" si="30"/>
        <v>-1.4924367930438287</v>
      </c>
      <c r="I101" s="592">
        <f t="shared" si="30"/>
        <v>0.83641840243000842</v>
      </c>
      <c r="J101" s="592">
        <f t="shared" si="30"/>
        <v>0.8694122402837402</v>
      </c>
      <c r="K101" s="592">
        <f t="shared" si="30"/>
        <v>0.77975233398327259</v>
      </c>
      <c r="L101" s="588">
        <f>SUM(D101:INDEX(D101:K101,0,MATCH('RFPR cover'!$C$7,$D$6:$K$6,0)))</f>
        <v>-0.56584897700550918</v>
      </c>
      <c r="M101" s="589">
        <f t="shared" si="31"/>
        <v>0.21390335697776341</v>
      </c>
      <c r="N101" s="63"/>
      <c r="O101"/>
      <c r="P101"/>
      <c r="Q101"/>
      <c r="R101"/>
      <c r="S101"/>
      <c r="T101"/>
    </row>
    <row r="102" spans="1:20">
      <c r="A102" s="269" t="s">
        <v>153</v>
      </c>
      <c r="B102" s="225" t="str">
        <f t="shared" si="29"/>
        <v>TIM neutral and Smart meter adjustments to Totex allowance</v>
      </c>
      <c r="C102" s="155" t="s">
        <v>128</v>
      </c>
      <c r="D102" s="592">
        <f t="shared" si="30"/>
        <v>0</v>
      </c>
      <c r="E102" s="592">
        <f t="shared" si="30"/>
        <v>0</v>
      </c>
      <c r="F102" s="592">
        <f t="shared" si="30"/>
        <v>0</v>
      </c>
      <c r="G102" s="592">
        <f t="shared" si="30"/>
        <v>0</v>
      </c>
      <c r="H102" s="592">
        <f t="shared" si="30"/>
        <v>0</v>
      </c>
      <c r="I102" s="592">
        <f t="shared" si="30"/>
        <v>0</v>
      </c>
      <c r="J102" s="592">
        <f t="shared" si="30"/>
        <v>1.3253384471237355</v>
      </c>
      <c r="K102" s="592">
        <f t="shared" si="30"/>
        <v>3.4165903215745526</v>
      </c>
      <c r="L102" s="588">
        <f>SUM(D102:INDEX(D102:K102,0,MATCH('RFPR cover'!$C$7,$D$6:$K$6,0)))</f>
        <v>1.3253384471237355</v>
      </c>
      <c r="M102" s="589">
        <f t="shared" si="31"/>
        <v>4.7419287686982878</v>
      </c>
      <c r="N102" s="63"/>
      <c r="O102"/>
      <c r="P102"/>
      <c r="Q102"/>
      <c r="R102"/>
      <c r="S102" s="65"/>
      <c r="T102"/>
    </row>
    <row r="103" spans="1:20">
      <c r="A103" s="269" t="s">
        <v>168</v>
      </c>
      <c r="B103" s="225" t="str">
        <f t="shared" si="29"/>
        <v>TIM neutral Green recovery adjustment to Totex allowance</v>
      </c>
      <c r="C103" s="155" t="s">
        <v>128</v>
      </c>
      <c r="D103" s="592">
        <f t="shared" si="30"/>
        <v>0</v>
      </c>
      <c r="E103" s="592">
        <f t="shared" si="30"/>
        <v>0</v>
      </c>
      <c r="F103" s="592">
        <f t="shared" si="30"/>
        <v>0</v>
      </c>
      <c r="G103" s="592">
        <f t="shared" si="30"/>
        <v>0</v>
      </c>
      <c r="H103" s="592">
        <f t="shared" si="30"/>
        <v>0</v>
      </c>
      <c r="I103" s="592">
        <f t="shared" si="30"/>
        <v>0</v>
      </c>
      <c r="J103" s="592">
        <f t="shared" si="30"/>
        <v>0</v>
      </c>
      <c r="K103" s="592">
        <f t="shared" si="30"/>
        <v>0</v>
      </c>
      <c r="L103" s="588">
        <f>SUM(D103:INDEX(D103:K103,0,MATCH('RFPR cover'!$C$7,$D$6:$K$6,0)))</f>
        <v>0</v>
      </c>
      <c r="M103" s="589">
        <f t="shared" si="31"/>
        <v>0</v>
      </c>
      <c r="N103" s="63"/>
      <c r="O103"/>
      <c r="P103"/>
      <c r="Q103"/>
      <c r="R103"/>
      <c r="S103"/>
      <c r="T103"/>
    </row>
    <row r="104" spans="1:20">
      <c r="A104" s="269" t="s">
        <v>169</v>
      </c>
      <c r="B104" s="225" t="str">
        <f t="shared" si="29"/>
        <v>[Enduring Value adjustment]</v>
      </c>
      <c r="C104" s="155" t="s">
        <v>128</v>
      </c>
      <c r="D104" s="592">
        <f t="shared" si="30"/>
        <v>0</v>
      </c>
      <c r="E104" s="592">
        <f t="shared" si="30"/>
        <v>0</v>
      </c>
      <c r="F104" s="592">
        <f t="shared" si="30"/>
        <v>0</v>
      </c>
      <c r="G104" s="592">
        <f t="shared" si="30"/>
        <v>0</v>
      </c>
      <c r="H104" s="592">
        <f t="shared" si="30"/>
        <v>0</v>
      </c>
      <c r="I104" s="592">
        <f t="shared" si="30"/>
        <v>0</v>
      </c>
      <c r="J104" s="592">
        <f t="shared" si="30"/>
        <v>0</v>
      </c>
      <c r="K104" s="592">
        <f t="shared" si="30"/>
        <v>0</v>
      </c>
      <c r="L104" s="588">
        <f>SUM(D104:INDEX(D104:K104,0,MATCH('RFPR cover'!$C$7,$D$6:$K$6,0)))</f>
        <v>0</v>
      </c>
      <c r="M104" s="589">
        <f t="shared" si="31"/>
        <v>0</v>
      </c>
      <c r="N104" s="63"/>
      <c r="O104"/>
      <c r="P104"/>
      <c r="Q104"/>
      <c r="R104"/>
      <c r="S104"/>
      <c r="T104"/>
    </row>
    <row r="105" spans="1:20">
      <c r="A105" s="269" t="s">
        <v>170</v>
      </c>
      <c r="B105" s="225" t="str">
        <f t="shared" si="29"/>
        <v>[Enduring Value adjustment]</v>
      </c>
      <c r="C105" s="155" t="s">
        <v>128</v>
      </c>
      <c r="D105" s="592">
        <f t="shared" si="30"/>
        <v>0</v>
      </c>
      <c r="E105" s="592">
        <f t="shared" si="30"/>
        <v>0</v>
      </c>
      <c r="F105" s="592">
        <f t="shared" si="30"/>
        <v>0</v>
      </c>
      <c r="G105" s="592">
        <f t="shared" si="30"/>
        <v>0</v>
      </c>
      <c r="H105" s="592">
        <f t="shared" si="30"/>
        <v>0</v>
      </c>
      <c r="I105" s="592">
        <f t="shared" si="30"/>
        <v>0</v>
      </c>
      <c r="J105" s="592">
        <f t="shared" si="30"/>
        <v>0</v>
      </c>
      <c r="K105" s="592">
        <f t="shared" si="30"/>
        <v>0</v>
      </c>
      <c r="L105" s="592">
        <f>SUM(D105:INDEX(D105:K105,0,MATCH('RFPR cover'!$C$7,$D$6:$K$6,0)))</f>
        <v>0</v>
      </c>
      <c r="M105" s="593">
        <f t="shared" si="31"/>
        <v>0</v>
      </c>
      <c r="N105" s="63"/>
      <c r="O105"/>
      <c r="P105"/>
      <c r="Q105"/>
      <c r="R105"/>
      <c r="S105"/>
      <c r="T105"/>
    </row>
    <row r="106" spans="1:20">
      <c r="A106" s="35"/>
      <c r="B106" s="777" t="s">
        <v>190</v>
      </c>
      <c r="C106" s="155" t="s">
        <v>128</v>
      </c>
      <c r="D106" s="102">
        <f>SUM(D100:D105)</f>
        <v>0</v>
      </c>
      <c r="E106" s="103">
        <f t="shared" ref="E106:K106" si="32">SUM(E100:E105)</f>
        <v>14.588215487583573</v>
      </c>
      <c r="F106" s="103">
        <f t="shared" si="32"/>
        <v>-14.921354957103414</v>
      </c>
      <c r="G106" s="103">
        <f t="shared" si="32"/>
        <v>-0.44610335715558552</v>
      </c>
      <c r="H106" s="103">
        <f t="shared" si="32"/>
        <v>-1.4924367930438287</v>
      </c>
      <c r="I106" s="103">
        <f t="shared" si="32"/>
        <v>0.83641840243000842</v>
      </c>
      <c r="J106" s="103">
        <f t="shared" si="32"/>
        <v>2.1947506874074758</v>
      </c>
      <c r="K106" s="104">
        <f t="shared" si="32"/>
        <v>4.1963426555578254</v>
      </c>
      <c r="L106" s="102">
        <f>SUM(D106:INDEX(D106:K106,0,MATCH('RFPR cover'!$C$7,$D$6:$K$6,0)))</f>
        <v>0.75948947011822909</v>
      </c>
      <c r="M106" s="104">
        <f t="shared" si="31"/>
        <v>4.9558321256760545</v>
      </c>
      <c r="N106" s="63"/>
    </row>
    <row r="107" spans="1:20">
      <c r="A107" s="35"/>
      <c r="B107" s="769"/>
    </row>
    <row r="108" spans="1:20">
      <c r="A108" s="35"/>
      <c r="B108" s="776" t="s">
        <v>198</v>
      </c>
      <c r="C108" s="155" t="s">
        <v>128</v>
      </c>
      <c r="D108" s="95">
        <f t="shared" ref="D108:K108" si="33">D106*D94</f>
        <v>0</v>
      </c>
      <c r="E108" s="96">
        <f t="shared" si="33"/>
        <v>4.3764646462750729</v>
      </c>
      <c r="F108" s="96">
        <f t="shared" si="33"/>
        <v>-4.4764064871310252</v>
      </c>
      <c r="G108" s="96">
        <f t="shared" si="33"/>
        <v>-0.13383100714667567</v>
      </c>
      <c r="H108" s="96">
        <f t="shared" si="33"/>
        <v>-0.44773103791314867</v>
      </c>
      <c r="I108" s="96">
        <f t="shared" si="33"/>
        <v>0.25092552072900254</v>
      </c>
      <c r="J108" s="96">
        <f t="shared" si="33"/>
        <v>0.65842520622224288</v>
      </c>
      <c r="K108" s="96">
        <f t="shared" si="33"/>
        <v>1.2589027966673478</v>
      </c>
      <c r="L108" s="95">
        <f>SUM(D108:INDEX(D108:K108,0,MATCH('RFPR cover'!$C$7,$D$6:$K$6,0)))</f>
        <v>0.22784684103546882</v>
      </c>
      <c r="M108" s="97">
        <f>SUM(D108:K108)</f>
        <v>1.4867496377028167</v>
      </c>
    </row>
    <row r="109" spans="1:20">
      <c r="A109" s="35"/>
      <c r="B109" s="776" t="s">
        <v>309</v>
      </c>
      <c r="C109" s="155" t="s">
        <v>128</v>
      </c>
      <c r="D109" s="92">
        <f t="shared" ref="D109:K109" si="34">D106*(1-D94)</f>
        <v>0</v>
      </c>
      <c r="E109" s="93">
        <f t="shared" si="34"/>
        <v>10.211750841308501</v>
      </c>
      <c r="F109" s="93">
        <f t="shared" si="34"/>
        <v>-10.44494846997239</v>
      </c>
      <c r="G109" s="93">
        <f t="shared" si="34"/>
        <v>-0.31227235000890985</v>
      </c>
      <c r="H109" s="93">
        <f t="shared" si="34"/>
        <v>-1.04470575513068</v>
      </c>
      <c r="I109" s="93">
        <f t="shared" si="34"/>
        <v>0.58549288170100589</v>
      </c>
      <c r="J109" s="93">
        <f t="shared" si="34"/>
        <v>1.5363254811852329</v>
      </c>
      <c r="K109" s="93">
        <f t="shared" si="34"/>
        <v>2.9374398588904778</v>
      </c>
      <c r="L109" s="92">
        <f>SUM(D109:INDEX(D109:K109,0,MATCH('RFPR cover'!$C$7,$D$6:$K$6,0)))</f>
        <v>0.53164262908275961</v>
      </c>
      <c r="M109" s="94">
        <f>SUM(D109:K109)</f>
        <v>3.4690824879732371</v>
      </c>
    </row>
    <row r="110" spans="1:20">
      <c r="A110" s="35"/>
      <c r="B110" s="769"/>
    </row>
    <row r="111" spans="1:20">
      <c r="A111" s="35"/>
      <c r="B111" s="777" t="s">
        <v>181</v>
      </c>
    </row>
    <row r="112" spans="1:20">
      <c r="A112" s="35"/>
      <c r="B112" s="769" t="s">
        <v>180</v>
      </c>
      <c r="C112" s="155" t="s">
        <v>128</v>
      </c>
      <c r="D112" s="95">
        <f>D96+D108</f>
        <v>-10.70808625959349</v>
      </c>
      <c r="E112" s="96">
        <f t="shared" ref="E112:K112" si="35">E96+E108</f>
        <v>-6.9443181030106693</v>
      </c>
      <c r="F112" s="96">
        <f t="shared" si="35"/>
        <v>-3.5791825867507425</v>
      </c>
      <c r="G112" s="96">
        <f t="shared" si="35"/>
        <v>10.72486394901097</v>
      </c>
      <c r="H112" s="96">
        <f t="shared" si="35"/>
        <v>13.252418123840537</v>
      </c>
      <c r="I112" s="96">
        <f t="shared" si="35"/>
        <v>0.26615248637787525</v>
      </c>
      <c r="J112" s="96">
        <f t="shared" si="35"/>
        <v>-4.466109477286639</v>
      </c>
      <c r="K112" s="96">
        <f t="shared" si="35"/>
        <v>-2.4404105944468206</v>
      </c>
      <c r="L112" s="95">
        <f>SUM(D112:INDEX(D112:K112,0,MATCH('RFPR cover'!$C$7,$D$6:$K$6,0)))</f>
        <v>-1.4542618674121592</v>
      </c>
      <c r="M112" s="97">
        <f>SUM(D112:K112)</f>
        <v>-3.8946724618589799</v>
      </c>
    </row>
    <row r="113" spans="1:20">
      <c r="A113" s="35"/>
      <c r="B113" s="769" t="s">
        <v>280</v>
      </c>
      <c r="C113" s="155" t="s">
        <v>128</v>
      </c>
      <c r="D113" s="520">
        <f>D97+D109</f>
        <v>-24.98553460571814</v>
      </c>
      <c r="E113" s="521">
        <f t="shared" ref="E113:K113" si="36">E97+E109</f>
        <v>-16.203408907024894</v>
      </c>
      <c r="F113" s="521">
        <f t="shared" si="36"/>
        <v>-8.3514260357517305</v>
      </c>
      <c r="G113" s="521">
        <f t="shared" si="36"/>
        <v>25.024682547692255</v>
      </c>
      <c r="H113" s="521">
        <f t="shared" si="36"/>
        <v>30.922308955627912</v>
      </c>
      <c r="I113" s="521">
        <f t="shared" si="36"/>
        <v>0.62102246821504214</v>
      </c>
      <c r="J113" s="521">
        <f t="shared" si="36"/>
        <v>-10.420922113668821</v>
      </c>
      <c r="K113" s="521">
        <f t="shared" si="36"/>
        <v>-5.6942913870425809</v>
      </c>
      <c r="L113" s="520">
        <f>SUM(D113:INDEX(D113:K113,0,MATCH('RFPR cover'!$C$7,$D$6:$K$6,0)))</f>
        <v>-3.3932776906283788</v>
      </c>
      <c r="M113" s="522">
        <f>SUM(D113:K113)</f>
        <v>-9.0875690776709597</v>
      </c>
    </row>
    <row r="114" spans="1:20">
      <c r="A114" s="35"/>
      <c r="B114" s="777" t="s">
        <v>11</v>
      </c>
      <c r="C114" s="156" t="s">
        <v>128</v>
      </c>
      <c r="D114" s="145">
        <f>SUM(D112:D113)</f>
        <v>-35.69362086531163</v>
      </c>
      <c r="E114" s="146">
        <f t="shared" ref="E114:K114" si="37">SUM(E112:E113)</f>
        <v>-23.147727010035563</v>
      </c>
      <c r="F114" s="146">
        <f t="shared" si="37"/>
        <v>-11.930608622502472</v>
      </c>
      <c r="G114" s="146">
        <f t="shared" si="37"/>
        <v>35.749546496703225</v>
      </c>
      <c r="H114" s="146">
        <f t="shared" si="37"/>
        <v>44.174727079468447</v>
      </c>
      <c r="I114" s="146">
        <f t="shared" si="37"/>
        <v>0.8871749545929174</v>
      </c>
      <c r="J114" s="146">
        <f t="shared" si="37"/>
        <v>-14.887031590955459</v>
      </c>
      <c r="K114" s="146">
        <f t="shared" si="37"/>
        <v>-8.1347019814894015</v>
      </c>
      <c r="L114" s="145">
        <f>SUM(D114:INDEX(D114:K114,0,MATCH('RFPR cover'!$C$7,$D$6:$K$6,0)))</f>
        <v>-4.8475395580405429</v>
      </c>
      <c r="M114" s="147">
        <f>SUM(D114:K114)</f>
        <v>-12.982241539529944</v>
      </c>
    </row>
    <row r="115" spans="1:20">
      <c r="A115" s="35"/>
      <c r="B115" s="769"/>
    </row>
    <row r="116" spans="1:20">
      <c r="A116" s="35"/>
      <c r="B116" s="772" t="str">
        <f>B38</f>
        <v>n/a</v>
      </c>
      <c r="C116" s="150"/>
      <c r="D116" s="82"/>
      <c r="E116" s="82"/>
      <c r="F116" s="82"/>
      <c r="G116" s="82"/>
      <c r="H116" s="82"/>
      <c r="I116" s="82"/>
      <c r="J116" s="82"/>
      <c r="K116" s="82"/>
      <c r="L116" s="82"/>
      <c r="M116" s="82"/>
      <c r="N116" s="82"/>
    </row>
    <row r="117" spans="1:20" s="35" customFormat="1">
      <c r="B117" s="770"/>
      <c r="C117" s="138"/>
      <c r="D117" s="320"/>
      <c r="E117" s="320"/>
      <c r="F117" s="320"/>
      <c r="G117" s="320"/>
      <c r="H117" s="320"/>
      <c r="I117" s="320"/>
      <c r="J117" s="320"/>
      <c r="K117" s="320"/>
      <c r="L117" s="320"/>
      <c r="M117" s="320"/>
      <c r="N117" s="320"/>
    </row>
    <row r="118" spans="1:20">
      <c r="A118" s="35"/>
      <c r="B118" s="305" t="s">
        <v>34</v>
      </c>
      <c r="C118" s="155" t="s">
        <v>128</v>
      </c>
      <c r="D118" s="671">
        <f t="shared" ref="D118:K119" si="38">D40*D$86</f>
        <v>0</v>
      </c>
      <c r="E118" s="671">
        <f t="shared" si="38"/>
        <v>0</v>
      </c>
      <c r="F118" s="671">
        <f t="shared" si="38"/>
        <v>0</v>
      </c>
      <c r="G118" s="671">
        <f t="shared" si="38"/>
        <v>0</v>
      </c>
      <c r="H118" s="671">
        <f t="shared" si="38"/>
        <v>0</v>
      </c>
      <c r="I118" s="671">
        <f t="shared" si="38"/>
        <v>0</v>
      </c>
      <c r="J118" s="671">
        <f t="shared" si="38"/>
        <v>0</v>
      </c>
      <c r="K118" s="671">
        <f t="shared" si="38"/>
        <v>0</v>
      </c>
      <c r="L118" s="671">
        <f>SUM(D118:INDEX(D118:K118,0,MATCH('RFPR cover'!$C$7,$D$6:$K$6,0)))</f>
        <v>0</v>
      </c>
      <c r="M118" s="672">
        <f>SUM(D118:K118)</f>
        <v>0</v>
      </c>
      <c r="N118" s="63"/>
      <c r="O118" s="63"/>
    </row>
    <row r="119" spans="1:20" ht="25.2">
      <c r="A119" s="35"/>
      <c r="B119" s="774" t="s">
        <v>197</v>
      </c>
      <c r="C119" s="155" t="s">
        <v>128</v>
      </c>
      <c r="D119" s="671">
        <f t="shared" si="38"/>
        <v>0</v>
      </c>
      <c r="E119" s="671">
        <f t="shared" si="38"/>
        <v>0</v>
      </c>
      <c r="F119" s="671">
        <f t="shared" si="38"/>
        <v>0</v>
      </c>
      <c r="G119" s="671">
        <f t="shared" si="38"/>
        <v>0</v>
      </c>
      <c r="H119" s="671">
        <f t="shared" si="38"/>
        <v>0</v>
      </c>
      <c r="I119" s="671">
        <f t="shared" si="38"/>
        <v>0</v>
      </c>
      <c r="J119" s="671">
        <f t="shared" si="38"/>
        <v>0</v>
      </c>
      <c r="K119" s="671">
        <f t="shared" si="38"/>
        <v>0</v>
      </c>
      <c r="L119" s="673">
        <f>SUM(D119:INDEX(D119:K119,0,MATCH('RFPR cover'!$C$7,$D$6:$K$6,0)))</f>
        <v>0</v>
      </c>
      <c r="M119" s="674">
        <f>SUM(D119:K119)</f>
        <v>0</v>
      </c>
      <c r="N119" s="63"/>
      <c r="O119" s="63"/>
    </row>
    <row r="120" spans="1:20">
      <c r="A120" s="35"/>
      <c r="B120" s="775"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3"/>
      <c r="O120" s="1034"/>
      <c r="P120" s="1034"/>
      <c r="Q120" s="1034"/>
      <c r="R120"/>
      <c r="S120"/>
      <c r="T120"/>
    </row>
    <row r="121" spans="1:20" ht="13.2">
      <c r="A121" s="35"/>
      <c r="B121" s="775"/>
      <c r="C121" s="155"/>
      <c r="D121" s="59"/>
      <c r="E121" s="59"/>
      <c r="F121" s="59"/>
      <c r="G121" s="59"/>
      <c r="H121" s="59"/>
      <c r="I121" s="59"/>
      <c r="J121" s="59"/>
      <c r="K121" s="59"/>
      <c r="L121" s="59"/>
      <c r="M121" s="59"/>
      <c r="O121" s="64"/>
      <c r="P121" s="64"/>
      <c r="Q121" s="64"/>
      <c r="R121"/>
      <c r="S121"/>
      <c r="T121"/>
    </row>
    <row r="122" spans="1:20">
      <c r="A122" s="35"/>
      <c r="B122" s="769"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2"/>
      <c r="M122" s="62"/>
      <c r="O122"/>
      <c r="P122"/>
      <c r="Q122"/>
      <c r="R122"/>
      <c r="S122"/>
      <c r="T122"/>
    </row>
    <row r="123" spans="1:20">
      <c r="A123" s="35"/>
      <c r="B123" s="769"/>
      <c r="O123"/>
      <c r="P123"/>
      <c r="Q123"/>
      <c r="R123"/>
      <c r="S123"/>
      <c r="T123"/>
    </row>
    <row r="124" spans="1:20">
      <c r="A124" s="35"/>
      <c r="B124" s="776"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76"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69"/>
      <c r="O126"/>
      <c r="P126"/>
      <c r="Q126"/>
      <c r="R126"/>
      <c r="S126"/>
      <c r="T126"/>
    </row>
    <row r="127" spans="1:20">
      <c r="A127" s="35"/>
      <c r="B127" s="777" t="s">
        <v>182</v>
      </c>
      <c r="N127" s="63"/>
      <c r="O127"/>
      <c r="P127"/>
      <c r="Q127"/>
      <c r="R127"/>
      <c r="S127"/>
      <c r="T127"/>
    </row>
    <row r="128" spans="1:20">
      <c r="A128" s="269" t="s">
        <v>151</v>
      </c>
      <c r="B128" s="225" t="str">
        <f t="shared" ref="B128:B133" si="42">B50</f>
        <v>[Enduring Value adjustment]</v>
      </c>
      <c r="C128" s="155" t="s">
        <v>128</v>
      </c>
      <c r="D128" s="584">
        <f t="shared" ref="D128:K133" si="43">D50*D$86</f>
        <v>0</v>
      </c>
      <c r="E128" s="584">
        <f t="shared" si="43"/>
        <v>0</v>
      </c>
      <c r="F128" s="584">
        <f t="shared" si="43"/>
        <v>0</v>
      </c>
      <c r="G128" s="584">
        <f t="shared" si="43"/>
        <v>0</v>
      </c>
      <c r="H128" s="584">
        <f t="shared" si="43"/>
        <v>0</v>
      </c>
      <c r="I128" s="584">
        <f t="shared" si="43"/>
        <v>0</v>
      </c>
      <c r="J128" s="584">
        <f t="shared" si="43"/>
        <v>0</v>
      </c>
      <c r="K128" s="584">
        <f t="shared" si="43"/>
        <v>0</v>
      </c>
      <c r="L128" s="584">
        <f>SUM(D128:INDEX(D128:K128,0,MATCH('RFPR cover'!$C$7,$D$6:$K$6,0)))</f>
        <v>0</v>
      </c>
      <c r="M128" s="585">
        <f t="shared" ref="M128:M134" si="44">SUM(D128:K128)</f>
        <v>0</v>
      </c>
      <c r="N128" s="63"/>
      <c r="O128"/>
      <c r="P128"/>
      <c r="Q128"/>
      <c r="R128"/>
      <c r="S128"/>
      <c r="T128"/>
    </row>
    <row r="129" spans="1:20">
      <c r="A129" s="269" t="s">
        <v>152</v>
      </c>
      <c r="B129" s="225" t="str">
        <f t="shared" si="42"/>
        <v>[Enduring Value adjustment]</v>
      </c>
      <c r="C129" s="155" t="s">
        <v>128</v>
      </c>
      <c r="D129" s="584">
        <f t="shared" si="43"/>
        <v>0</v>
      </c>
      <c r="E129" s="584">
        <f t="shared" si="43"/>
        <v>0</v>
      </c>
      <c r="F129" s="584">
        <f t="shared" si="43"/>
        <v>0</v>
      </c>
      <c r="G129" s="584">
        <f t="shared" si="43"/>
        <v>0</v>
      </c>
      <c r="H129" s="584">
        <f t="shared" si="43"/>
        <v>0</v>
      </c>
      <c r="I129" s="584">
        <f t="shared" si="43"/>
        <v>0</v>
      </c>
      <c r="J129" s="584">
        <f t="shared" si="43"/>
        <v>0</v>
      </c>
      <c r="K129" s="584">
        <f t="shared" si="43"/>
        <v>0</v>
      </c>
      <c r="L129" s="588">
        <f>SUM(D129:INDEX(D129:K129,0,MATCH('RFPR cover'!$C$7,$D$6:$K$6,0)))</f>
        <v>0</v>
      </c>
      <c r="M129" s="589">
        <f t="shared" si="44"/>
        <v>0</v>
      </c>
      <c r="N129" s="63"/>
      <c r="O129"/>
      <c r="P129"/>
      <c r="Q129"/>
      <c r="R129"/>
      <c r="S129"/>
      <c r="T129"/>
    </row>
    <row r="130" spans="1:20">
      <c r="A130" s="269" t="s">
        <v>153</v>
      </c>
      <c r="B130" s="225" t="str">
        <f t="shared" si="42"/>
        <v>[Enduring Value adjustment]</v>
      </c>
      <c r="C130" s="155" t="s">
        <v>128</v>
      </c>
      <c r="D130" s="584">
        <f t="shared" si="43"/>
        <v>0</v>
      </c>
      <c r="E130" s="584">
        <f t="shared" si="43"/>
        <v>0</v>
      </c>
      <c r="F130" s="584">
        <f t="shared" si="43"/>
        <v>0</v>
      </c>
      <c r="G130" s="584">
        <f t="shared" si="43"/>
        <v>0</v>
      </c>
      <c r="H130" s="584">
        <f t="shared" si="43"/>
        <v>0</v>
      </c>
      <c r="I130" s="584">
        <f t="shared" si="43"/>
        <v>0</v>
      </c>
      <c r="J130" s="584">
        <f t="shared" si="43"/>
        <v>0</v>
      </c>
      <c r="K130" s="584">
        <f t="shared" si="43"/>
        <v>0</v>
      </c>
      <c r="L130" s="588">
        <f>SUM(D130:INDEX(D130:K130,0,MATCH('RFPR cover'!$C$7,$D$6:$K$6,0)))</f>
        <v>0</v>
      </c>
      <c r="M130" s="589">
        <f t="shared" si="44"/>
        <v>0</v>
      </c>
      <c r="N130" s="63"/>
      <c r="O130"/>
      <c r="P130"/>
      <c r="Q130"/>
      <c r="R130"/>
      <c r="S130" s="65"/>
      <c r="T130"/>
    </row>
    <row r="131" spans="1:20">
      <c r="A131" s="269" t="s">
        <v>168</v>
      </c>
      <c r="B131" s="225" t="str">
        <f t="shared" si="42"/>
        <v>[Enduring Value adjustment]</v>
      </c>
      <c r="C131" s="155" t="s">
        <v>128</v>
      </c>
      <c r="D131" s="584">
        <f t="shared" si="43"/>
        <v>0</v>
      </c>
      <c r="E131" s="584">
        <f t="shared" si="43"/>
        <v>0</v>
      </c>
      <c r="F131" s="584">
        <f t="shared" si="43"/>
        <v>0</v>
      </c>
      <c r="G131" s="584">
        <f t="shared" si="43"/>
        <v>0</v>
      </c>
      <c r="H131" s="584">
        <f t="shared" si="43"/>
        <v>0</v>
      </c>
      <c r="I131" s="584">
        <f t="shared" si="43"/>
        <v>0</v>
      </c>
      <c r="J131" s="584">
        <f t="shared" si="43"/>
        <v>0</v>
      </c>
      <c r="K131" s="584">
        <f t="shared" si="43"/>
        <v>0</v>
      </c>
      <c r="L131" s="588">
        <f>SUM(D131:INDEX(D131:K131,0,MATCH('RFPR cover'!$C$7,$D$6:$K$6,0)))</f>
        <v>0</v>
      </c>
      <c r="M131" s="589">
        <f t="shared" si="44"/>
        <v>0</v>
      </c>
      <c r="N131" s="63"/>
      <c r="O131"/>
      <c r="P131"/>
      <c r="Q131"/>
      <c r="R131"/>
      <c r="S131"/>
      <c r="T131"/>
    </row>
    <row r="132" spans="1:20">
      <c r="A132" s="269" t="s">
        <v>169</v>
      </c>
      <c r="B132" s="225" t="str">
        <f t="shared" si="42"/>
        <v>[Enduring Value adjustment]</v>
      </c>
      <c r="C132" s="155" t="s">
        <v>128</v>
      </c>
      <c r="D132" s="584">
        <f t="shared" si="43"/>
        <v>0</v>
      </c>
      <c r="E132" s="584">
        <f t="shared" si="43"/>
        <v>0</v>
      </c>
      <c r="F132" s="584">
        <f t="shared" si="43"/>
        <v>0</v>
      </c>
      <c r="G132" s="584">
        <f t="shared" si="43"/>
        <v>0</v>
      </c>
      <c r="H132" s="584">
        <f t="shared" si="43"/>
        <v>0</v>
      </c>
      <c r="I132" s="584">
        <f t="shared" si="43"/>
        <v>0</v>
      </c>
      <c r="J132" s="584">
        <f t="shared" si="43"/>
        <v>0</v>
      </c>
      <c r="K132" s="584">
        <f t="shared" si="43"/>
        <v>0</v>
      </c>
      <c r="L132" s="588">
        <f>SUM(D132:INDEX(D132:K132,0,MATCH('RFPR cover'!$C$7,$D$6:$K$6,0)))</f>
        <v>0</v>
      </c>
      <c r="M132" s="589">
        <f t="shared" si="44"/>
        <v>0</v>
      </c>
      <c r="N132" s="63"/>
      <c r="O132"/>
      <c r="P132"/>
      <c r="Q132"/>
      <c r="R132"/>
      <c r="S132"/>
      <c r="T132"/>
    </row>
    <row r="133" spans="1:20">
      <c r="A133" s="269" t="s">
        <v>170</v>
      </c>
      <c r="B133" s="225" t="str">
        <f t="shared" si="42"/>
        <v>[Enduring Value adjustment]</v>
      </c>
      <c r="C133" s="155" t="s">
        <v>128</v>
      </c>
      <c r="D133" s="584">
        <f t="shared" si="43"/>
        <v>0</v>
      </c>
      <c r="E133" s="584">
        <f t="shared" si="43"/>
        <v>0</v>
      </c>
      <c r="F133" s="584">
        <f t="shared" si="43"/>
        <v>0</v>
      </c>
      <c r="G133" s="584">
        <f t="shared" si="43"/>
        <v>0</v>
      </c>
      <c r="H133" s="584">
        <f t="shared" si="43"/>
        <v>0</v>
      </c>
      <c r="I133" s="584">
        <f t="shared" si="43"/>
        <v>0</v>
      </c>
      <c r="J133" s="584">
        <f t="shared" si="43"/>
        <v>0</v>
      </c>
      <c r="K133" s="584">
        <f t="shared" si="43"/>
        <v>0</v>
      </c>
      <c r="L133" s="592">
        <f>SUM(D133:INDEX(D133:K133,0,MATCH('RFPR cover'!$C$7,$D$6:$K$6,0)))</f>
        <v>0</v>
      </c>
      <c r="M133" s="593">
        <f t="shared" si="44"/>
        <v>0</v>
      </c>
      <c r="N133" s="63"/>
      <c r="O133"/>
      <c r="P133"/>
      <c r="Q133"/>
      <c r="R133"/>
      <c r="S133"/>
      <c r="T133"/>
    </row>
    <row r="134" spans="1:20">
      <c r="A134" s="35"/>
      <c r="B134" s="777"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3"/>
    </row>
    <row r="135" spans="1:20">
      <c r="A135" s="35"/>
      <c r="B135" s="769"/>
    </row>
    <row r="136" spans="1:20">
      <c r="A136" s="35"/>
      <c r="B136" s="776"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76" t="s">
        <v>309</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69"/>
    </row>
    <row r="139" spans="1:20">
      <c r="A139" s="35"/>
      <c r="B139" s="777" t="s">
        <v>181</v>
      </c>
    </row>
    <row r="140" spans="1:20">
      <c r="A140" s="35"/>
      <c r="B140" s="769"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69" t="s">
        <v>280</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77"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77"/>
      <c r="C143" s="156"/>
      <c r="D143" s="156"/>
      <c r="E143" s="156"/>
      <c r="F143" s="156"/>
      <c r="G143" s="156"/>
      <c r="H143" s="156"/>
      <c r="I143" s="156"/>
      <c r="J143" s="156"/>
      <c r="K143" s="156"/>
      <c r="L143" s="156"/>
      <c r="M143" s="156"/>
    </row>
    <row r="144" spans="1:20">
      <c r="A144" s="35"/>
      <c r="B144" s="772" t="s">
        <v>257</v>
      </c>
      <c r="C144" s="150"/>
      <c r="D144" s="82"/>
      <c r="E144" s="82"/>
      <c r="F144" s="82"/>
      <c r="G144" s="82"/>
      <c r="H144" s="82"/>
      <c r="I144" s="82"/>
      <c r="J144" s="82"/>
      <c r="K144" s="82"/>
      <c r="L144" s="82"/>
      <c r="M144" s="82"/>
      <c r="N144" s="82"/>
    </row>
    <row r="145" spans="1:20">
      <c r="A145" s="35"/>
      <c r="B145" s="769"/>
      <c r="O145"/>
      <c r="P145"/>
      <c r="Q145"/>
      <c r="R145"/>
      <c r="S145"/>
      <c r="T145"/>
    </row>
    <row r="146" spans="1:20">
      <c r="A146" s="35"/>
      <c r="B146" s="777" t="s">
        <v>181</v>
      </c>
    </row>
    <row r="147" spans="1:20">
      <c r="A147" s="35"/>
      <c r="B147" s="769" t="s">
        <v>180</v>
      </c>
      <c r="C147" s="155" t="s">
        <v>128</v>
      </c>
      <c r="D147" s="95">
        <f>D112+D140</f>
        <v>-10.70808625959349</v>
      </c>
      <c r="E147" s="96">
        <f t="shared" ref="E147:K147" si="51">E112+E140</f>
        <v>-6.9443181030106693</v>
      </c>
      <c r="F147" s="96">
        <f t="shared" si="51"/>
        <v>-3.5791825867507425</v>
      </c>
      <c r="G147" s="96">
        <f t="shared" si="51"/>
        <v>10.72486394901097</v>
      </c>
      <c r="H147" s="96">
        <f t="shared" si="51"/>
        <v>13.252418123840537</v>
      </c>
      <c r="I147" s="96">
        <f t="shared" si="51"/>
        <v>0.26615248637787525</v>
      </c>
      <c r="J147" s="96">
        <f t="shared" si="51"/>
        <v>-4.466109477286639</v>
      </c>
      <c r="K147" s="96">
        <f t="shared" si="51"/>
        <v>-2.4404105944468206</v>
      </c>
      <c r="L147" s="95">
        <f>SUM(D147:INDEX(D147:K147,0,MATCH('RFPR cover'!$C$7,$D$6:$K$6,0)))</f>
        <v>-1.4542618674121592</v>
      </c>
      <c r="M147" s="97">
        <f>SUM(D147:K147)</f>
        <v>-3.8946724618589799</v>
      </c>
    </row>
    <row r="148" spans="1:20">
      <c r="A148" s="35"/>
      <c r="B148" s="769" t="s">
        <v>280</v>
      </c>
      <c r="C148" s="155" t="s">
        <v>128</v>
      </c>
      <c r="D148" s="98">
        <f t="shared" ref="D148:K148" si="52">D113+D141</f>
        <v>-24.98553460571814</v>
      </c>
      <c r="E148" s="99">
        <f t="shared" si="52"/>
        <v>-16.203408907024894</v>
      </c>
      <c r="F148" s="99">
        <f t="shared" si="52"/>
        <v>-8.3514260357517305</v>
      </c>
      <c r="G148" s="99">
        <f t="shared" si="52"/>
        <v>25.024682547692255</v>
      </c>
      <c r="H148" s="99">
        <f t="shared" si="52"/>
        <v>30.922308955627912</v>
      </c>
      <c r="I148" s="99">
        <f t="shared" si="52"/>
        <v>0.62102246821504214</v>
      </c>
      <c r="J148" s="99">
        <f t="shared" si="52"/>
        <v>-10.420922113668821</v>
      </c>
      <c r="K148" s="99">
        <f t="shared" si="52"/>
        <v>-5.6942913870425809</v>
      </c>
      <c r="L148" s="98">
        <f>SUM(D148:INDEX(D148:K148,0,MATCH('RFPR cover'!$C$7,$D$6:$K$6,0)))</f>
        <v>-3.3932776906283788</v>
      </c>
      <c r="M148" s="100">
        <f>SUM(D148:K148)</f>
        <v>-9.0875690776709597</v>
      </c>
    </row>
    <row r="149" spans="1:20">
      <c r="A149" s="35"/>
      <c r="B149" s="777" t="s">
        <v>11</v>
      </c>
      <c r="C149" s="156" t="s">
        <v>128</v>
      </c>
      <c r="D149" s="139">
        <f>SUM(D147:D148)</f>
        <v>-35.69362086531163</v>
      </c>
      <c r="E149" s="140">
        <f t="shared" ref="E149:K149" si="53">SUM(E147:E148)</f>
        <v>-23.147727010035563</v>
      </c>
      <c r="F149" s="140">
        <f t="shared" si="53"/>
        <v>-11.930608622502472</v>
      </c>
      <c r="G149" s="140">
        <f t="shared" si="53"/>
        <v>35.749546496703225</v>
      </c>
      <c r="H149" s="140">
        <f t="shared" si="53"/>
        <v>44.174727079468447</v>
      </c>
      <c r="I149" s="140">
        <f t="shared" si="53"/>
        <v>0.8871749545929174</v>
      </c>
      <c r="J149" s="140">
        <f t="shared" si="53"/>
        <v>-14.887031590955459</v>
      </c>
      <c r="K149" s="140">
        <f t="shared" si="53"/>
        <v>-8.1347019814894015</v>
      </c>
      <c r="L149" s="139">
        <f>SUM(D149:INDEX(D149:K149,0,MATCH('RFPR cover'!$C$7,$D$6:$K$6,0)))</f>
        <v>-4.8475395580405429</v>
      </c>
      <c r="M149" s="141">
        <f>SUM(D149:K149)</f>
        <v>-12.982241539529944</v>
      </c>
    </row>
    <row r="150" spans="1:20">
      <c r="A150" s="35"/>
      <c r="B150" s="776"/>
      <c r="D150" s="136"/>
      <c r="E150" s="136"/>
      <c r="F150" s="136"/>
      <c r="G150" s="136"/>
      <c r="H150" s="136"/>
      <c r="I150" s="136"/>
      <c r="J150" s="136"/>
      <c r="K150" s="136"/>
    </row>
    <row r="151" spans="1:20">
      <c r="A151" s="35"/>
      <c r="B151" s="769"/>
    </row>
    <row r="152" spans="1:20">
      <c r="A152" s="82"/>
      <c r="B152" s="768"/>
      <c r="C152" s="150"/>
      <c r="D152" s="82"/>
      <c r="E152" s="82"/>
      <c r="F152" s="82"/>
      <c r="G152" s="82"/>
      <c r="H152" s="82"/>
      <c r="I152" s="82"/>
      <c r="J152" s="82"/>
      <c r="K152" s="82"/>
      <c r="L152" s="82"/>
      <c r="M152" s="82"/>
      <c r="N152" s="82"/>
    </row>
    <row r="153" spans="1:20">
      <c r="B153" s="769"/>
    </row>
    <row r="154" spans="1:20">
      <c r="B154" s="769"/>
    </row>
  </sheetData>
  <mergeCells count="3">
    <mergeCell ref="O42:Q42"/>
    <mergeCell ref="O92:Q92"/>
    <mergeCell ref="O120:Q120"/>
  </mergeCells>
  <conditionalFormatting sqref="D6:K6">
    <cfRule type="expression" dxfId="59" priority="7">
      <formula>AND(D$5="Actuals",E$5="Forecast")</formula>
    </cfRule>
  </conditionalFormatting>
  <conditionalFormatting sqref="B118:M142">
    <cfRule type="expression" dxfId="58" priority="3">
      <formula>$B$38="n/a"</formula>
    </cfRule>
  </conditionalFormatting>
  <conditionalFormatting sqref="D5:K5">
    <cfRule type="expression" dxfId="57" priority="2">
      <formula>AND(D$5="Actuals",E$5="Forecast")</formula>
    </cfRule>
  </conditionalFormatting>
  <conditionalFormatting sqref="B38:N64">
    <cfRule type="expression" dxfId="5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AB114"/>
  <sheetViews>
    <sheetView zoomScale="70" zoomScaleNormal="70" workbookViewId="0">
      <selection activeCell="B8" sqref="B8"/>
    </sheetView>
  </sheetViews>
  <sheetFormatPr defaultRowHeight="12.6"/>
  <cols>
    <col min="1" max="1" width="8.36328125" customWidth="1"/>
    <col min="2" max="2" width="71.36328125" bestFit="1" customWidth="1"/>
    <col min="3" max="3" width="13.36328125" style="136" customWidth="1"/>
    <col min="4" max="11" width="11.08984375" customWidth="1"/>
    <col min="12" max="12" width="12.90625" customWidth="1"/>
    <col min="13" max="13" width="12.7265625" customWidth="1"/>
    <col min="14" max="14" width="5" customWidth="1"/>
  </cols>
  <sheetData>
    <row r="1" spans="1:28" s="37" customFormat="1" ht="21">
      <c r="A1" s="926" t="s">
        <v>262</v>
      </c>
      <c r="B1" s="927"/>
      <c r="C1" s="153"/>
      <c r="D1" s="131"/>
      <c r="E1" s="131"/>
      <c r="F1" s="131"/>
      <c r="G1" s="131"/>
      <c r="H1" s="131"/>
      <c r="I1" s="127"/>
      <c r="J1" s="127"/>
      <c r="K1" s="127"/>
      <c r="L1" s="127"/>
      <c r="M1" s="127"/>
      <c r="N1" s="128"/>
    </row>
    <row r="2" spans="1:28" s="37" customFormat="1" ht="21">
      <c r="A2" s="928" t="str">
        <f>'RFPR cover'!C5</f>
        <v>WPD-WMID</v>
      </c>
      <c r="B2" s="929"/>
      <c r="C2" s="154"/>
      <c r="D2" s="36"/>
      <c r="E2" s="36"/>
      <c r="F2" s="36"/>
      <c r="G2" s="36"/>
      <c r="H2" s="36"/>
      <c r="I2" s="27"/>
      <c r="J2" s="27"/>
      <c r="K2" s="27"/>
      <c r="L2" s="27"/>
      <c r="M2" s="27"/>
      <c r="N2" s="123"/>
    </row>
    <row r="3" spans="1:28" s="37" customFormat="1" ht="21">
      <c r="A3" s="930">
        <f>'RFPR cover'!C7</f>
        <v>2022</v>
      </c>
      <c r="B3" s="931"/>
      <c r="C3" s="135"/>
      <c r="D3" s="132"/>
      <c r="E3" s="132"/>
      <c r="F3" s="132"/>
      <c r="G3" s="132"/>
      <c r="H3" s="132"/>
      <c r="I3" s="28"/>
      <c r="J3" s="28"/>
      <c r="K3" s="28"/>
      <c r="L3" s="28"/>
      <c r="M3" s="28"/>
      <c r="N3" s="125"/>
    </row>
    <row r="4" spans="1:28" s="2" customFormat="1" ht="12.75" customHeight="1">
      <c r="B4" s="3"/>
      <c r="C4" s="136"/>
    </row>
    <row r="5" spans="1:28"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28"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2022</v>
      </c>
      <c r="M6" s="119" t="s">
        <v>109</v>
      </c>
      <c r="O6" s="956"/>
    </row>
    <row r="7" spans="1:28" s="2" customFormat="1">
      <c r="A7" s="35"/>
      <c r="C7" s="136"/>
    </row>
    <row r="8" spans="1:28" s="2" customFormat="1">
      <c r="A8" s="35"/>
      <c r="B8" s="116" t="s">
        <v>199</v>
      </c>
      <c r="C8" s="150"/>
      <c r="D8" s="81"/>
      <c r="E8" s="81"/>
      <c r="F8" s="81"/>
      <c r="G8" s="81"/>
      <c r="H8" s="81"/>
      <c r="I8" s="81"/>
      <c r="J8" s="81"/>
      <c r="K8" s="81"/>
      <c r="L8" s="81"/>
      <c r="M8" s="81"/>
      <c r="N8" s="81"/>
    </row>
    <row r="9" spans="1:28" s="2" customFormat="1">
      <c r="A9" s="35"/>
      <c r="B9" s="367" t="s">
        <v>390</v>
      </c>
      <c r="C9" s="367"/>
      <c r="D9" s="367"/>
      <c r="E9" s="367"/>
      <c r="F9" s="367"/>
      <c r="G9" s="367"/>
      <c r="H9" s="367"/>
      <c r="I9" s="367"/>
      <c r="J9" s="367"/>
      <c r="K9" s="367"/>
      <c r="L9" s="367"/>
      <c r="M9" s="367"/>
      <c r="N9" s="367"/>
      <c r="AA9" s="957"/>
    </row>
    <row r="10" spans="1:28" s="2" customFormat="1">
      <c r="A10" s="35"/>
      <c r="B10" s="12"/>
      <c r="C10" s="136"/>
    </row>
    <row r="11" spans="1:28" s="2" customFormat="1">
      <c r="A11" s="224" t="s">
        <v>151</v>
      </c>
      <c r="B11" s="35" t="str">
        <f>Data!B153</f>
        <v>Broad measure of customer service</v>
      </c>
      <c r="C11" s="155" t="str">
        <f>'RFPR cover'!$C$14</f>
        <v>£m 12/13</v>
      </c>
      <c r="D11" s="594">
        <v>5.2980018966853626</v>
      </c>
      <c r="E11" s="595">
        <v>5.1440000000000019</v>
      </c>
      <c r="F11" s="595">
        <v>5.3868300000000016</v>
      </c>
      <c r="G11" s="595">
        <v>5.6757500000000016</v>
      </c>
      <c r="H11" s="595">
        <v>4.54</v>
      </c>
      <c r="I11" s="595">
        <v>4.54</v>
      </c>
      <c r="J11" s="595">
        <v>4.5111300000000014</v>
      </c>
      <c r="K11" s="595">
        <v>4.54</v>
      </c>
      <c r="L11" s="671">
        <f>SUM(D11:INDEX(D11:K11,0,MATCH('RFPR cover'!$C$7,$D$6:$K$6,0)))</f>
        <v>35.095711896685373</v>
      </c>
      <c r="M11" s="672">
        <f t="shared" ref="M11:M17" si="1">SUM(D11:K11)</f>
        <v>39.635711896685372</v>
      </c>
      <c r="O11" s="323"/>
      <c r="P11" s="942"/>
      <c r="Q11" s="942"/>
      <c r="R11" s="942"/>
      <c r="S11" s="942"/>
      <c r="T11" s="942"/>
      <c r="U11" s="942"/>
      <c r="AA11" s="942"/>
      <c r="AB11" s="942"/>
    </row>
    <row r="12" spans="1:28" s="2" customFormat="1">
      <c r="A12" s="224" t="s">
        <v>152</v>
      </c>
      <c r="B12" s="35" t="str">
        <f>Data!B154</f>
        <v>Interruptions-related quality of service</v>
      </c>
      <c r="C12" s="155" t="str">
        <f>'RFPR cover'!$C$14</f>
        <v>£m 12/13</v>
      </c>
      <c r="D12" s="596">
        <v>17.7</v>
      </c>
      <c r="E12" s="597">
        <v>17.7</v>
      </c>
      <c r="F12" s="597">
        <v>17.7</v>
      </c>
      <c r="G12" s="597">
        <v>17.7</v>
      </c>
      <c r="H12" s="597">
        <v>17.7</v>
      </c>
      <c r="I12" s="597">
        <v>17.7</v>
      </c>
      <c r="J12" s="597">
        <v>17.7</v>
      </c>
      <c r="K12" s="597">
        <v>17.7</v>
      </c>
      <c r="L12" s="675">
        <f>SUM(D12:INDEX(D12:K12,0,MATCH('RFPR cover'!$C$7,$D$6:$K$6,0)))</f>
        <v>123.9</v>
      </c>
      <c r="M12" s="676">
        <f t="shared" si="1"/>
        <v>141.6</v>
      </c>
      <c r="O12" s="323"/>
      <c r="P12" s="942"/>
      <c r="Q12" s="942"/>
      <c r="R12" s="942"/>
      <c r="S12" s="942"/>
      <c r="T12" s="942"/>
      <c r="U12" s="942"/>
      <c r="AA12" s="942"/>
      <c r="AB12" s="942"/>
    </row>
    <row r="13" spans="1:28" s="2" customFormat="1">
      <c r="A13" s="224" t="s">
        <v>153</v>
      </c>
      <c r="B13" s="35" t="str">
        <f>Data!B155</f>
        <v>Incentive on connections engagement</v>
      </c>
      <c r="C13" s="155" t="str">
        <f>'RFPR cover'!$C$14</f>
        <v>£m 12/13</v>
      </c>
      <c r="D13" s="596">
        <v>0</v>
      </c>
      <c r="E13" s="597">
        <v>0</v>
      </c>
      <c r="F13" s="597">
        <v>0</v>
      </c>
      <c r="G13" s="597">
        <v>0</v>
      </c>
      <c r="H13" s="597">
        <v>0</v>
      </c>
      <c r="I13" s="597">
        <v>0</v>
      </c>
      <c r="J13" s="597">
        <v>0</v>
      </c>
      <c r="K13" s="597">
        <v>0</v>
      </c>
      <c r="L13" s="675">
        <f>SUM(D13:INDEX(D13:K13,0,MATCH('RFPR cover'!$C$7,$D$6:$K$6,0)))</f>
        <v>0</v>
      </c>
      <c r="M13" s="676">
        <f t="shared" si="1"/>
        <v>0</v>
      </c>
      <c r="O13" s="323"/>
      <c r="P13" s="942"/>
      <c r="Q13" s="942"/>
      <c r="R13" s="942"/>
      <c r="S13" s="942"/>
      <c r="T13" s="942"/>
      <c r="U13" s="942"/>
      <c r="AA13" s="942"/>
      <c r="AB13" s="942"/>
    </row>
    <row r="14" spans="1:28" s="2" customFormat="1">
      <c r="A14" s="224" t="s">
        <v>168</v>
      </c>
      <c r="B14" s="35" t="str">
        <f>Data!B156</f>
        <v>Time to Connect Incentive</v>
      </c>
      <c r="C14" s="155" t="str">
        <f>'RFPR cover'!$C$14</f>
        <v>£m 12/13</v>
      </c>
      <c r="D14" s="596">
        <v>1.3474000000000002</v>
      </c>
      <c r="E14" s="597">
        <v>1.1517129318237314</v>
      </c>
      <c r="F14" s="597">
        <v>1.5726000000000002</v>
      </c>
      <c r="G14" s="597">
        <v>1.6</v>
      </c>
      <c r="H14" s="597">
        <v>1.5254218849273653</v>
      </c>
      <c r="I14" s="597">
        <v>1.3245323394103992</v>
      </c>
      <c r="J14" s="597">
        <v>1.2536022724243145</v>
      </c>
      <c r="K14" s="597">
        <v>1.4181161358734125</v>
      </c>
      <c r="L14" s="675">
        <f>SUM(D14:INDEX(D14:K14,0,MATCH('RFPR cover'!$C$7,$D$6:$K$6,0)))</f>
        <v>9.7752694285858119</v>
      </c>
      <c r="M14" s="676">
        <f t="shared" si="1"/>
        <v>11.193385564459224</v>
      </c>
      <c r="O14" s="323"/>
      <c r="P14" s="942"/>
      <c r="Q14" s="942"/>
      <c r="R14" s="942"/>
      <c r="S14" s="942"/>
      <c r="T14" s="942"/>
      <c r="U14" s="942"/>
      <c r="AA14" s="952"/>
      <c r="AB14" s="942"/>
    </row>
    <row r="15" spans="1:28" s="2" customFormat="1">
      <c r="A15" s="224" t="s">
        <v>169</v>
      </c>
      <c r="B15" s="35" t="str">
        <f>Data!B157</f>
        <v>Losses discretionary reward scheme</v>
      </c>
      <c r="C15" s="155" t="str">
        <f>'RFPR cover'!$C$14</f>
        <v>£m 12/13</v>
      </c>
      <c r="D15" s="596">
        <v>0</v>
      </c>
      <c r="E15" s="597">
        <v>0.04</v>
      </c>
      <c r="F15" s="597">
        <v>0</v>
      </c>
      <c r="G15" s="597">
        <v>0</v>
      </c>
      <c r="H15" s="597">
        <v>0</v>
      </c>
      <c r="I15" s="597">
        <v>0</v>
      </c>
      <c r="J15" s="597">
        <v>0</v>
      </c>
      <c r="K15" s="597">
        <v>0</v>
      </c>
      <c r="L15" s="675">
        <f>SUM(D15:INDEX(D15:K15,0,MATCH('RFPR cover'!$C$7,$D$6:$K$6,0)))</f>
        <v>0.04</v>
      </c>
      <c r="M15" s="676">
        <f t="shared" si="1"/>
        <v>0.04</v>
      </c>
      <c r="O15" s="323"/>
      <c r="P15" s="942"/>
      <c r="Q15" s="942"/>
      <c r="R15" s="942"/>
      <c r="S15" s="942"/>
      <c r="T15" s="942"/>
      <c r="U15" s="942"/>
      <c r="AA15" s="942"/>
      <c r="AB15" s="942"/>
    </row>
    <row r="16" spans="1:28" s="2" customFormat="1">
      <c r="A16" s="224" t="s">
        <v>170</v>
      </c>
      <c r="B16" s="35" t="str">
        <f>Data!B158</f>
        <v/>
      </c>
      <c r="C16" s="155" t="str">
        <f>'RFPR cover'!$C$14</f>
        <v>£m 12/13</v>
      </c>
      <c r="D16" s="596"/>
      <c r="E16" s="597"/>
      <c r="F16" s="597"/>
      <c r="G16" s="597"/>
      <c r="H16" s="597"/>
      <c r="I16" s="597"/>
      <c r="J16" s="597"/>
      <c r="K16" s="597"/>
      <c r="L16" s="675">
        <f>SUM(D16:INDEX(D16:K16,0,MATCH('RFPR cover'!$C$7,$D$6:$K$6,0)))</f>
        <v>0</v>
      </c>
      <c r="M16" s="676">
        <f t="shared" si="1"/>
        <v>0</v>
      </c>
    </row>
    <row r="17" spans="1:16" s="2" customFormat="1">
      <c r="A17" s="224" t="s">
        <v>478</v>
      </c>
      <c r="B17" s="35" t="str">
        <f>Data!B159</f>
        <v/>
      </c>
      <c r="C17" s="155" t="str">
        <f>'RFPR cover'!$C$14</f>
        <v>£m 12/13</v>
      </c>
      <c r="D17" s="845"/>
      <c r="E17" s="846"/>
      <c r="F17" s="846"/>
      <c r="G17" s="846"/>
      <c r="H17" s="846"/>
      <c r="I17" s="846"/>
      <c r="J17" s="846"/>
      <c r="K17" s="983"/>
      <c r="L17" s="675">
        <f>SUM(D17:INDEX(D17:K17,0,MATCH('RFPR cover'!$C$7,$D$6:$K$6,0)))</f>
        <v>0</v>
      </c>
      <c r="M17" s="676">
        <f t="shared" si="1"/>
        <v>0</v>
      </c>
    </row>
    <row r="18" spans="1:16" s="2" customFormat="1">
      <c r="A18" s="35"/>
      <c r="B18" s="12" t="s">
        <v>203</v>
      </c>
      <c r="C18" s="156" t="str">
        <f>'RFPR cover'!$C$14</f>
        <v>£m 12/13</v>
      </c>
      <c r="D18" s="610">
        <f>SUM(D11:D17)</f>
        <v>24.345401896685363</v>
      </c>
      <c r="E18" s="610">
        <f t="shared" ref="E18:K18" si="2">SUM(E11:E17)</f>
        <v>24.035712931823731</v>
      </c>
      <c r="F18" s="610">
        <f t="shared" si="2"/>
        <v>24.65943</v>
      </c>
      <c r="G18" s="610">
        <f t="shared" si="2"/>
        <v>24.975750000000001</v>
      </c>
      <c r="H18" s="610">
        <f t="shared" si="2"/>
        <v>23.765421884927363</v>
      </c>
      <c r="I18" s="610">
        <f t="shared" si="2"/>
        <v>23.564532339410398</v>
      </c>
      <c r="J18" s="610">
        <f t="shared" si="2"/>
        <v>23.464732272424314</v>
      </c>
      <c r="K18" s="610">
        <f t="shared" si="2"/>
        <v>23.65811613587341</v>
      </c>
      <c r="L18" s="610">
        <f>SUM(L11:L17)</f>
        <v>168.81098132527117</v>
      </c>
      <c r="M18" s="610">
        <f>SUM(M11:M17)</f>
        <v>192.46909746114457</v>
      </c>
    </row>
    <row r="19" spans="1:16" s="2" customFormat="1">
      <c r="A19" s="35"/>
      <c r="B19" s="12"/>
      <c r="C19" s="156"/>
      <c r="D19" s="156"/>
      <c r="E19" s="156"/>
      <c r="F19" s="156"/>
      <c r="G19" s="156"/>
      <c r="H19" s="156"/>
      <c r="I19" s="156"/>
      <c r="J19" s="156"/>
      <c r="K19" s="156"/>
      <c r="L19" s="156"/>
      <c r="M19" s="156"/>
    </row>
    <row r="20" spans="1:16" s="2" customFormat="1">
      <c r="A20" s="35"/>
      <c r="B20" s="12" t="s">
        <v>372</v>
      </c>
      <c r="C20" s="156"/>
      <c r="D20" s="156"/>
      <c r="E20" s="156"/>
      <c r="F20" s="156"/>
      <c r="G20" s="156"/>
      <c r="H20" s="156"/>
      <c r="I20" s="156"/>
      <c r="J20" s="156"/>
      <c r="K20" s="156"/>
      <c r="L20" s="156"/>
      <c r="M20" s="156"/>
    </row>
    <row r="21" spans="1:16" s="2" customFormat="1" ht="30" customHeight="1">
      <c r="A21" s="269" t="str">
        <f>A11</f>
        <v>a</v>
      </c>
      <c r="B21" s="1036" t="s">
        <v>660</v>
      </c>
      <c r="C21" s="1036"/>
      <c r="D21" s="1036"/>
      <c r="E21" s="1036"/>
      <c r="F21" s="1036"/>
      <c r="G21" s="1036"/>
      <c r="H21" s="1036"/>
      <c r="I21" s="1036"/>
      <c r="J21" s="1036"/>
      <c r="K21" s="1036"/>
      <c r="L21" s="1036"/>
      <c r="M21" s="1036"/>
      <c r="O21" s="323"/>
    </row>
    <row r="22" spans="1:16" s="2" customFormat="1">
      <c r="A22" s="269" t="str">
        <f>A12</f>
        <v>b</v>
      </c>
      <c r="B22" s="1035" t="s">
        <v>652</v>
      </c>
      <c r="C22" s="1035"/>
      <c r="D22" s="1035"/>
      <c r="E22" s="1035"/>
      <c r="F22" s="1035"/>
      <c r="G22" s="1035"/>
      <c r="H22" s="1035"/>
      <c r="I22" s="1035"/>
      <c r="J22" s="1035"/>
      <c r="K22" s="1035"/>
      <c r="L22" s="1035"/>
      <c r="M22" s="1035"/>
    </row>
    <row r="23" spans="1:16" s="2" customFormat="1">
      <c r="A23" s="269" t="str">
        <f>A13</f>
        <v>c</v>
      </c>
      <c r="B23" s="1035"/>
      <c r="C23" s="1035"/>
      <c r="D23" s="1035"/>
      <c r="E23" s="1035"/>
      <c r="F23" s="1035"/>
      <c r="G23" s="1035"/>
      <c r="H23" s="1035"/>
      <c r="I23" s="1035"/>
      <c r="J23" s="1035"/>
      <c r="K23" s="1035"/>
      <c r="L23" s="1035"/>
      <c r="M23" s="1035"/>
    </row>
    <row r="24" spans="1:16" s="2" customFormat="1">
      <c r="A24" s="269" t="str">
        <f>A14</f>
        <v>d</v>
      </c>
      <c r="B24" s="1035" t="s">
        <v>651</v>
      </c>
      <c r="C24" s="1035"/>
      <c r="D24" s="1035"/>
      <c r="E24" s="1035"/>
      <c r="F24" s="1035"/>
      <c r="G24" s="1035"/>
      <c r="H24" s="1035"/>
      <c r="I24" s="1035"/>
      <c r="J24" s="1035"/>
      <c r="K24" s="1035"/>
      <c r="L24" s="1035"/>
      <c r="M24" s="1035"/>
    </row>
    <row r="25" spans="1:16" s="2" customFormat="1">
      <c r="A25" s="269" t="str">
        <f>A15</f>
        <v>e</v>
      </c>
      <c r="B25" s="1035"/>
      <c r="C25" s="1035"/>
      <c r="D25" s="1035"/>
      <c r="E25" s="1035"/>
      <c r="F25" s="1035"/>
      <c r="G25" s="1035"/>
      <c r="H25" s="1035"/>
      <c r="I25" s="1035"/>
      <c r="J25" s="1035"/>
      <c r="K25" s="1035"/>
      <c r="L25" s="1035"/>
      <c r="M25" s="1035"/>
    </row>
    <row r="26" spans="1:16" s="2" customFormat="1">
      <c r="A26" s="269" t="s">
        <v>170</v>
      </c>
      <c r="B26" s="841"/>
      <c r="C26" s="841"/>
      <c r="D26" s="841"/>
      <c r="E26" s="841"/>
      <c r="F26" s="841"/>
      <c r="G26" s="841"/>
      <c r="H26" s="841"/>
      <c r="I26" s="841"/>
      <c r="J26" s="841"/>
      <c r="K26" s="841"/>
      <c r="L26" s="841"/>
      <c r="M26" s="841"/>
    </row>
    <row r="27" spans="1:16" s="2" customFormat="1">
      <c r="A27" s="269" t="s">
        <v>478</v>
      </c>
      <c r="B27" s="841"/>
      <c r="C27" s="841"/>
      <c r="D27" s="841"/>
      <c r="E27" s="841"/>
      <c r="F27" s="841"/>
      <c r="G27" s="841"/>
      <c r="H27" s="841"/>
      <c r="I27" s="841"/>
      <c r="J27" s="841"/>
      <c r="K27" s="841"/>
      <c r="L27" s="841"/>
      <c r="M27" s="841"/>
    </row>
    <row r="28" spans="1:16" s="533" customFormat="1">
      <c r="A28" s="38"/>
      <c r="B28" s="537"/>
      <c r="C28" s="537"/>
      <c r="D28" s="537"/>
      <c r="E28" s="537"/>
      <c r="F28" s="537"/>
      <c r="G28" s="537"/>
      <c r="H28" s="537"/>
      <c r="I28" s="537"/>
      <c r="J28" s="537"/>
      <c r="K28" s="537"/>
      <c r="L28" s="537"/>
      <c r="M28" s="537"/>
    </row>
    <row r="29" spans="1:16" s="2" customFormat="1">
      <c r="B29" s="12"/>
      <c r="C29" s="136"/>
      <c r="D29" s="52"/>
      <c r="E29" s="52"/>
      <c r="F29" s="52"/>
      <c r="G29" s="52"/>
      <c r="H29" s="52"/>
      <c r="I29" s="52"/>
      <c r="J29" s="52"/>
      <c r="K29" s="52"/>
    </row>
    <row r="30" spans="1:16" s="2" customFormat="1">
      <c r="A30" s="35"/>
      <c r="B30" s="116" t="s">
        <v>200</v>
      </c>
      <c r="C30" s="150"/>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479</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71">
        <f>D51</f>
        <v>4.2913815363151437</v>
      </c>
      <c r="E39" s="671">
        <f t="shared" ref="E39:K39" si="4">E51</f>
        <v>4.1666400000000019</v>
      </c>
      <c r="F39" s="671">
        <f t="shared" si="4"/>
        <v>4.3633323000000015</v>
      </c>
      <c r="G39" s="671">
        <f t="shared" si="4"/>
        <v>4.597357500000002</v>
      </c>
      <c r="H39" s="671">
        <f t="shared" si="4"/>
        <v>3.6774000000000004</v>
      </c>
      <c r="I39" s="671">
        <f t="shared" si="4"/>
        <v>3.6774000000000004</v>
      </c>
      <c r="J39" s="671">
        <f t="shared" si="4"/>
        <v>3.6540153000000015</v>
      </c>
      <c r="K39" s="671">
        <f t="shared" si="4"/>
        <v>3.6774000000000004</v>
      </c>
      <c r="L39" s="671">
        <f>SUM(D39:INDEX(D39:K39,0,MATCH('RFPR cover'!$C$7,$D$6:$K$6,0)))</f>
        <v>28.427526636315147</v>
      </c>
      <c r="M39" s="672">
        <f t="shared" ref="M39:M45" si="5">SUM(D39:K39)</f>
        <v>32.104926636315149</v>
      </c>
    </row>
    <row r="40" spans="1:14" s="2" customFormat="1">
      <c r="A40" s="160" t="str">
        <f t="shared" si="3"/>
        <v>b</v>
      </c>
      <c r="B40" s="35" t="str">
        <f>$B$12&amp;""</f>
        <v>Interruptions-related quality of service</v>
      </c>
      <c r="C40" s="155" t="str">
        <f>'RFPR cover'!$C$14</f>
        <v>£m 12/13</v>
      </c>
      <c r="D40" s="671">
        <f>D55</f>
        <v>14.337</v>
      </c>
      <c r="E40" s="671">
        <f t="shared" ref="E40:K40" si="6">E55</f>
        <v>14.337</v>
      </c>
      <c r="F40" s="671">
        <f t="shared" si="6"/>
        <v>14.337</v>
      </c>
      <c r="G40" s="671">
        <f t="shared" si="6"/>
        <v>14.337</v>
      </c>
      <c r="H40" s="671">
        <f t="shared" si="6"/>
        <v>14.337</v>
      </c>
      <c r="I40" s="671">
        <f t="shared" si="6"/>
        <v>14.337</v>
      </c>
      <c r="J40" s="671">
        <f t="shared" si="6"/>
        <v>14.337</v>
      </c>
      <c r="K40" s="671">
        <f t="shared" si="6"/>
        <v>14.337</v>
      </c>
      <c r="L40" s="675">
        <f>SUM(D40:INDEX(D40:K40,0,MATCH('RFPR cover'!$C$7,$D$6:$K$6,0)))</f>
        <v>100.35900000000001</v>
      </c>
      <c r="M40" s="676">
        <f t="shared" si="5"/>
        <v>114.69600000000001</v>
      </c>
    </row>
    <row r="41" spans="1:14" s="2" customFormat="1">
      <c r="A41" s="160" t="str">
        <f t="shared" si="3"/>
        <v>c</v>
      </c>
      <c r="B41" s="35" t="str">
        <f>$B$13&amp;""</f>
        <v>Incentive on connections engagement</v>
      </c>
      <c r="C41" s="155" t="str">
        <f>'RFPR cover'!$C$14</f>
        <v>£m 12/13</v>
      </c>
      <c r="D41" s="671">
        <f>D59</f>
        <v>0</v>
      </c>
      <c r="E41" s="671">
        <f t="shared" ref="E41:K41" si="7">E59</f>
        <v>0</v>
      </c>
      <c r="F41" s="671">
        <f t="shared" si="7"/>
        <v>0</v>
      </c>
      <c r="G41" s="671">
        <f t="shared" si="7"/>
        <v>0</v>
      </c>
      <c r="H41" s="671">
        <f t="shared" si="7"/>
        <v>0</v>
      </c>
      <c r="I41" s="671">
        <f t="shared" si="7"/>
        <v>0</v>
      </c>
      <c r="J41" s="671">
        <f t="shared" si="7"/>
        <v>0</v>
      </c>
      <c r="K41" s="671">
        <f t="shared" si="7"/>
        <v>0</v>
      </c>
      <c r="L41" s="675">
        <f>SUM(D41:INDEX(D41:K41,0,MATCH('RFPR cover'!$C$7,$D$6:$K$6,0)))</f>
        <v>0</v>
      </c>
      <c r="M41" s="676">
        <f t="shared" si="5"/>
        <v>0</v>
      </c>
    </row>
    <row r="42" spans="1:14" s="2" customFormat="1">
      <c r="A42" s="160" t="str">
        <f t="shared" si="3"/>
        <v>d</v>
      </c>
      <c r="B42" s="35" t="str">
        <f>$B$14&amp;""</f>
        <v>Time to Connect Incentive</v>
      </c>
      <c r="C42" s="155" t="str">
        <f>'RFPR cover'!$C$14</f>
        <v>£m 12/13</v>
      </c>
      <c r="D42" s="671">
        <f>D63</f>
        <v>1.0913940000000002</v>
      </c>
      <c r="E42" s="671">
        <f t="shared" ref="E42:K42" si="8">E63</f>
        <v>0.93288747477722245</v>
      </c>
      <c r="F42" s="671">
        <f t="shared" si="8"/>
        <v>1.2738060000000002</v>
      </c>
      <c r="G42" s="671">
        <f t="shared" si="8"/>
        <v>1.2960000000000003</v>
      </c>
      <c r="H42" s="671">
        <f t="shared" si="8"/>
        <v>1.235591726791166</v>
      </c>
      <c r="I42" s="671">
        <f t="shared" si="8"/>
        <v>1.0728711949224234</v>
      </c>
      <c r="J42" s="671">
        <f t="shared" si="8"/>
        <v>1.0154178406636949</v>
      </c>
      <c r="K42" s="671">
        <f t="shared" si="8"/>
        <v>1.1486740700574642</v>
      </c>
      <c r="L42" s="675">
        <f>SUM(D42:INDEX(D42:K42,0,MATCH('RFPR cover'!$C$7,$D$6:$K$6,0)))</f>
        <v>7.9179682371545077</v>
      </c>
      <c r="M42" s="676">
        <f t="shared" si="5"/>
        <v>9.0666423072119713</v>
      </c>
    </row>
    <row r="43" spans="1:14" s="2" customFormat="1">
      <c r="A43" s="160" t="str">
        <f t="shared" si="3"/>
        <v>e</v>
      </c>
      <c r="B43" s="35" t="str">
        <f>$B$15&amp;""</f>
        <v>Losses discretionary reward scheme</v>
      </c>
      <c r="C43" s="155" t="str">
        <f>'RFPR cover'!$C$14</f>
        <v>£m 12/13</v>
      </c>
      <c r="D43" s="671">
        <f>D67</f>
        <v>0</v>
      </c>
      <c r="E43" s="671">
        <f t="shared" ref="E43:K43" si="9">E67</f>
        <v>3.2400000000000005E-2</v>
      </c>
      <c r="F43" s="671">
        <f t="shared" si="9"/>
        <v>0</v>
      </c>
      <c r="G43" s="671">
        <f t="shared" si="9"/>
        <v>0</v>
      </c>
      <c r="H43" s="671">
        <f t="shared" si="9"/>
        <v>0</v>
      </c>
      <c r="I43" s="671">
        <f t="shared" si="9"/>
        <v>0</v>
      </c>
      <c r="J43" s="671">
        <f t="shared" si="9"/>
        <v>0</v>
      </c>
      <c r="K43" s="671">
        <f t="shared" si="9"/>
        <v>0</v>
      </c>
      <c r="L43" s="675">
        <f>SUM(D43:INDEX(D43:K43,0,MATCH('RFPR cover'!$C$7,$D$6:$K$6,0)))</f>
        <v>3.2400000000000005E-2</v>
      </c>
      <c r="M43" s="676">
        <f t="shared" si="5"/>
        <v>3.2400000000000005E-2</v>
      </c>
    </row>
    <row r="44" spans="1:14" s="2" customFormat="1">
      <c r="A44" s="160" t="str">
        <f t="shared" si="3"/>
        <v>f</v>
      </c>
      <c r="B44" s="35" t="str">
        <f>$B$16&amp;""</f>
        <v/>
      </c>
      <c r="C44" s="155" t="str">
        <f>'RFPR cover'!$C$14</f>
        <v>£m 12/13</v>
      </c>
      <c r="D44" s="671">
        <f>D71</f>
        <v>0</v>
      </c>
      <c r="E44" s="671">
        <f t="shared" ref="E44:K44" si="10">E71</f>
        <v>0</v>
      </c>
      <c r="F44" s="671">
        <f t="shared" si="10"/>
        <v>0</v>
      </c>
      <c r="G44" s="671">
        <f t="shared" si="10"/>
        <v>0</v>
      </c>
      <c r="H44" s="671">
        <f t="shared" si="10"/>
        <v>0</v>
      </c>
      <c r="I44" s="671">
        <f t="shared" si="10"/>
        <v>0</v>
      </c>
      <c r="J44" s="671">
        <f t="shared" si="10"/>
        <v>0</v>
      </c>
      <c r="K44" s="671">
        <f t="shared" si="10"/>
        <v>0</v>
      </c>
      <c r="L44" s="675">
        <f>SUM(D44:INDEX(D44:K44,0,MATCH('RFPR cover'!$C$7,$D$6:$K$6,0)))</f>
        <v>0</v>
      </c>
      <c r="M44" s="676">
        <f t="shared" si="5"/>
        <v>0</v>
      </c>
    </row>
    <row r="45" spans="1:14" s="2" customFormat="1">
      <c r="A45" s="160" t="str">
        <f t="shared" si="3"/>
        <v>g</v>
      </c>
      <c r="B45" s="35" t="str">
        <f>$B$17&amp;""</f>
        <v/>
      </c>
      <c r="C45" s="155" t="str">
        <f>'RFPR cover'!$C$14</f>
        <v>£m 12/13</v>
      </c>
      <c r="D45" s="671">
        <f>D75</f>
        <v>0</v>
      </c>
      <c r="E45" s="671">
        <f t="shared" ref="E45:K45" si="11">E75</f>
        <v>0</v>
      </c>
      <c r="F45" s="671">
        <f t="shared" si="11"/>
        <v>0</v>
      </c>
      <c r="G45" s="671">
        <f t="shared" si="11"/>
        <v>0</v>
      </c>
      <c r="H45" s="671">
        <f t="shared" si="11"/>
        <v>0</v>
      </c>
      <c r="I45" s="671">
        <f t="shared" si="11"/>
        <v>0</v>
      </c>
      <c r="J45" s="671">
        <f t="shared" si="11"/>
        <v>0</v>
      </c>
      <c r="K45" s="671">
        <f t="shared" si="11"/>
        <v>0</v>
      </c>
      <c r="L45" s="675">
        <f>SUM(D45:INDEX(D45:K45,0,MATCH('RFPR cover'!$C$7,$D$6:$K$6,0)))</f>
        <v>0</v>
      </c>
      <c r="M45" s="676">
        <f t="shared" si="5"/>
        <v>0</v>
      </c>
    </row>
    <row r="46" spans="1:14" s="2" customFormat="1">
      <c r="B46" s="12" t="s">
        <v>204</v>
      </c>
      <c r="C46" s="156" t="str">
        <f>'RFPR cover'!$C$14</f>
        <v>£m 12/13</v>
      </c>
      <c r="D46" s="610">
        <f>SUM(D39:D45)</f>
        <v>19.719775536315144</v>
      </c>
      <c r="E46" s="610">
        <f t="shared" ref="E46:M46" si="12">SUM(E39:E45)</f>
        <v>19.468927474777221</v>
      </c>
      <c r="F46" s="610">
        <f t="shared" si="12"/>
        <v>19.9741383</v>
      </c>
      <c r="G46" s="610">
        <f t="shared" si="12"/>
        <v>20.2303575</v>
      </c>
      <c r="H46" s="611">
        <f t="shared" si="12"/>
        <v>19.249991726791169</v>
      </c>
      <c r="I46" s="611">
        <f t="shared" si="12"/>
        <v>19.087271194922426</v>
      </c>
      <c r="J46" s="611">
        <f t="shared" si="12"/>
        <v>19.006433140663695</v>
      </c>
      <c r="K46" s="611">
        <f t="shared" si="12"/>
        <v>19.163074070057466</v>
      </c>
      <c r="L46" s="610">
        <f t="shared" si="12"/>
        <v>136.73689487346965</v>
      </c>
      <c r="M46" s="610">
        <f t="shared" si="12"/>
        <v>155.89996894352711</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78">
        <f>INDEX($D$11:$K$17,MATCH($A49,$A$11:$A$17,0),0)</f>
        <v>5.2980018966853626</v>
      </c>
      <c r="E49" s="778">
        <f t="shared" ref="E49:K49" si="13">INDEX($D$11:$K$17,MATCH($A49,$A$11:$A$17,0),0)</f>
        <v>5.1440000000000019</v>
      </c>
      <c r="F49" s="778">
        <f t="shared" si="13"/>
        <v>5.3868300000000016</v>
      </c>
      <c r="G49" s="778">
        <f t="shared" si="13"/>
        <v>5.6757500000000016</v>
      </c>
      <c r="H49" s="778">
        <f t="shared" si="13"/>
        <v>4.54</v>
      </c>
      <c r="I49" s="778">
        <f t="shared" si="13"/>
        <v>4.54</v>
      </c>
      <c r="J49" s="778">
        <f t="shared" si="13"/>
        <v>4.5111300000000014</v>
      </c>
      <c r="K49" s="778">
        <f t="shared" si="13"/>
        <v>4.54</v>
      </c>
      <c r="L49" s="778">
        <f>SUM(D49:INDEX(D49:K49,0,MATCH('RFPR cover'!$C$7,$D$6:$K$6,0)))</f>
        <v>35.095711896685373</v>
      </c>
      <c r="M49" s="779">
        <f>SUM(D49:K49)</f>
        <v>39.635711896685372</v>
      </c>
    </row>
    <row r="50" spans="1:13" s="2" customFormat="1">
      <c r="A50" s="160"/>
      <c r="B50" s="35" t="s">
        <v>201</v>
      </c>
      <c r="C50" s="294" t="s">
        <v>202</v>
      </c>
      <c r="D50" s="881">
        <f>IF($C50=$B$33,$B$33,INDEX(Data!$G$14:$G$30,MATCH('R5 - Output Incentives'!D$6+RIGHT('R5 - Output Incentives'!$C50,2),Data!$C$14:$C$30,0),0))</f>
        <v>0.19</v>
      </c>
      <c r="E50" s="882">
        <f>IF($C50=$B$33,$B$33,INDEX(Data!$G$14:$G$30,MATCH('R5 - Output Incentives'!E$6+RIGHT('R5 - Output Incentives'!$C50,2),Data!$C$14:$C$30,0),0))</f>
        <v>0.19</v>
      </c>
      <c r="F50" s="882">
        <f>IF($C50=$B$33,$B$33,INDEX(Data!$G$14:$G$30,MATCH('R5 - Output Incentives'!F$6+RIGHT('R5 - Output Incentives'!$C50,2),Data!$C$14:$C$30,0),0))</f>
        <v>0.19</v>
      </c>
      <c r="G50" s="882">
        <f>IF($C50=$B$33,$B$33,INDEX(Data!$G$14:$G$30,MATCH('R5 - Output Incentives'!G$6+RIGHT('R5 - Output Incentives'!$C50,2),Data!$C$14:$C$30,0),0))</f>
        <v>0.19</v>
      </c>
      <c r="H50" s="882">
        <f>IF($C50=$B$33,$B$33,INDEX(Data!$G$14:$G$30,MATCH('R5 - Output Incentives'!H$6+RIGHT('R5 - Output Incentives'!$C50,2),Data!$C$14:$C$30,0),0))</f>
        <v>0.19</v>
      </c>
      <c r="I50" s="882">
        <f>IF($C50=$B$33,$B$33,INDEX(Data!$G$14:$G$30,MATCH('R5 - Output Incentives'!I$6+RIGHT('R5 - Output Incentives'!$C50,2),Data!$C$14:$C$30,0),0))</f>
        <v>0.19</v>
      </c>
      <c r="J50" s="882">
        <f>IF($C50=$B$33,$B$33,INDEX(Data!$G$14:$G$30,MATCH('R5 - Output Incentives'!J$6+RIGHT('R5 - Output Incentives'!$C50,2),Data!$C$14:$C$30,0),0))</f>
        <v>0.19</v>
      </c>
      <c r="K50" s="883">
        <f>IF($C50=$B$33,$B$33,INDEX(Data!$G$14:$G$30,MATCH('R5 - Output Incentives'!K$6+RIGHT('R5 - Output Incentives'!$C50,2),Data!$C$14:$C$30,0),0))</f>
        <v>0.19</v>
      </c>
      <c r="L50" s="780"/>
      <c r="M50" s="781"/>
    </row>
    <row r="51" spans="1:13" s="2" customFormat="1">
      <c r="A51" s="160"/>
      <c r="B51" s="35" t="s">
        <v>210</v>
      </c>
      <c r="C51" s="155"/>
      <c r="D51" s="610">
        <f>IFERROR(D49*(1-D50),0)</f>
        <v>4.2913815363151437</v>
      </c>
      <c r="E51" s="611">
        <f t="shared" ref="E51:K51" si="14">IFERROR(E49*(1-E50),0)</f>
        <v>4.1666400000000019</v>
      </c>
      <c r="F51" s="611">
        <f t="shared" si="14"/>
        <v>4.3633323000000015</v>
      </c>
      <c r="G51" s="611">
        <f t="shared" si="14"/>
        <v>4.597357500000002</v>
      </c>
      <c r="H51" s="611">
        <f t="shared" si="14"/>
        <v>3.6774000000000004</v>
      </c>
      <c r="I51" s="611">
        <f t="shared" si="14"/>
        <v>3.6774000000000004</v>
      </c>
      <c r="J51" s="611">
        <f t="shared" si="14"/>
        <v>3.6540153000000015</v>
      </c>
      <c r="K51" s="611">
        <f t="shared" si="14"/>
        <v>3.6774000000000004</v>
      </c>
      <c r="L51" s="669">
        <f>SUM(D51:INDEX(D51:K51,0,MATCH('RFPR cover'!$C$7,$D$6:$K$6,0)))</f>
        <v>28.427526636315147</v>
      </c>
      <c r="M51" s="670">
        <f>SUM(D51:K51)</f>
        <v>32.104926636315149</v>
      </c>
    </row>
    <row r="52" spans="1:13" s="2" customFormat="1">
      <c r="A52" s="160"/>
      <c r="B52" s="51"/>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78">
        <f>INDEX($D$11:$K$17,MATCH($A53,$A$11:$A$17,0),0)</f>
        <v>17.7</v>
      </c>
      <c r="E53" s="778">
        <f t="shared" ref="E53:K53" si="15">INDEX($D$11:$K$17,MATCH($A53,$A$11:$A$17,0),0)</f>
        <v>17.7</v>
      </c>
      <c r="F53" s="778">
        <f t="shared" si="15"/>
        <v>17.7</v>
      </c>
      <c r="G53" s="778">
        <f t="shared" si="15"/>
        <v>17.7</v>
      </c>
      <c r="H53" s="778">
        <f t="shared" si="15"/>
        <v>17.7</v>
      </c>
      <c r="I53" s="778">
        <f t="shared" si="15"/>
        <v>17.7</v>
      </c>
      <c r="J53" s="778">
        <f t="shared" si="15"/>
        <v>17.7</v>
      </c>
      <c r="K53" s="778">
        <f t="shared" si="15"/>
        <v>17.7</v>
      </c>
      <c r="L53" s="671">
        <f>SUM(D53:INDEX(D53:K53,0,MATCH('RFPR cover'!$C$7,$D$6:$K$6,0)))</f>
        <v>123.9</v>
      </c>
      <c r="M53" s="672">
        <f>SUM(D53:K53)</f>
        <v>141.6</v>
      </c>
    </row>
    <row r="54" spans="1:13" s="2" customFormat="1">
      <c r="A54" s="160"/>
      <c r="B54" s="35" t="s">
        <v>201</v>
      </c>
      <c r="C54" s="294" t="s">
        <v>202</v>
      </c>
      <c r="D54" s="881">
        <f>IF($C54=$B$33,$B$33,INDEX(Data!$G$14:$G$30,MATCH('R5 - Output Incentives'!D$6+RIGHT('R5 - Output Incentives'!$C54,2),Data!$C$14:$C$30,0),0))</f>
        <v>0.19</v>
      </c>
      <c r="E54" s="882">
        <f>IF($C54=$B$33,$B$33,INDEX(Data!$G$14:$G$30,MATCH('R5 - Output Incentives'!E$6+RIGHT('R5 - Output Incentives'!$C54,2),Data!$C$14:$C$30,0),0))</f>
        <v>0.19</v>
      </c>
      <c r="F54" s="882">
        <f>IF($C54=$B$33,$B$33,INDEX(Data!$G$14:$G$30,MATCH('R5 - Output Incentives'!F$6+RIGHT('R5 - Output Incentives'!$C54,2),Data!$C$14:$C$30,0),0))</f>
        <v>0.19</v>
      </c>
      <c r="G54" s="882">
        <f>IF($C54=$B$33,$B$33,INDEX(Data!$G$14:$G$30,MATCH('R5 - Output Incentives'!G$6+RIGHT('R5 - Output Incentives'!$C54,2),Data!$C$14:$C$30,0),0))</f>
        <v>0.19</v>
      </c>
      <c r="H54" s="882">
        <f>IF($C54=$B$33,$B$33,INDEX(Data!$G$14:$G$30,MATCH('R5 - Output Incentives'!H$6+RIGHT('R5 - Output Incentives'!$C54,2),Data!$C$14:$C$30,0),0))</f>
        <v>0.19</v>
      </c>
      <c r="I54" s="882">
        <f>IF($C54=$B$33,$B$33,INDEX(Data!$G$14:$G$30,MATCH('R5 - Output Incentives'!I$6+RIGHT('R5 - Output Incentives'!$C54,2),Data!$C$14:$C$30,0),0))</f>
        <v>0.19</v>
      </c>
      <c r="J54" s="882">
        <f>IF($C54=$B$33,$B$33,INDEX(Data!$G$14:$G$30,MATCH('R5 - Output Incentives'!J$6+RIGHT('R5 - Output Incentives'!$C54,2),Data!$C$14:$C$30,0),0))</f>
        <v>0.19</v>
      </c>
      <c r="K54" s="883">
        <f>IF($C54=$B$33,$B$33,INDEX(Data!$G$14:$G$30,MATCH('R5 - Output Incentives'!K$6+RIGHT('R5 - Output Incentives'!$C54,2),Data!$C$14:$C$30,0),0))</f>
        <v>0.19</v>
      </c>
      <c r="L54" s="780"/>
      <c r="M54" s="781"/>
    </row>
    <row r="55" spans="1:13" s="2" customFormat="1">
      <c r="A55" s="160"/>
      <c r="B55" s="35" t="s">
        <v>210</v>
      </c>
      <c r="C55" s="155"/>
      <c r="D55" s="610">
        <f>IFERROR(D53*(1-D54),0)</f>
        <v>14.337</v>
      </c>
      <c r="E55" s="611">
        <f t="shared" ref="E55:K55" si="16">IFERROR(E53*(1-E54),0)</f>
        <v>14.337</v>
      </c>
      <c r="F55" s="611">
        <f t="shared" si="16"/>
        <v>14.337</v>
      </c>
      <c r="G55" s="611">
        <f t="shared" si="16"/>
        <v>14.337</v>
      </c>
      <c r="H55" s="611">
        <f t="shared" si="16"/>
        <v>14.337</v>
      </c>
      <c r="I55" s="611">
        <f t="shared" si="16"/>
        <v>14.337</v>
      </c>
      <c r="J55" s="611">
        <f t="shared" si="16"/>
        <v>14.337</v>
      </c>
      <c r="K55" s="611">
        <f t="shared" si="16"/>
        <v>14.337</v>
      </c>
      <c r="L55" s="669">
        <f>SUM(D55:INDEX(D55:K55,0,MATCH('RFPR cover'!$C$7,$D$6:$K$6,0)))</f>
        <v>100.35900000000001</v>
      </c>
      <c r="M55" s="670">
        <f>SUM(D55:K55)</f>
        <v>114.69600000000001</v>
      </c>
    </row>
    <row r="56" spans="1:13" s="2" customFormat="1">
      <c r="A56" s="160"/>
      <c r="B56" s="51"/>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78">
        <f>INDEX($D$11:$K$17,MATCH($A57,$A$11:$A$17,0),0)</f>
        <v>0</v>
      </c>
      <c r="E57" s="778">
        <f t="shared" ref="E57:K57" si="17">INDEX($D$11:$K$17,MATCH($A57,$A$11:$A$17,0),0)</f>
        <v>0</v>
      </c>
      <c r="F57" s="778">
        <f t="shared" si="17"/>
        <v>0</v>
      </c>
      <c r="G57" s="778">
        <f t="shared" si="17"/>
        <v>0</v>
      </c>
      <c r="H57" s="778">
        <f t="shared" si="17"/>
        <v>0</v>
      </c>
      <c r="I57" s="778">
        <f t="shared" si="17"/>
        <v>0</v>
      </c>
      <c r="J57" s="778">
        <f t="shared" si="17"/>
        <v>0</v>
      </c>
      <c r="K57" s="778">
        <f t="shared" si="17"/>
        <v>0</v>
      </c>
      <c r="L57" s="671">
        <f>SUM(D57:INDEX(D57:K57,0,MATCH('RFPR cover'!$C$7,$D$6:$K$6,0)))</f>
        <v>0</v>
      </c>
      <c r="M57" s="672">
        <f>SUM(D57:K57)</f>
        <v>0</v>
      </c>
    </row>
    <row r="58" spans="1:13" s="2" customFormat="1">
      <c r="A58" s="160"/>
      <c r="B58" s="35" t="s">
        <v>201</v>
      </c>
      <c r="C58" s="294" t="s">
        <v>208</v>
      </c>
      <c r="D58" s="881">
        <f>IF($C58=$B$33,$B$33,INDEX(Data!$G$14:$G$30,MATCH('R5 - Output Incentives'!D$6+RIGHT('R5 - Output Incentives'!$C58,2),Data!$C$14:$C$30,0),0))</f>
        <v>0.19</v>
      </c>
      <c r="E58" s="882">
        <f>IF($C58=$B$33,$B$33,INDEX(Data!$G$14:$G$30,MATCH('R5 - Output Incentives'!E$6+RIGHT('R5 - Output Incentives'!$C58,2),Data!$C$14:$C$30,0),0))</f>
        <v>0.19</v>
      </c>
      <c r="F58" s="882">
        <f>IF($C58=$B$33,$B$33,INDEX(Data!$G$14:$G$30,MATCH('R5 - Output Incentives'!F$6+RIGHT('R5 - Output Incentives'!$C58,2),Data!$C$14:$C$30,0),0))</f>
        <v>0.19</v>
      </c>
      <c r="G58" s="882">
        <f>IF($C58=$B$33,$B$33,INDEX(Data!$G$14:$G$30,MATCH('R5 - Output Incentives'!G$6+RIGHT('R5 - Output Incentives'!$C58,2),Data!$C$14:$C$30,0),0))</f>
        <v>0.19</v>
      </c>
      <c r="H58" s="882">
        <f>IF($C58=$B$33,$B$33,INDEX(Data!$G$14:$G$30,MATCH('R5 - Output Incentives'!H$6+RIGHT('R5 - Output Incentives'!$C58,2),Data!$C$14:$C$30,0),0))</f>
        <v>0.19</v>
      </c>
      <c r="I58" s="882">
        <f>IF($C58=$B$33,$B$33,INDEX(Data!$G$14:$G$30,MATCH('R5 - Output Incentives'!I$6+RIGHT('R5 - Output Incentives'!$C58,2),Data!$C$14:$C$30,0),0))</f>
        <v>0.19</v>
      </c>
      <c r="J58" s="882">
        <f>IF($C58=$B$33,$B$33,INDEX(Data!$G$14:$G$30,MATCH('R5 - Output Incentives'!J$6+RIGHT('R5 - Output Incentives'!$C58,2),Data!$C$14:$C$30,0),0))</f>
        <v>0.19</v>
      </c>
      <c r="K58" s="883">
        <f>IF($C58=$B$33,$B$33,INDEX(Data!$G$14:$G$30,MATCH('R5 - Output Incentives'!K$6+RIGHT('R5 - Output Incentives'!$C58,2),Data!$C$14:$C$30,0),0))</f>
        <v>0.19</v>
      </c>
      <c r="L58" s="780"/>
      <c r="M58" s="781"/>
    </row>
    <row r="59" spans="1:13" s="2" customFormat="1">
      <c r="A59" s="160"/>
      <c r="B59" s="35" t="s">
        <v>210</v>
      </c>
      <c r="C59" s="155"/>
      <c r="D59" s="610">
        <f>IFERROR(D57*(1-D58),0)</f>
        <v>0</v>
      </c>
      <c r="E59" s="611">
        <f t="shared" ref="E59:K59" si="18">IFERROR(E57*(1-E58),0)</f>
        <v>0</v>
      </c>
      <c r="F59" s="611">
        <f t="shared" si="18"/>
        <v>0</v>
      </c>
      <c r="G59" s="611">
        <f t="shared" si="18"/>
        <v>0</v>
      </c>
      <c r="H59" s="611">
        <f t="shared" si="18"/>
        <v>0</v>
      </c>
      <c r="I59" s="611">
        <f t="shared" si="18"/>
        <v>0</v>
      </c>
      <c r="J59" s="611">
        <f t="shared" si="18"/>
        <v>0</v>
      </c>
      <c r="K59" s="611">
        <f t="shared" si="18"/>
        <v>0</v>
      </c>
      <c r="L59" s="669">
        <f>SUM(D59:INDEX(D59:K59,0,MATCH('RFPR cover'!$C$7,$D$6:$K$6,0)))</f>
        <v>0</v>
      </c>
      <c r="M59" s="670">
        <f>SUM(D59:K59)</f>
        <v>0</v>
      </c>
    </row>
    <row r="60" spans="1:13" s="2" customFormat="1">
      <c r="A60" s="160"/>
      <c r="B60" s="51"/>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78">
        <f>INDEX($D$11:$K$17,MATCH($A61,$A$11:$A$17,0),0)</f>
        <v>1.3474000000000002</v>
      </c>
      <c r="E61" s="778">
        <f t="shared" ref="E61:K61" si="19">INDEX($D$11:$K$17,MATCH($A61,$A$11:$A$17,0),0)</f>
        <v>1.1517129318237314</v>
      </c>
      <c r="F61" s="778">
        <f t="shared" si="19"/>
        <v>1.5726000000000002</v>
      </c>
      <c r="G61" s="778">
        <f t="shared" si="19"/>
        <v>1.6</v>
      </c>
      <c r="H61" s="778">
        <f t="shared" si="19"/>
        <v>1.5254218849273653</v>
      </c>
      <c r="I61" s="778">
        <f t="shared" si="19"/>
        <v>1.3245323394103992</v>
      </c>
      <c r="J61" s="778">
        <f t="shared" si="19"/>
        <v>1.2536022724243145</v>
      </c>
      <c r="K61" s="778">
        <f t="shared" si="19"/>
        <v>1.4181161358734125</v>
      </c>
      <c r="L61" s="671">
        <f>SUM(D61:INDEX(D61:K61,0,MATCH('RFPR cover'!$C$7,$D$6:$K$6,0)))</f>
        <v>9.7752694285858119</v>
      </c>
      <c r="M61" s="672">
        <f>SUM(D61:K61)</f>
        <v>11.193385564459224</v>
      </c>
    </row>
    <row r="62" spans="1:13" s="2" customFormat="1">
      <c r="A62" s="160"/>
      <c r="B62" s="35" t="s">
        <v>201</v>
      </c>
      <c r="C62" s="294" t="s">
        <v>202</v>
      </c>
      <c r="D62" s="881">
        <f>IF($C62=$B$33,$B$33,INDEX(Data!$G$14:$G$30,MATCH('R5 - Output Incentives'!D$6+RIGHT('R5 - Output Incentives'!$C62,2),Data!$C$14:$C$30,0),0))</f>
        <v>0.19</v>
      </c>
      <c r="E62" s="882">
        <f>IF($C62=$B$33,$B$33,INDEX(Data!$G$14:$G$30,MATCH('R5 - Output Incentives'!E$6+RIGHT('R5 - Output Incentives'!$C62,2),Data!$C$14:$C$30,0),0))</f>
        <v>0.19</v>
      </c>
      <c r="F62" s="882">
        <f>IF($C62=$B$33,$B$33,INDEX(Data!$G$14:$G$30,MATCH('R5 - Output Incentives'!F$6+RIGHT('R5 - Output Incentives'!$C62,2),Data!$C$14:$C$30,0),0))</f>
        <v>0.19</v>
      </c>
      <c r="G62" s="882">
        <f>IF($C62=$B$33,$B$33,INDEX(Data!$G$14:$G$30,MATCH('R5 - Output Incentives'!G$6+RIGHT('R5 - Output Incentives'!$C62,2),Data!$C$14:$C$30,0),0))</f>
        <v>0.19</v>
      </c>
      <c r="H62" s="882">
        <f>IF($C62=$B$33,$B$33,INDEX(Data!$G$14:$G$30,MATCH('R5 - Output Incentives'!H$6+RIGHT('R5 - Output Incentives'!$C62,2),Data!$C$14:$C$30,0),0))</f>
        <v>0.19</v>
      </c>
      <c r="I62" s="882">
        <f>IF($C62=$B$33,$B$33,INDEX(Data!$G$14:$G$30,MATCH('R5 - Output Incentives'!I$6+RIGHT('R5 - Output Incentives'!$C62,2),Data!$C$14:$C$30,0),0))</f>
        <v>0.19</v>
      </c>
      <c r="J62" s="882">
        <f>IF($C62=$B$33,$B$33,INDEX(Data!$G$14:$G$30,MATCH('R5 - Output Incentives'!J$6+RIGHT('R5 - Output Incentives'!$C62,2),Data!$C$14:$C$30,0),0))</f>
        <v>0.19</v>
      </c>
      <c r="K62" s="883">
        <f>IF($C62=$B$33,$B$33,INDEX(Data!$G$14:$G$30,MATCH('R5 - Output Incentives'!K$6+RIGHT('R5 - Output Incentives'!$C62,2),Data!$C$14:$C$30,0),0))</f>
        <v>0.19</v>
      </c>
      <c r="L62" s="780"/>
      <c r="M62" s="781"/>
    </row>
    <row r="63" spans="1:13" s="2" customFormat="1">
      <c r="A63" s="160"/>
      <c r="B63" s="35" t="s">
        <v>210</v>
      </c>
      <c r="C63" s="155"/>
      <c r="D63" s="610">
        <f>IFERROR(D61*(1-D62),0)</f>
        <v>1.0913940000000002</v>
      </c>
      <c r="E63" s="611">
        <f t="shared" ref="E63:K63" si="20">IFERROR(E61*(1-E62),0)</f>
        <v>0.93288747477722245</v>
      </c>
      <c r="F63" s="611">
        <f t="shared" si="20"/>
        <v>1.2738060000000002</v>
      </c>
      <c r="G63" s="611">
        <f t="shared" si="20"/>
        <v>1.2960000000000003</v>
      </c>
      <c r="H63" s="611">
        <f t="shared" si="20"/>
        <v>1.235591726791166</v>
      </c>
      <c r="I63" s="611">
        <f t="shared" si="20"/>
        <v>1.0728711949224234</v>
      </c>
      <c r="J63" s="611">
        <f t="shared" si="20"/>
        <v>1.0154178406636949</v>
      </c>
      <c r="K63" s="611">
        <f t="shared" si="20"/>
        <v>1.1486740700574642</v>
      </c>
      <c r="L63" s="669">
        <f>SUM(D63:INDEX(D63:K63,0,MATCH('RFPR cover'!$C$7,$D$6:$K$6,0)))</f>
        <v>7.9179682371545077</v>
      </c>
      <c r="M63" s="670">
        <f>SUM(D63:K63)</f>
        <v>9.0666423072119713</v>
      </c>
    </row>
    <row r="64" spans="1:13" s="2" customFormat="1">
      <c r="A64" s="160"/>
      <c r="B64" s="51"/>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78">
        <f>INDEX($D$11:$K$17,MATCH($A65,$A$11:$A$17,0),0)</f>
        <v>0</v>
      </c>
      <c r="E65" s="778">
        <f t="shared" ref="E65:K65" si="21">INDEX($D$11:$K$17,MATCH($A65,$A$11:$A$17,0),0)</f>
        <v>0.04</v>
      </c>
      <c r="F65" s="778">
        <f t="shared" si="21"/>
        <v>0</v>
      </c>
      <c r="G65" s="778">
        <f t="shared" si="21"/>
        <v>0</v>
      </c>
      <c r="H65" s="778">
        <f t="shared" si="21"/>
        <v>0</v>
      </c>
      <c r="I65" s="778">
        <f t="shared" si="21"/>
        <v>0</v>
      </c>
      <c r="J65" s="778">
        <f t="shared" si="21"/>
        <v>0</v>
      </c>
      <c r="K65" s="778">
        <f t="shared" si="21"/>
        <v>0</v>
      </c>
      <c r="L65" s="671">
        <f>SUM(D65:INDEX(D65:K65,0,MATCH('RFPR cover'!$C$7,$D$6:$K$6,0)))</f>
        <v>0.04</v>
      </c>
      <c r="M65" s="672">
        <f>SUM(D65:K65)</f>
        <v>0.04</v>
      </c>
    </row>
    <row r="66" spans="1:14" s="2" customFormat="1">
      <c r="A66" s="160"/>
      <c r="B66" s="35" t="s">
        <v>201</v>
      </c>
      <c r="C66" s="294" t="s">
        <v>209</v>
      </c>
      <c r="D66" s="881">
        <f>IF($C66=$B$33,$B$33,INDEX(Data!$G$14:$G$30,MATCH('R5 - Output Incentives'!D$6+RIGHT('R5 - Output Incentives'!$C66,2),Data!$C$14:$C$30,0),0))</f>
        <v>0.2</v>
      </c>
      <c r="E66" s="882">
        <f>IF($C66=$B$33,$B$33,INDEX(Data!$G$14:$G$30,MATCH('R5 - Output Incentives'!E$6+RIGHT('R5 - Output Incentives'!$C66,2),Data!$C$14:$C$30,0),0))</f>
        <v>0.19</v>
      </c>
      <c r="F66" s="882">
        <f>IF($C66=$B$33,$B$33,INDEX(Data!$G$14:$G$30,MATCH('R5 - Output Incentives'!F$6+RIGHT('R5 - Output Incentives'!$C66,2),Data!$C$14:$C$30,0),0))</f>
        <v>0.19</v>
      </c>
      <c r="G66" s="882">
        <f>IF($C66=$B$33,$B$33,INDEX(Data!$G$14:$G$30,MATCH('R5 - Output Incentives'!G$6+RIGHT('R5 - Output Incentives'!$C66,2),Data!$C$14:$C$30,0),0))</f>
        <v>0.19</v>
      </c>
      <c r="H66" s="882">
        <f>IF($C66=$B$33,$B$33,INDEX(Data!$G$14:$G$30,MATCH('R5 - Output Incentives'!H$6+RIGHT('R5 - Output Incentives'!$C66,2),Data!$C$14:$C$30,0),0))</f>
        <v>0.19</v>
      </c>
      <c r="I66" s="882">
        <f>IF($C66=$B$33,$B$33,INDEX(Data!$G$14:$G$30,MATCH('R5 - Output Incentives'!I$6+RIGHT('R5 - Output Incentives'!$C66,2),Data!$C$14:$C$30,0),0))</f>
        <v>0.19</v>
      </c>
      <c r="J66" s="882">
        <f>IF($C66=$B$33,$B$33,INDEX(Data!$G$14:$G$30,MATCH('R5 - Output Incentives'!J$6+RIGHT('R5 - Output Incentives'!$C66,2),Data!$C$14:$C$30,0),0))</f>
        <v>0.19</v>
      </c>
      <c r="K66" s="883">
        <f>IF($C66=$B$33,$B$33,INDEX(Data!$G$14:$G$30,MATCH('R5 - Output Incentives'!K$6+RIGHT('R5 - Output Incentives'!$C66,2),Data!$C$14:$C$30,0),0))</f>
        <v>0.19</v>
      </c>
      <c r="L66" s="780"/>
      <c r="M66" s="781"/>
    </row>
    <row r="67" spans="1:14" s="2" customFormat="1">
      <c r="A67" s="160"/>
      <c r="B67" s="35" t="s">
        <v>210</v>
      </c>
      <c r="C67" s="155"/>
      <c r="D67" s="610">
        <f>IFERROR(D65*(1-D66),0)</f>
        <v>0</v>
      </c>
      <c r="E67" s="611">
        <f t="shared" ref="E67:K67" si="22">IFERROR(E65*(1-E66),0)</f>
        <v>3.2400000000000005E-2</v>
      </c>
      <c r="F67" s="611">
        <f t="shared" si="22"/>
        <v>0</v>
      </c>
      <c r="G67" s="611">
        <f t="shared" si="22"/>
        <v>0</v>
      </c>
      <c r="H67" s="611">
        <f t="shared" si="22"/>
        <v>0</v>
      </c>
      <c r="I67" s="611">
        <f t="shared" si="22"/>
        <v>0</v>
      </c>
      <c r="J67" s="611">
        <f t="shared" si="22"/>
        <v>0</v>
      </c>
      <c r="K67" s="611">
        <f t="shared" si="22"/>
        <v>0</v>
      </c>
      <c r="L67" s="669">
        <f>SUM(D67:INDEX(D67:K67,0,MATCH('RFPR cover'!$C$7,$D$6:$K$6,0)))</f>
        <v>3.2400000000000005E-2</v>
      </c>
      <c r="M67" s="670">
        <f>SUM(D67:K67)</f>
        <v>3.2400000000000005E-2</v>
      </c>
    </row>
    <row r="68" spans="1:14" s="2" customFormat="1">
      <c r="A68" s="160"/>
      <c r="B68" s="51"/>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78">
        <f>INDEX($D$11:$K$17,MATCH($A69,$A$11:$A$17,0),0)</f>
        <v>0</v>
      </c>
      <c r="E69" s="778">
        <f t="shared" ref="E69:K69" si="23">INDEX($D$11:$K$17,MATCH($A69,$A$11:$A$17,0),0)</f>
        <v>0</v>
      </c>
      <c r="F69" s="778">
        <f t="shared" si="23"/>
        <v>0</v>
      </c>
      <c r="G69" s="778">
        <f t="shared" si="23"/>
        <v>0</v>
      </c>
      <c r="H69" s="778">
        <f t="shared" si="23"/>
        <v>0</v>
      </c>
      <c r="I69" s="778">
        <f t="shared" si="23"/>
        <v>0</v>
      </c>
      <c r="J69" s="778">
        <f t="shared" si="23"/>
        <v>0</v>
      </c>
      <c r="K69" s="778">
        <f t="shared" si="23"/>
        <v>0</v>
      </c>
      <c r="L69" s="671">
        <f>SUM(D69:INDEX(D69:K69,0,MATCH('RFPR cover'!$C$7,$D$6:$K$6,0)))</f>
        <v>0</v>
      </c>
      <c r="M69" s="672">
        <f>SUM(D69:K69)</f>
        <v>0</v>
      </c>
    </row>
    <row r="70" spans="1:14" s="2" customFormat="1">
      <c r="A70" s="160"/>
      <c r="B70" s="35" t="s">
        <v>201</v>
      </c>
      <c r="C70" s="294" t="s">
        <v>209</v>
      </c>
      <c r="D70" s="881">
        <f>IF($C70=$B$33,$B$33,INDEX(Data!$G$14:$G$30,MATCH('R5 - Output Incentives'!D$6+RIGHT('R5 - Output Incentives'!$C70,2),Data!$C$14:$C$30,0),0))</f>
        <v>0.2</v>
      </c>
      <c r="E70" s="882">
        <f>IF($C70=$B$33,$B$33,INDEX(Data!$G$14:$G$30,MATCH('R5 - Output Incentives'!E$6+RIGHT('R5 - Output Incentives'!$C70,2),Data!$C$14:$C$30,0),0))</f>
        <v>0.19</v>
      </c>
      <c r="F70" s="882">
        <f>IF($C70=$B$33,$B$33,INDEX(Data!$G$14:$G$30,MATCH('R5 - Output Incentives'!F$6+RIGHT('R5 - Output Incentives'!$C70,2),Data!$C$14:$C$30,0),0))</f>
        <v>0.19</v>
      </c>
      <c r="G70" s="882">
        <f>IF($C70=$B$33,$B$33,INDEX(Data!$G$14:$G$30,MATCH('R5 - Output Incentives'!G$6+RIGHT('R5 - Output Incentives'!$C70,2),Data!$C$14:$C$30,0),0))</f>
        <v>0.19</v>
      </c>
      <c r="H70" s="882">
        <f>IF($C70=$B$33,$B$33,INDEX(Data!$G$14:$G$30,MATCH('R5 - Output Incentives'!H$6+RIGHT('R5 - Output Incentives'!$C70,2),Data!$C$14:$C$30,0),0))</f>
        <v>0.19</v>
      </c>
      <c r="I70" s="882">
        <f>IF($C70=$B$33,$B$33,INDEX(Data!$G$14:$G$30,MATCH('R5 - Output Incentives'!I$6+RIGHT('R5 - Output Incentives'!$C70,2),Data!$C$14:$C$30,0),0))</f>
        <v>0.19</v>
      </c>
      <c r="J70" s="882">
        <f>IF($C70=$B$33,$B$33,INDEX(Data!$G$14:$G$30,MATCH('R5 - Output Incentives'!J$6+RIGHT('R5 - Output Incentives'!$C70,2),Data!$C$14:$C$30,0),0))</f>
        <v>0.19</v>
      </c>
      <c r="K70" s="883">
        <f>IF($C70=$B$33,$B$33,INDEX(Data!$G$14:$G$30,MATCH('R5 - Output Incentives'!K$6+RIGHT('R5 - Output Incentives'!$C70,2),Data!$C$14:$C$30,0),0))</f>
        <v>0.19</v>
      </c>
      <c r="L70" s="780"/>
      <c r="M70" s="781"/>
    </row>
    <row r="71" spans="1:14" s="2" customFormat="1">
      <c r="A71" s="160"/>
      <c r="B71" s="35" t="s">
        <v>210</v>
      </c>
      <c r="C71" s="155"/>
      <c r="D71" s="610">
        <f>IFERROR(D69*(1-D70),0)</f>
        <v>0</v>
      </c>
      <c r="E71" s="611">
        <f t="shared" ref="E71:K71" si="24">IFERROR(E69*(1-E70),0)</f>
        <v>0</v>
      </c>
      <c r="F71" s="611">
        <f t="shared" si="24"/>
        <v>0</v>
      </c>
      <c r="G71" s="611">
        <f t="shared" si="24"/>
        <v>0</v>
      </c>
      <c r="H71" s="611">
        <f t="shared" si="24"/>
        <v>0</v>
      </c>
      <c r="I71" s="611">
        <f t="shared" si="24"/>
        <v>0</v>
      </c>
      <c r="J71" s="611">
        <f t="shared" si="24"/>
        <v>0</v>
      </c>
      <c r="K71" s="611">
        <f t="shared" si="24"/>
        <v>0</v>
      </c>
      <c r="L71" s="669">
        <f>SUM(D71:INDEX(D71:K71,0,MATCH('RFPR cover'!$C$7,$D$6:$K$6,0)))</f>
        <v>0</v>
      </c>
      <c r="M71" s="670">
        <f>SUM(D71:K71)</f>
        <v>0</v>
      </c>
    </row>
    <row r="72" spans="1:14" s="2" customFormat="1">
      <c r="A72" s="160"/>
      <c r="B72" s="51"/>
      <c r="C72" s="156"/>
      <c r="D72" s="156"/>
      <c r="E72" s="156"/>
      <c r="F72" s="156"/>
      <c r="G72" s="156"/>
      <c r="H72" s="156"/>
      <c r="I72" s="156"/>
      <c r="J72" s="156"/>
      <c r="K72" s="156"/>
      <c r="L72" s="156"/>
      <c r="M72" s="156"/>
    </row>
    <row r="73" spans="1:14" s="2" customFormat="1">
      <c r="A73" s="160" t="s">
        <v>478</v>
      </c>
      <c r="B73" s="171" t="str">
        <f>INDEX($B$11:$B$17,MATCH($A73,$A$11:$A$17,0),0)&amp;""</f>
        <v/>
      </c>
      <c r="C73" s="155" t="str">
        <f>'RFPR cover'!$C$14</f>
        <v>£m 12/13</v>
      </c>
      <c r="D73" s="778">
        <f>INDEX($D$11:$K$17,MATCH($A73,$A$11:$A$17,0),0)</f>
        <v>0</v>
      </c>
      <c r="E73" s="778">
        <f t="shared" ref="E73:K73" si="25">INDEX($D$11:$K$17,MATCH($A73,$A$11:$A$17,0),0)</f>
        <v>0</v>
      </c>
      <c r="F73" s="778">
        <f t="shared" si="25"/>
        <v>0</v>
      </c>
      <c r="G73" s="778">
        <f t="shared" si="25"/>
        <v>0</v>
      </c>
      <c r="H73" s="778">
        <f t="shared" si="25"/>
        <v>0</v>
      </c>
      <c r="I73" s="778">
        <f t="shared" si="25"/>
        <v>0</v>
      </c>
      <c r="J73" s="778">
        <f t="shared" si="25"/>
        <v>0</v>
      </c>
      <c r="K73" s="778">
        <f t="shared" si="25"/>
        <v>0</v>
      </c>
      <c r="L73" s="671">
        <f>SUM(D73:INDEX(D73:K73,0,MATCH('RFPR cover'!$C$7,$D$6:$K$6,0)))</f>
        <v>0</v>
      </c>
      <c r="M73" s="672">
        <f>SUM(D73:K73)</f>
        <v>0</v>
      </c>
    </row>
    <row r="74" spans="1:14" s="2" customFormat="1">
      <c r="A74" s="160"/>
      <c r="B74" s="35" t="s">
        <v>201</v>
      </c>
      <c r="C74" s="294" t="s">
        <v>209</v>
      </c>
      <c r="D74" s="881">
        <f>IF($C74=$B$33,$B$33,INDEX(Data!$G$14:$G$30,MATCH('R5 - Output Incentives'!D$6+RIGHT('R5 - Output Incentives'!$C74,2),Data!$C$14:$C$30,0),0))</f>
        <v>0.2</v>
      </c>
      <c r="E74" s="882">
        <f>IF($C74=$B$33,$B$33,INDEX(Data!$G$14:$G$30,MATCH('R5 - Output Incentives'!E$6+RIGHT('R5 - Output Incentives'!$C74,2),Data!$C$14:$C$30,0),0))</f>
        <v>0.19</v>
      </c>
      <c r="F74" s="882">
        <f>IF($C74=$B$33,$B$33,INDEX(Data!$G$14:$G$30,MATCH('R5 - Output Incentives'!F$6+RIGHT('R5 - Output Incentives'!$C74,2),Data!$C$14:$C$30,0),0))</f>
        <v>0.19</v>
      </c>
      <c r="G74" s="882">
        <f>IF($C74=$B$33,$B$33,INDEX(Data!$G$14:$G$30,MATCH('R5 - Output Incentives'!G$6+RIGHT('R5 - Output Incentives'!$C74,2),Data!$C$14:$C$30,0),0))</f>
        <v>0.19</v>
      </c>
      <c r="H74" s="882">
        <f>IF($C74=$B$33,$B$33,INDEX(Data!$G$14:$G$30,MATCH('R5 - Output Incentives'!H$6+RIGHT('R5 - Output Incentives'!$C74,2),Data!$C$14:$C$30,0),0))</f>
        <v>0.19</v>
      </c>
      <c r="I74" s="882">
        <f>IF($C74=$B$33,$B$33,INDEX(Data!$G$14:$G$30,MATCH('R5 - Output Incentives'!I$6+RIGHT('R5 - Output Incentives'!$C74,2),Data!$C$14:$C$30,0),0))</f>
        <v>0.19</v>
      </c>
      <c r="J74" s="882">
        <f>IF($C74=$B$33,$B$33,INDEX(Data!$G$14:$G$30,MATCH('R5 - Output Incentives'!J$6+RIGHT('R5 - Output Incentives'!$C74,2),Data!$C$14:$C$30,0),0))</f>
        <v>0.19</v>
      </c>
      <c r="K74" s="883">
        <f>IF($C74=$B$33,$B$33,INDEX(Data!$G$14:$G$30,MATCH('R5 - Output Incentives'!K$6+RIGHT('R5 - Output Incentives'!$C74,2),Data!$C$14:$C$30,0),0))</f>
        <v>0.19</v>
      </c>
      <c r="L74" s="780"/>
      <c r="M74" s="781"/>
    </row>
    <row r="75" spans="1:14" s="2" customFormat="1">
      <c r="A75" s="160"/>
      <c r="B75" s="35" t="s">
        <v>210</v>
      </c>
      <c r="C75" s="155"/>
      <c r="D75" s="610">
        <f>IFERROR(D73*(1-D74),0)</f>
        <v>0</v>
      </c>
      <c r="E75" s="611">
        <f t="shared" ref="E75:K75" si="26">IFERROR(E73*(1-E74),0)</f>
        <v>0</v>
      </c>
      <c r="F75" s="611">
        <f t="shared" si="26"/>
        <v>0</v>
      </c>
      <c r="G75" s="611">
        <f t="shared" si="26"/>
        <v>0</v>
      </c>
      <c r="H75" s="611">
        <f t="shared" si="26"/>
        <v>0</v>
      </c>
      <c r="I75" s="611">
        <f t="shared" si="26"/>
        <v>0</v>
      </c>
      <c r="J75" s="611">
        <f t="shared" si="26"/>
        <v>0</v>
      </c>
      <c r="K75" s="611">
        <f t="shared" si="26"/>
        <v>0</v>
      </c>
      <c r="L75" s="669">
        <f>SUM(D75:INDEX(D75:K75,0,MATCH('RFPR cover'!$C$7,$D$6:$K$6,0)))</f>
        <v>0</v>
      </c>
      <c r="M75" s="670">
        <f>SUM(D75:K75)</f>
        <v>0</v>
      </c>
    </row>
    <row r="76" spans="1:14" s="533" customFormat="1" ht="14.25" customHeight="1">
      <c r="A76" s="532"/>
      <c r="C76" s="534"/>
      <c r="D76" s="535"/>
      <c r="E76" s="535"/>
      <c r="F76" s="535"/>
      <c r="G76" s="535"/>
      <c r="H76" s="535"/>
      <c r="I76" s="535"/>
      <c r="J76" s="535"/>
      <c r="K76" s="535"/>
      <c r="L76" s="536"/>
      <c r="M76" s="536"/>
    </row>
    <row r="77" spans="1:14" s="2" customFormat="1">
      <c r="B77" s="116" t="s">
        <v>395</v>
      </c>
      <c r="C77" s="150"/>
      <c r="D77" s="133"/>
      <c r="E77" s="133"/>
      <c r="F77" s="133"/>
      <c r="G77" s="133"/>
      <c r="H77" s="133"/>
      <c r="I77" s="133"/>
      <c r="J77" s="133"/>
      <c r="K77" s="133"/>
      <c r="L77" s="81"/>
      <c r="M77" s="81"/>
      <c r="N77" s="81"/>
    </row>
    <row r="78" spans="1:14" s="2" customFormat="1">
      <c r="B78" s="367" t="s">
        <v>394</v>
      </c>
      <c r="C78" s="291"/>
      <c r="D78" s="292"/>
      <c r="E78" s="292"/>
      <c r="F78" s="292"/>
      <c r="G78" s="292"/>
      <c r="H78" s="292"/>
      <c r="I78" s="292"/>
      <c r="J78" s="292"/>
      <c r="K78" s="292"/>
      <c r="L78" s="293"/>
      <c r="M78" s="293"/>
      <c r="N78" s="293"/>
    </row>
    <row r="79" spans="1:14" s="2" customFormat="1">
      <c r="B79" s="367" t="s">
        <v>396</v>
      </c>
      <c r="C79" s="291"/>
      <c r="D79" s="292"/>
      <c r="E79" s="292"/>
      <c r="F79" s="292"/>
      <c r="G79" s="292"/>
      <c r="H79" s="292"/>
      <c r="I79" s="292"/>
      <c r="J79" s="292"/>
      <c r="K79" s="292"/>
      <c r="L79" s="293"/>
      <c r="M79" s="293"/>
      <c r="N79" s="293"/>
    </row>
    <row r="80" spans="1:14" s="533" customFormat="1">
      <c r="B80" s="538"/>
      <c r="C80" s="539"/>
      <c r="D80" s="540"/>
      <c r="E80" s="540"/>
      <c r="F80" s="540"/>
      <c r="G80" s="540"/>
      <c r="H80" s="540"/>
      <c r="I80" s="540"/>
      <c r="J80" s="540"/>
      <c r="K80" s="540"/>
    </row>
    <row r="81" spans="1:23" s="2" customFormat="1">
      <c r="B81" s="12"/>
      <c r="C81" s="541" t="s">
        <v>397</v>
      </c>
      <c r="D81" s="544" t="str">
        <f t="shared" ref="D81:K81" si="27">IF($C50=$B$33,D$6,IF(D$6-RIGHT($C50,1)&lt;$D$6,"Pre-RIIO",D$6-RIGHT($C50,1)))</f>
        <v>Pre-RIIO</v>
      </c>
      <c r="E81" s="545" t="str">
        <f t="shared" si="27"/>
        <v>Pre-RIIO</v>
      </c>
      <c r="F81" s="545">
        <f t="shared" si="27"/>
        <v>2016</v>
      </c>
      <c r="G81" s="545">
        <f t="shared" si="27"/>
        <v>2017</v>
      </c>
      <c r="H81" s="545">
        <f t="shared" si="27"/>
        <v>2018</v>
      </c>
      <c r="I81" s="545">
        <f t="shared" si="27"/>
        <v>2019</v>
      </c>
      <c r="J81" s="545">
        <f t="shared" si="27"/>
        <v>2020</v>
      </c>
      <c r="K81" s="546">
        <f t="shared" si="27"/>
        <v>2021</v>
      </c>
    </row>
    <row r="82" spans="1:23" s="2" customFormat="1">
      <c r="A82" s="3" t="str">
        <f>A11</f>
        <v>a</v>
      </c>
      <c r="B82" s="129" t="str">
        <f>B11&amp;""</f>
        <v>Broad measure of customer service</v>
      </c>
      <c r="C82" s="136" t="s">
        <v>128</v>
      </c>
      <c r="D82" s="594">
        <v>2.7897890424749994</v>
      </c>
      <c r="E82" s="639">
        <v>2.7750319164770421</v>
      </c>
      <c r="F82" s="639">
        <v>5.6175601351293487</v>
      </c>
      <c r="G82" s="639">
        <v>5.5828866600000033</v>
      </c>
      <c r="H82" s="617">
        <v>6.0524477843670192</v>
      </c>
      <c r="I82" s="617">
        <v>6.57192349443139</v>
      </c>
      <c r="J82" s="617">
        <f>+H11*Data!G$34</f>
        <v>5.3929280882803718</v>
      </c>
      <c r="K82" s="617">
        <f>+I11*Data!H$34</f>
        <v>5.45833526106059</v>
      </c>
      <c r="O82" s="323"/>
      <c r="P82" s="953"/>
      <c r="Q82" s="953"/>
      <c r="R82" s="953"/>
      <c r="S82" s="953"/>
      <c r="T82" s="953"/>
      <c r="U82" s="953"/>
      <c r="V82" s="953"/>
      <c r="W82" s="942"/>
    </row>
    <row r="83" spans="1:23" s="2" customFormat="1">
      <c r="A83" s="3"/>
      <c r="B83" s="129"/>
      <c r="C83" s="136"/>
      <c r="D83" s="136"/>
      <c r="E83" s="136"/>
      <c r="F83" s="136"/>
      <c r="G83" s="136"/>
      <c r="H83" s="136"/>
      <c r="I83" s="136"/>
      <c r="J83" s="136"/>
      <c r="K83" s="136"/>
      <c r="L83" s="136"/>
      <c r="R83" s="941"/>
      <c r="S83" s="941"/>
      <c r="T83" s="941"/>
      <c r="U83" s="941"/>
      <c r="V83" s="941"/>
      <c r="W83" s="941"/>
    </row>
    <row r="84" spans="1:23" s="2" customFormat="1">
      <c r="A84" s="3"/>
      <c r="B84" s="129"/>
      <c r="C84" s="541" t="s">
        <v>397</v>
      </c>
      <c r="D84" s="544" t="str">
        <f t="shared" ref="D84:K84" si="28">IF($C54=$B$33,D$6,IF(D$6-RIGHT($C54,1)&lt;$D$6,"Pre-RIIO",D$6-RIGHT($C54,1)))</f>
        <v>Pre-RIIO</v>
      </c>
      <c r="E84" s="545" t="str">
        <f t="shared" si="28"/>
        <v>Pre-RIIO</v>
      </c>
      <c r="F84" s="545">
        <f t="shared" si="28"/>
        <v>2016</v>
      </c>
      <c r="G84" s="545">
        <f t="shared" si="28"/>
        <v>2017</v>
      </c>
      <c r="H84" s="545">
        <f t="shared" si="28"/>
        <v>2018</v>
      </c>
      <c r="I84" s="545">
        <f t="shared" si="28"/>
        <v>2019</v>
      </c>
      <c r="J84" s="545">
        <f t="shared" si="28"/>
        <v>2020</v>
      </c>
      <c r="K84" s="546">
        <f t="shared" si="28"/>
        <v>2021</v>
      </c>
    </row>
    <row r="85" spans="1:23" s="2" customFormat="1">
      <c r="A85" s="3" t="str">
        <f>A12</f>
        <v>b</v>
      </c>
      <c r="B85" s="129" t="str">
        <f>B12&amp;""</f>
        <v>Interruptions-related quality of service</v>
      </c>
      <c r="C85" s="136" t="s">
        <v>128</v>
      </c>
      <c r="D85" s="594">
        <v>32.45072274783</v>
      </c>
      <c r="E85" s="639">
        <v>36.028630055699999</v>
      </c>
      <c r="F85" s="639">
        <v>21.395721453351523</v>
      </c>
      <c r="G85" s="639">
        <v>22.075330573005026</v>
      </c>
      <c r="H85" s="617">
        <v>22.75099287802767</v>
      </c>
      <c r="I85" s="617">
        <v>23.019088386482448</v>
      </c>
      <c r="J85" s="617">
        <v>23.295685511669369</v>
      </c>
      <c r="K85" s="617">
        <v>24.729213556165824</v>
      </c>
      <c r="O85" s="941"/>
      <c r="P85" s="941"/>
      <c r="Q85" s="941"/>
      <c r="R85" s="941"/>
      <c r="S85" s="941"/>
      <c r="T85" s="941"/>
      <c r="U85" s="941"/>
      <c r="V85" s="941"/>
      <c r="W85" s="942"/>
    </row>
    <row r="86" spans="1:23" s="2" customFormat="1">
      <c r="A86" s="3"/>
      <c r="B86" s="129"/>
      <c r="C86" s="136"/>
      <c r="D86" s="136"/>
      <c r="E86" s="136"/>
      <c r="F86" s="136"/>
      <c r="G86" s="136"/>
      <c r="H86" s="136"/>
      <c r="I86" s="136"/>
      <c r="J86" s="136"/>
      <c r="K86" s="136"/>
      <c r="L86" s="136"/>
      <c r="P86" s="941"/>
      <c r="Q86" s="941"/>
      <c r="R86" s="941"/>
      <c r="S86" s="941"/>
      <c r="T86" s="941"/>
      <c r="U86" s="941"/>
      <c r="V86" s="941"/>
      <c r="W86" s="941"/>
    </row>
    <row r="87" spans="1:23" s="2" customFormat="1">
      <c r="A87" s="3"/>
      <c r="B87" s="129"/>
      <c r="C87" s="541" t="s">
        <v>397</v>
      </c>
      <c r="D87" s="544" t="str">
        <f t="shared" ref="D87:K87" si="29">IF($C58=$B$33,D$6,IF(D$6-RIGHT($C58,1)&lt;$D$6,"Pre-RIIO",D$6-RIGHT($C58,1)))</f>
        <v>Pre-RIIO</v>
      </c>
      <c r="E87" s="545" t="str">
        <f t="shared" si="29"/>
        <v>Pre-RIIO</v>
      </c>
      <c r="F87" s="545" t="str">
        <f t="shared" si="29"/>
        <v>Pre-RIIO</v>
      </c>
      <c r="G87" s="545">
        <f t="shared" si="29"/>
        <v>2016</v>
      </c>
      <c r="H87" s="545">
        <f t="shared" si="29"/>
        <v>2017</v>
      </c>
      <c r="I87" s="545">
        <f t="shared" si="29"/>
        <v>2018</v>
      </c>
      <c r="J87" s="545">
        <f t="shared" si="29"/>
        <v>2019</v>
      </c>
      <c r="K87" s="546">
        <f t="shared" si="29"/>
        <v>2020</v>
      </c>
    </row>
    <row r="88" spans="1:23" s="2" customFormat="1">
      <c r="A88" s="3" t="str">
        <f>A13</f>
        <v>c</v>
      </c>
      <c r="B88" s="129" t="str">
        <f>B13&amp;""</f>
        <v>Incentive on connections engagement</v>
      </c>
      <c r="C88" s="136" t="s">
        <v>128</v>
      </c>
      <c r="D88" s="594">
        <v>0</v>
      </c>
      <c r="E88" s="639">
        <v>0</v>
      </c>
      <c r="F88" s="639">
        <v>0</v>
      </c>
      <c r="G88" s="639">
        <v>0</v>
      </c>
      <c r="H88" s="617">
        <v>0</v>
      </c>
      <c r="I88" s="617">
        <v>0</v>
      </c>
      <c r="J88" s="617">
        <v>0</v>
      </c>
      <c r="K88" s="617">
        <v>0</v>
      </c>
    </row>
    <row r="89" spans="1:23" s="2" customFormat="1">
      <c r="A89" s="3"/>
      <c r="B89" s="129"/>
      <c r="C89" s="136"/>
      <c r="D89" s="136"/>
      <c r="E89" s="136"/>
      <c r="F89" s="136"/>
      <c r="G89" s="136"/>
      <c r="H89" s="136"/>
      <c r="I89" s="136"/>
      <c r="J89" s="136"/>
      <c r="K89" s="136"/>
      <c r="L89" s="136"/>
    </row>
    <row r="90" spans="1:23" s="2" customFormat="1">
      <c r="A90" s="3"/>
      <c r="B90" s="129"/>
      <c r="C90" s="541" t="s">
        <v>397</v>
      </c>
      <c r="D90" s="544" t="str">
        <f t="shared" ref="D90:K90" si="30">IF($C62=$B$33,D$6,IF(D$6-RIGHT($C62,1)&lt;$D$6,"Pre-RIIO",D$6-RIGHT($C62,1)))</f>
        <v>Pre-RIIO</v>
      </c>
      <c r="E90" s="545" t="str">
        <f t="shared" si="30"/>
        <v>Pre-RIIO</v>
      </c>
      <c r="F90" s="545">
        <f t="shared" si="30"/>
        <v>2016</v>
      </c>
      <c r="G90" s="545">
        <f t="shared" si="30"/>
        <v>2017</v>
      </c>
      <c r="H90" s="545">
        <f t="shared" si="30"/>
        <v>2018</v>
      </c>
      <c r="I90" s="545">
        <f t="shared" si="30"/>
        <v>2019</v>
      </c>
      <c r="J90" s="545">
        <f t="shared" si="30"/>
        <v>2020</v>
      </c>
      <c r="K90" s="546">
        <f t="shared" si="30"/>
        <v>2021</v>
      </c>
    </row>
    <row r="91" spans="1:23" s="2" customFormat="1">
      <c r="A91" s="3" t="str">
        <f>A14</f>
        <v>d</v>
      </c>
      <c r="B91" s="129" t="str">
        <f>B14&amp;""</f>
        <v>Time to Connect Incentive</v>
      </c>
      <c r="C91" s="136" t="s">
        <v>128</v>
      </c>
      <c r="D91" s="594">
        <v>0</v>
      </c>
      <c r="E91" s="639">
        <v>0</v>
      </c>
      <c r="F91" s="639">
        <v>1.4286707845100646</v>
      </c>
      <c r="G91" s="639">
        <v>1.2476160000000001</v>
      </c>
      <c r="H91" s="617">
        <v>1.766916606927557</v>
      </c>
      <c r="I91" s="617">
        <v>1.8526322672933482</v>
      </c>
      <c r="J91" s="617">
        <v>1.8164633419724781</v>
      </c>
      <c r="K91" s="617">
        <f>+I14*Data!H$34</f>
        <v>1.5924540908852105</v>
      </c>
      <c r="O91" s="941"/>
      <c r="P91" s="941"/>
      <c r="Q91" s="941"/>
      <c r="R91" s="941"/>
      <c r="S91" s="941"/>
      <c r="T91" s="941"/>
      <c r="U91" s="941"/>
      <c r="V91" s="941"/>
      <c r="W91" s="942"/>
    </row>
    <row r="92" spans="1:23" s="2" customFormat="1">
      <c r="A92" s="3"/>
      <c r="B92" s="129"/>
      <c r="C92" s="136"/>
      <c r="D92" s="136"/>
      <c r="E92" s="136"/>
      <c r="F92" s="136"/>
      <c r="G92" s="136"/>
      <c r="H92" s="136"/>
      <c r="I92" s="136"/>
      <c r="J92" s="136"/>
      <c r="K92" s="136"/>
      <c r="L92" s="136"/>
    </row>
    <row r="93" spans="1:23" s="2" customFormat="1">
      <c r="A93" s="3"/>
      <c r="B93" s="129"/>
      <c r="C93" s="541" t="s">
        <v>397</v>
      </c>
      <c r="D93" s="544" t="str">
        <f>IF($C66=$B$33,D$6,IF(D$6-RIGHT($C66,1)&lt;$D$6,"Pre-RIIO",D$6-RIGHT($C66,1)))</f>
        <v>Pre-RIIO</v>
      </c>
      <c r="E93" s="545">
        <f t="shared" ref="E93:K93" si="31">IF($C66=$B$33,E$6,IF(E$6-RIGHT($C66,1)&lt;$D$6,"Pre-RIIO",E$6-RIGHT($C66,1)))</f>
        <v>2016</v>
      </c>
      <c r="F93" s="545">
        <f t="shared" si="31"/>
        <v>2017</v>
      </c>
      <c r="G93" s="545">
        <f t="shared" si="31"/>
        <v>2018</v>
      </c>
      <c r="H93" s="545">
        <f t="shared" si="31"/>
        <v>2019</v>
      </c>
      <c r="I93" s="545">
        <f t="shared" si="31"/>
        <v>2020</v>
      </c>
      <c r="J93" s="545">
        <f t="shared" si="31"/>
        <v>2021</v>
      </c>
      <c r="K93" s="546">
        <f t="shared" si="31"/>
        <v>2022</v>
      </c>
    </row>
    <row r="94" spans="1:23" s="2" customFormat="1">
      <c r="A94" s="3" t="str">
        <f>A15</f>
        <v>e</v>
      </c>
      <c r="B94" s="129" t="str">
        <f>B15&amp;""</f>
        <v>Losses discretionary reward scheme</v>
      </c>
      <c r="C94" s="136" t="s">
        <v>128</v>
      </c>
      <c r="D94" s="594">
        <v>0</v>
      </c>
      <c r="E94" s="639">
        <v>0</v>
      </c>
      <c r="F94" s="639">
        <v>4.4839999999999998E-2</v>
      </c>
      <c r="G94" s="639">
        <v>0</v>
      </c>
      <c r="H94" s="617">
        <v>0</v>
      </c>
      <c r="I94" s="617">
        <v>0</v>
      </c>
      <c r="J94" s="617">
        <v>0</v>
      </c>
      <c r="K94" s="617">
        <v>0</v>
      </c>
    </row>
    <row r="95" spans="1:23" s="2" customFormat="1">
      <c r="A95" s="3"/>
      <c r="B95" s="129"/>
      <c r="C95" s="136"/>
      <c r="D95" s="136"/>
      <c r="E95" s="136"/>
      <c r="F95" s="136"/>
      <c r="G95" s="136"/>
      <c r="H95" s="136"/>
      <c r="I95" s="136"/>
      <c r="J95" s="136"/>
      <c r="K95" s="136"/>
      <c r="L95" s="136"/>
    </row>
    <row r="96" spans="1:23" s="2" customFormat="1">
      <c r="A96" s="3"/>
      <c r="B96" s="129"/>
      <c r="C96" s="541" t="s">
        <v>397</v>
      </c>
      <c r="D96" s="544" t="str">
        <f>IF($C70=$B$33,D$6,IF(D$6-RIGHT($C70,1)&lt;$D$6,"Pre-RIIO",D$6-RIGHT($C70,1)))</f>
        <v>Pre-RIIO</v>
      </c>
      <c r="E96" s="544">
        <f t="shared" ref="E96:K96" si="32">IF($C70=$B$33,E$6,IF(E$6-RIGHT($C70,1)&lt;$D$6,"Pre-RIIO",E$6-RIGHT($C70,1)))</f>
        <v>2016</v>
      </c>
      <c r="F96" s="544">
        <f t="shared" si="32"/>
        <v>2017</v>
      </c>
      <c r="G96" s="544">
        <f t="shared" si="32"/>
        <v>2018</v>
      </c>
      <c r="H96" s="544">
        <f t="shared" si="32"/>
        <v>2019</v>
      </c>
      <c r="I96" s="544">
        <f t="shared" si="32"/>
        <v>2020</v>
      </c>
      <c r="J96" s="544">
        <f t="shared" si="32"/>
        <v>2021</v>
      </c>
      <c r="K96" s="544">
        <f t="shared" si="32"/>
        <v>2022</v>
      </c>
    </row>
    <row r="97" spans="1:13" s="2" customFormat="1">
      <c r="A97" s="3" t="str">
        <f>A16</f>
        <v>f</v>
      </c>
      <c r="B97" s="129" t="str">
        <f>B16&amp;""</f>
        <v/>
      </c>
      <c r="C97" s="136" t="s">
        <v>128</v>
      </c>
      <c r="D97" s="594">
        <v>0</v>
      </c>
      <c r="E97" s="639">
        <v>0</v>
      </c>
      <c r="F97" s="639">
        <v>0</v>
      </c>
      <c r="G97" s="639">
        <v>0</v>
      </c>
      <c r="H97" s="617">
        <v>0</v>
      </c>
      <c r="I97" s="617">
        <v>0</v>
      </c>
      <c r="J97" s="617">
        <v>0</v>
      </c>
      <c r="K97" s="617">
        <v>0</v>
      </c>
    </row>
    <row r="98" spans="1:13" s="2" customFormat="1">
      <c r="A98" s="3"/>
      <c r="B98" s="129"/>
      <c r="C98" s="136"/>
      <c r="D98" s="136"/>
      <c r="E98" s="136"/>
      <c r="F98" s="136"/>
      <c r="G98" s="136"/>
      <c r="H98" s="136"/>
      <c r="I98" s="136"/>
      <c r="J98" s="136"/>
      <c r="K98" s="136"/>
      <c r="L98" s="136"/>
    </row>
    <row r="99" spans="1:13" s="2" customFormat="1">
      <c r="A99" s="3"/>
      <c r="B99" s="129"/>
      <c r="C99" s="541" t="s">
        <v>397</v>
      </c>
      <c r="D99" s="544" t="str">
        <f>IF($C74=$B$33,D$6,IF(D$6-RIGHT($C74,1)&lt;$D$6,"Pre-RIIO",D$6-RIGHT($C74,1)))</f>
        <v>Pre-RIIO</v>
      </c>
      <c r="E99" s="544">
        <f t="shared" ref="E99:K99" si="33">IF($C74=$B$33,E$6,IF(E$6-RIGHT($C74,1)&lt;$D$6,"Pre-RIIO",E$6-RIGHT($C74,1)))</f>
        <v>2016</v>
      </c>
      <c r="F99" s="544">
        <f t="shared" si="33"/>
        <v>2017</v>
      </c>
      <c r="G99" s="544">
        <f t="shared" si="33"/>
        <v>2018</v>
      </c>
      <c r="H99" s="544">
        <f t="shared" si="33"/>
        <v>2019</v>
      </c>
      <c r="I99" s="544">
        <f t="shared" si="33"/>
        <v>2020</v>
      </c>
      <c r="J99" s="544">
        <f t="shared" si="33"/>
        <v>2021</v>
      </c>
      <c r="K99" s="544">
        <f t="shared" si="33"/>
        <v>2022</v>
      </c>
    </row>
    <row r="100" spans="1:13" s="2" customFormat="1">
      <c r="A100" s="3" t="str">
        <f>A17</f>
        <v>g</v>
      </c>
      <c r="B100" s="129" t="str">
        <f>B17&amp;""</f>
        <v/>
      </c>
      <c r="C100" s="136" t="s">
        <v>128</v>
      </c>
      <c r="D100" s="594">
        <v>0</v>
      </c>
      <c r="E100" s="639">
        <v>0</v>
      </c>
      <c r="F100" s="639">
        <v>0</v>
      </c>
      <c r="G100" s="639">
        <v>0</v>
      </c>
      <c r="H100" s="617">
        <v>0</v>
      </c>
      <c r="I100" s="617">
        <v>0</v>
      </c>
      <c r="J100" s="617">
        <v>0</v>
      </c>
      <c r="K100" s="617">
        <v>0</v>
      </c>
    </row>
    <row r="101" spans="1:13" s="2" customFormat="1">
      <c r="A101" s="3"/>
      <c r="B101" s="129"/>
      <c r="C101" s="136"/>
      <c r="D101" s="136"/>
      <c r="E101" s="136"/>
      <c r="F101" s="136"/>
      <c r="G101" s="136"/>
      <c r="H101" s="136"/>
      <c r="I101" s="136"/>
      <c r="J101" s="136"/>
      <c r="K101" s="136"/>
      <c r="L101" s="136"/>
      <c r="M101" s="136"/>
    </row>
    <row r="102" spans="1:13" s="2" customFormat="1">
      <c r="B102" s="12" t="s">
        <v>158</v>
      </c>
      <c r="C102" s="157" t="s">
        <v>128</v>
      </c>
      <c r="D102" s="610">
        <f>SUM(D82,D85,D88,D91,D94,D97,D100)</f>
        <v>35.240511790305</v>
      </c>
      <c r="E102" s="610">
        <f t="shared" ref="E102:K102" si="34">SUM(E82,E85,E88,E91,E94,E97,E100)</f>
        <v>38.803661972177039</v>
      </c>
      <c r="F102" s="610">
        <f t="shared" si="34"/>
        <v>28.486792372990937</v>
      </c>
      <c r="G102" s="610">
        <f t="shared" si="34"/>
        <v>28.90583323300503</v>
      </c>
      <c r="H102" s="611">
        <f>SUM(H82,H85,H88,H91,H94,H97,H100)</f>
        <v>30.570357269322244</v>
      </c>
      <c r="I102" s="611">
        <f t="shared" si="34"/>
        <v>31.443644148207188</v>
      </c>
      <c r="J102" s="611">
        <f t="shared" si="34"/>
        <v>30.505076941922219</v>
      </c>
      <c r="K102" s="611">
        <f t="shared" si="34"/>
        <v>31.780002908111626</v>
      </c>
    </row>
    <row r="103" spans="1:13" s="2" customFormat="1">
      <c r="C103" s="136"/>
    </row>
    <row r="104" spans="1:13" s="2" customFormat="1">
      <c r="A104" s="35"/>
      <c r="B104" s="12" t="s">
        <v>372</v>
      </c>
      <c r="C104" s="156"/>
      <c r="D104" s="156"/>
      <c r="E104" s="156"/>
      <c r="F104" s="156"/>
      <c r="G104" s="156"/>
      <c r="H104" s="156"/>
      <c r="I104" s="156"/>
      <c r="J104" s="156"/>
      <c r="K104" s="156"/>
      <c r="L104" s="156"/>
      <c r="M104" s="156"/>
    </row>
    <row r="105" spans="1:13" s="2" customFormat="1">
      <c r="A105" s="269" t="str">
        <f>A82</f>
        <v>a</v>
      </c>
      <c r="B105" s="940" t="str">
        <f>+B21</f>
        <v xml:space="preserve">WPD remain in discussion with Ofgem regarding the 2019/20 and 2020/21 SECV incentive awards. 2019/20 and 2020/21 SECV award forecasts have been decreased from the 2020/21 submission to reflect the 2021/22 award. </v>
      </c>
      <c r="C105" s="940"/>
      <c r="D105" s="940"/>
      <c r="E105" s="940"/>
      <c r="F105" s="940"/>
      <c r="G105" s="940"/>
      <c r="H105" s="940"/>
      <c r="I105" s="940"/>
      <c r="J105" s="940"/>
      <c r="K105" s="940"/>
      <c r="L105" s="940"/>
      <c r="M105" s="940"/>
    </row>
    <row r="106" spans="1:13" s="2" customFormat="1">
      <c r="A106" s="269" t="str">
        <f>A85</f>
        <v>b</v>
      </c>
      <c r="B106" s="940" t="str">
        <f t="shared" ref="B106:B109" si="35">+B22</f>
        <v>2022 actuals are subject to change until Ofgem confirm our performance KPIs later in 2022.</v>
      </c>
      <c r="C106" s="940"/>
      <c r="D106" s="940"/>
      <c r="E106" s="940"/>
      <c r="F106" s="940"/>
      <c r="G106" s="940"/>
      <c r="H106" s="940"/>
      <c r="I106" s="940"/>
      <c r="J106" s="940"/>
      <c r="K106" s="940"/>
      <c r="L106" s="940"/>
      <c r="M106" s="940"/>
    </row>
    <row r="107" spans="1:13" s="2" customFormat="1">
      <c r="A107" s="269" t="str">
        <f>A88</f>
        <v>c</v>
      </c>
      <c r="B107" s="940">
        <f t="shared" si="35"/>
        <v>0</v>
      </c>
      <c r="C107" s="940"/>
      <c r="D107" s="940"/>
      <c r="E107" s="940"/>
      <c r="F107" s="940"/>
      <c r="G107" s="940"/>
      <c r="H107" s="940"/>
      <c r="I107" s="940"/>
      <c r="J107" s="940"/>
      <c r="K107" s="940"/>
      <c r="L107" s="940"/>
      <c r="M107" s="940"/>
    </row>
    <row r="108" spans="1:13" s="2" customFormat="1">
      <c r="A108" s="269" t="str">
        <f>A91</f>
        <v>d</v>
      </c>
      <c r="B108" s="940" t="str">
        <f t="shared" si="35"/>
        <v>The 2021 actuals have been updated following final Ofgem approval of Time to Connect Incentives. This has decreased the Output Incentive in 2021 by -£0.004m. 2022 actuals are subject to change until Ofgem confirm our performance KPIs later in 2022.</v>
      </c>
      <c r="C108" s="940"/>
      <c r="D108" s="940"/>
      <c r="E108" s="940"/>
      <c r="F108" s="940"/>
      <c r="G108" s="940"/>
      <c r="H108" s="940"/>
      <c r="I108" s="940"/>
      <c r="J108" s="940"/>
      <c r="K108" s="940"/>
      <c r="L108" s="940"/>
      <c r="M108" s="940"/>
    </row>
    <row r="109" spans="1:13" s="2" customFormat="1">
      <c r="A109" s="269" t="str">
        <f>A94</f>
        <v>e</v>
      </c>
      <c r="B109" s="940">
        <f t="shared" si="35"/>
        <v>0</v>
      </c>
      <c r="C109" s="940"/>
      <c r="D109" s="940"/>
      <c r="E109" s="940"/>
      <c r="F109" s="940"/>
      <c r="G109" s="940"/>
      <c r="H109" s="940"/>
      <c r="I109" s="940"/>
      <c r="J109" s="940"/>
      <c r="K109" s="940"/>
      <c r="L109" s="940"/>
      <c r="M109" s="940"/>
    </row>
    <row r="110" spans="1:13" s="2" customFormat="1">
      <c r="A110" s="269" t="str">
        <f>A97</f>
        <v>f</v>
      </c>
      <c r="B110" s="1035"/>
      <c r="C110" s="1035"/>
      <c r="D110" s="1035"/>
      <c r="E110" s="1035"/>
      <c r="F110" s="1035"/>
      <c r="G110" s="1035"/>
      <c r="H110" s="1035"/>
      <c r="I110" s="1035"/>
      <c r="J110" s="1035"/>
      <c r="K110" s="1035"/>
      <c r="L110" s="1035"/>
      <c r="M110" s="1035"/>
    </row>
    <row r="111" spans="1:13" s="2" customFormat="1">
      <c r="A111" s="269" t="str">
        <f>A100</f>
        <v>g</v>
      </c>
      <c r="B111" s="1035"/>
      <c r="C111" s="1035"/>
      <c r="D111" s="1035"/>
      <c r="E111" s="1035"/>
      <c r="F111" s="1035"/>
      <c r="G111" s="1035"/>
      <c r="H111" s="1035"/>
      <c r="I111" s="1035"/>
      <c r="J111" s="1035"/>
      <c r="K111" s="1035"/>
      <c r="L111" s="1035"/>
      <c r="M111" s="1035"/>
    </row>
    <row r="112" spans="1:13" s="533" customFormat="1">
      <c r="A112" s="532"/>
      <c r="C112" s="534"/>
      <c r="D112" s="535"/>
      <c r="E112" s="535"/>
      <c r="F112" s="535"/>
      <c r="G112" s="535"/>
      <c r="H112" s="535"/>
      <c r="I112" s="535"/>
      <c r="J112" s="535"/>
      <c r="K112" s="535"/>
      <c r="L112" s="536"/>
      <c r="M112" s="536"/>
    </row>
    <row r="113" spans="1:14" s="533" customFormat="1">
      <c r="A113" s="532"/>
      <c r="C113" s="534"/>
      <c r="D113" s="534"/>
      <c r="E113" s="534"/>
      <c r="F113" s="534"/>
      <c r="G113" s="534"/>
      <c r="H113" s="534"/>
      <c r="I113" s="534"/>
      <c r="J113" s="534"/>
      <c r="K113" s="534"/>
      <c r="L113" s="534"/>
      <c r="M113" s="534"/>
    </row>
    <row r="114" spans="1:14" s="2" customFormat="1">
      <c r="A114" s="81"/>
      <c r="B114" s="81"/>
      <c r="C114" s="150"/>
      <c r="D114" s="81"/>
      <c r="E114" s="81"/>
      <c r="F114" s="81"/>
      <c r="G114" s="81"/>
      <c r="H114" s="81"/>
      <c r="I114" s="81"/>
      <c r="J114" s="81"/>
      <c r="K114" s="81"/>
      <c r="L114" s="81"/>
      <c r="M114" s="81"/>
      <c r="N114" s="81"/>
    </row>
  </sheetData>
  <mergeCells count="7">
    <mergeCell ref="B110:M110"/>
    <mergeCell ref="B111:M111"/>
    <mergeCell ref="B21:M21"/>
    <mergeCell ref="B22:M22"/>
    <mergeCell ref="B23:M23"/>
    <mergeCell ref="B24:M24"/>
    <mergeCell ref="B25:M25"/>
  </mergeCells>
  <conditionalFormatting sqref="D6:K6">
    <cfRule type="expression" dxfId="55" priority="31">
      <formula>AND(D$5="Actuals",E$5="Forecast")</formula>
    </cfRule>
  </conditionalFormatting>
  <conditionalFormatting sqref="D5:K5">
    <cfRule type="expression" dxfId="5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C285FE4-1466-4BF7-8FA9-67F63A3D57B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f35b5cbd-7b0b-4440-92cd-b510cab4ec67"/>
    <ds:schemaRef ds:uri="b1b6b1d3-9b1c-419f-ba2e-fefc168d435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Bartlam, Katherine</cp:lastModifiedBy>
  <cp:lastPrinted>2021-06-01T14:37:13Z</cp:lastPrinted>
  <dcterms:created xsi:type="dcterms:W3CDTF">2018-06-13T08:32:09Z</dcterms:created>
  <dcterms:modified xsi:type="dcterms:W3CDTF">2022-07-27T22:45:06Z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